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queryTables/queryTable1.xml" ContentType="application/vnd.openxmlformats-officedocument.spreadsheetml.queryTable+xml"/>
  <Override PartName="/xl/comments2.xml" ContentType="application/vnd.openxmlformats-officedocument.spreadsheetml.comments+xml"/>
  <Override PartName="/xl/queryTables/queryTable2.xml" ContentType="application/vnd.openxmlformats-officedocument.spreadsheetml.query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9.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0.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1.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13.xml" ContentType="application/vnd.openxmlformats-officedocument.drawing+xml"/>
  <Override PartName="/xl/comments4.xml" ContentType="application/vnd.openxmlformats-officedocument.spreadsheetml.comments+xml"/>
  <Override PartName="/xl/charts/chart38.xml" ContentType="application/vnd.openxmlformats-officedocument.drawingml.chart+xml"/>
  <Override PartName="/xl/charts/style34.xml" ContentType="application/vnd.ms-office.chartstyle+xml"/>
  <Override PartName="/xl/charts/colors34.xml" ContentType="application/vnd.ms-office.chartcolorstyle+xml"/>
  <Override PartName="/xl/charts/chart3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4.xml" ContentType="application/vnd.openxmlformats-officedocument.drawing+xml"/>
  <Override PartName="/xl/charts/chart40.xml" ContentType="application/vnd.openxmlformats-officedocument.drawingml.chart+xml"/>
  <Override PartName="/xl/charts/style36.xml" ContentType="application/vnd.ms-office.chartstyle+xml"/>
  <Override PartName="/xl/charts/colors36.xml" ContentType="application/vnd.ms-office.chartcolorstyle+xml"/>
  <Override PartName="/xl/charts/chart41.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5.xml" ContentType="application/vnd.openxmlformats-officedocument.drawing+xml"/>
  <Override PartName="/xl/comments5.xml" ContentType="application/vnd.openxmlformats-officedocument.spreadsheetml.comments+xml"/>
  <Override PartName="/xl/charts/chart42.xml" ContentType="application/vnd.openxmlformats-officedocument.drawingml.chart+xml"/>
  <Override PartName="/xl/charts/style38.xml" ContentType="application/vnd.ms-office.chartstyle+xml"/>
  <Override PartName="/xl/charts/colors38.xml" ContentType="application/vnd.ms-office.chartcolorstyle+xml"/>
  <Override PartName="/xl/charts/chart43.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6.xml" ContentType="application/vnd.openxmlformats-officedocument.drawing+xml"/>
  <Override PartName="/xl/comments6.xml" ContentType="application/vnd.openxmlformats-officedocument.spreadsheetml.comments+xml"/>
  <Override PartName="/xl/charts/chart44.xml" ContentType="application/vnd.openxmlformats-officedocument.drawingml.chart+xml"/>
  <Override PartName="/xl/charts/style40.xml" ContentType="application/vnd.ms-office.chartstyle+xml"/>
  <Override PartName="/xl/charts/colors40.xml" ContentType="application/vnd.ms-office.chartcolorstyle+xml"/>
  <Override PartName="/xl/charts/chart45.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7.xml" ContentType="application/vnd.openxmlformats-officedocument.drawing+xml"/>
  <Override PartName="/xl/comments7.xml" ContentType="application/vnd.openxmlformats-officedocument.spreadsheetml.comments+xml"/>
  <Override PartName="/xl/charts/chart46.xml" ContentType="application/vnd.openxmlformats-officedocument.drawingml.chart+xml"/>
  <Override PartName="/xl/charts/style42.xml" ContentType="application/vnd.ms-office.chartstyle+xml"/>
  <Override PartName="/xl/charts/colors42.xml" ContentType="application/vnd.ms-office.chartcolorstyle+xml"/>
  <Override PartName="/xl/charts/chart47.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8.xml" ContentType="application/vnd.openxmlformats-officedocument.drawing+xml"/>
  <Override PartName="/xl/comments8.xml" ContentType="application/vnd.openxmlformats-officedocument.spreadsheetml.comments+xml"/>
  <Override PartName="/xl/charts/chart48.xml" ContentType="application/vnd.openxmlformats-officedocument.drawingml.chart+xml"/>
  <Override PartName="/xl/charts/style44.xml" ContentType="application/vnd.ms-office.chartstyle+xml"/>
  <Override PartName="/xl/charts/colors44.xml" ContentType="application/vnd.ms-office.chartcolorstyle+xml"/>
  <Override PartName="/xl/charts/chart49.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9.xml" ContentType="application/vnd.openxmlformats-officedocument.drawing+xml"/>
  <Override PartName="/xl/comments9.xml" ContentType="application/vnd.openxmlformats-officedocument.spreadsheetml.comments+xml"/>
  <Override PartName="/xl/charts/chart50.xml" ContentType="application/vnd.openxmlformats-officedocument.drawingml.chart+xml"/>
  <Override PartName="/xl/charts/style46.xml" ContentType="application/vnd.ms-office.chartstyle+xml"/>
  <Override PartName="/xl/charts/colors46.xml" ContentType="application/vnd.ms-office.chartcolorstyle+xml"/>
  <Override PartName="/xl/charts/chart51.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0.xml" ContentType="application/vnd.openxmlformats-officedocument.drawing+xml"/>
  <Override PartName="/xl/comments10.xml" ContentType="application/vnd.openxmlformats-officedocument.spreadsheetml.comments+xml"/>
  <Override PartName="/xl/charts/chart52.xml" ContentType="application/vnd.openxmlformats-officedocument.drawingml.chart+xml"/>
  <Override PartName="/xl/charts/style48.xml" ContentType="application/vnd.ms-office.chartstyle+xml"/>
  <Override PartName="/xl/charts/colors48.xml" ContentType="application/vnd.ms-office.chartcolorstyle+xml"/>
  <Override PartName="/xl/charts/chart53.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1.xml" ContentType="application/vnd.openxmlformats-officedocument.drawing+xml"/>
  <Override PartName="/xl/comments11.xml" ContentType="application/vnd.openxmlformats-officedocument.spreadsheetml.comments+xml"/>
  <Override PartName="/xl/charts/chart54.xml" ContentType="application/vnd.openxmlformats-officedocument.drawingml.chart+xml"/>
  <Override PartName="/xl/charts/style50.xml" ContentType="application/vnd.ms-office.chartstyle+xml"/>
  <Override PartName="/xl/charts/colors50.xml" ContentType="application/vnd.ms-office.chartcolorstyle+xml"/>
  <Override PartName="/xl/charts/chart55.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2.xml" ContentType="application/vnd.openxmlformats-officedocument.drawing+xml"/>
  <Override PartName="/xl/comments12.xml" ContentType="application/vnd.openxmlformats-officedocument.spreadsheetml.comments+xml"/>
  <Override PartName="/xl/charts/chart56.xml" ContentType="application/vnd.openxmlformats-officedocument.drawingml.chart+xml"/>
  <Override PartName="/xl/charts/style52.xml" ContentType="application/vnd.ms-office.chartstyle+xml"/>
  <Override PartName="/xl/charts/colors52.xml" ContentType="application/vnd.ms-office.chartcolorstyle+xml"/>
  <Override PartName="/xl/charts/chart57.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3.xml" ContentType="application/vnd.openxmlformats-officedocument.drawing+xml"/>
  <Override PartName="/xl/comments13.xml" ContentType="application/vnd.openxmlformats-officedocument.spreadsheetml.comments+xml"/>
  <Override PartName="/xl/charts/chart58.xml" ContentType="application/vnd.openxmlformats-officedocument.drawingml.chart+xml"/>
  <Override PartName="/xl/charts/style54.xml" ContentType="application/vnd.ms-office.chartstyle+xml"/>
  <Override PartName="/xl/charts/colors54.xml" ContentType="application/vnd.ms-office.chartcolorstyle+xml"/>
  <Override PartName="/xl/charts/chart59.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24.xml" ContentType="application/vnd.openxmlformats-officedocument.drawing+xml"/>
  <Override PartName="/xl/comments14.xml" ContentType="application/vnd.openxmlformats-officedocument.spreadsheetml.comments+xml"/>
  <Override PartName="/xl/charts/chart60.xml" ContentType="application/vnd.openxmlformats-officedocument.drawingml.chart+xml"/>
  <Override PartName="/xl/charts/style56.xml" ContentType="application/vnd.ms-office.chartstyle+xml"/>
  <Override PartName="/xl/charts/colors56.xml" ContentType="application/vnd.ms-office.chartcolorstyle+xml"/>
  <Override PartName="/xl/charts/chart61.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25.xml" ContentType="application/vnd.openxmlformats-officedocument.drawing+xml"/>
  <Override PartName="/xl/comments15.xml" ContentType="application/vnd.openxmlformats-officedocument.spreadsheetml.comments+xml"/>
  <Override PartName="/xl/charts/chart62.xml" ContentType="application/vnd.openxmlformats-officedocument.drawingml.chart+xml"/>
  <Override PartName="/xl/charts/style58.xml" ContentType="application/vnd.ms-office.chartstyle+xml"/>
  <Override PartName="/xl/charts/colors58.xml" ContentType="application/vnd.ms-office.chartcolorstyle+xml"/>
  <Override PartName="/xl/charts/chart63.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26.xml" ContentType="application/vnd.openxmlformats-officedocument.drawing+xml"/>
  <Override PartName="/xl/comments16.xml" ContentType="application/vnd.openxmlformats-officedocument.spreadsheetml.comments+xml"/>
  <Override PartName="/xl/charts/chart64.xml" ContentType="application/vnd.openxmlformats-officedocument.drawingml.chart+xml"/>
  <Override PartName="/xl/charts/style60.xml" ContentType="application/vnd.ms-office.chartstyle+xml"/>
  <Override PartName="/xl/charts/colors60.xml" ContentType="application/vnd.ms-office.chartcolorstyle+xml"/>
  <Override PartName="/xl/charts/chart65.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27.xml" ContentType="application/vnd.openxmlformats-officedocument.drawing+xml"/>
  <Override PartName="/xl/comments17.xml" ContentType="application/vnd.openxmlformats-officedocument.spreadsheetml.comments+xml"/>
  <Override PartName="/xl/charts/chart66.xml" ContentType="application/vnd.openxmlformats-officedocument.drawingml.chart+xml"/>
  <Override PartName="/xl/charts/style62.xml" ContentType="application/vnd.ms-office.chartstyle+xml"/>
  <Override PartName="/xl/charts/colors62.xml" ContentType="application/vnd.ms-office.chartcolorstyle+xml"/>
  <Override PartName="/xl/charts/chart67.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28.xml" ContentType="application/vnd.openxmlformats-officedocument.drawing+xml"/>
  <Override PartName="/xl/comments18.xml" ContentType="application/vnd.openxmlformats-officedocument.spreadsheetml.comments+xml"/>
  <Override PartName="/xl/charts/chart68.xml" ContentType="application/vnd.openxmlformats-officedocument.drawingml.chart+xml"/>
  <Override PartName="/xl/charts/style64.xml" ContentType="application/vnd.ms-office.chartstyle+xml"/>
  <Override PartName="/xl/charts/colors64.xml" ContentType="application/vnd.ms-office.chartcolorstyle+xml"/>
  <Override PartName="/xl/charts/chart69.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29.xml" ContentType="application/vnd.openxmlformats-officedocument.drawing+xml"/>
  <Override PartName="/xl/comments19.xml" ContentType="application/vnd.openxmlformats-officedocument.spreadsheetml.comments+xml"/>
  <Override PartName="/xl/charts/chart70.xml" ContentType="application/vnd.openxmlformats-officedocument.drawingml.chart+xml"/>
  <Override PartName="/xl/charts/style66.xml" ContentType="application/vnd.ms-office.chartstyle+xml"/>
  <Override PartName="/xl/charts/colors66.xml" ContentType="application/vnd.ms-office.chartcolorstyle+xml"/>
  <Override PartName="/xl/charts/chart71.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30.xml" ContentType="application/vnd.openxmlformats-officedocument.drawing+xml"/>
  <Override PartName="/xl/comments20.xml" ContentType="application/vnd.openxmlformats-officedocument.spreadsheetml.comments+xml"/>
  <Override PartName="/xl/charts/chart72.xml" ContentType="application/vnd.openxmlformats-officedocument.drawingml.chart+xml"/>
  <Override PartName="/xl/charts/style68.xml" ContentType="application/vnd.ms-office.chartstyle+xml"/>
  <Override PartName="/xl/charts/colors68.xml" ContentType="application/vnd.ms-office.chartcolorstyle+xml"/>
  <Override PartName="/xl/charts/chart73.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31.xml" ContentType="application/vnd.openxmlformats-officedocument.drawing+xml"/>
  <Override PartName="/xl/comments21.xml" ContentType="application/vnd.openxmlformats-officedocument.spreadsheetml.comments+xml"/>
  <Override PartName="/xl/charts/chart74.xml" ContentType="application/vnd.openxmlformats-officedocument.drawingml.chart+xml"/>
  <Override PartName="/xl/charts/style70.xml" ContentType="application/vnd.ms-office.chartstyle+xml"/>
  <Override PartName="/xl/charts/colors70.xml" ContentType="application/vnd.ms-office.chartcolorstyle+xml"/>
  <Override PartName="/xl/charts/chart75.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32.xml" ContentType="application/vnd.openxmlformats-officedocument.drawing+xml"/>
  <Override PartName="/xl/charts/chart76.xml" ContentType="application/vnd.openxmlformats-officedocument.drawingml.chart+xml"/>
  <Override PartName="/xl/charts/style72.xml" ContentType="application/vnd.ms-office.chartstyle+xml"/>
  <Override PartName="/xl/charts/colors72.xml" ContentType="application/vnd.ms-office.chartcolorstyle+xml"/>
  <Override PartName="/xl/charts/chart77.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33.xml" ContentType="application/vnd.openxmlformats-officedocument.drawing+xml"/>
  <Override PartName="/xl/charts/chart78.xml" ContentType="application/vnd.openxmlformats-officedocument.drawingml.chart+xml"/>
  <Override PartName="/xl/charts/style74.xml" ContentType="application/vnd.ms-office.chartstyle+xml"/>
  <Override PartName="/xl/charts/colors74.xml" ContentType="application/vnd.ms-office.chartcolorstyle+xml"/>
  <Override PartName="/xl/charts/chart79.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34.xml" ContentType="application/vnd.openxmlformats-officedocument.drawing+xml"/>
  <Override PartName="/xl/comments22.xml" ContentType="application/vnd.openxmlformats-officedocument.spreadsheetml.comments+xml"/>
  <Override PartName="/xl/charts/chart80.xml" ContentType="application/vnd.openxmlformats-officedocument.drawingml.chart+xml"/>
  <Override PartName="/xl/charts/style76.xml" ContentType="application/vnd.ms-office.chartstyle+xml"/>
  <Override PartName="/xl/charts/colors76.xml" ContentType="application/vnd.ms-office.chartcolorstyle+xml"/>
  <Override PartName="/xl/charts/chart81.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35.xml" ContentType="application/vnd.openxmlformats-officedocument.drawing+xml"/>
  <Override PartName="/xl/comments23.xml" ContentType="application/vnd.openxmlformats-officedocument.spreadsheetml.comments+xml"/>
  <Override PartName="/xl/charts/chart82.xml" ContentType="application/vnd.openxmlformats-officedocument.drawingml.chart+xml"/>
  <Override PartName="/xl/charts/style78.xml" ContentType="application/vnd.ms-office.chartstyle+xml"/>
  <Override PartName="/xl/charts/colors78.xml" ContentType="application/vnd.ms-office.chartcolorstyle+xml"/>
  <Override PartName="/xl/charts/chart83.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36.xml" ContentType="application/vnd.openxmlformats-officedocument.drawing+xml"/>
  <Override PartName="/xl/comments24.xml" ContentType="application/vnd.openxmlformats-officedocument.spreadsheetml.comments+xml"/>
  <Override PartName="/xl/charts/chart84.xml" ContentType="application/vnd.openxmlformats-officedocument.drawingml.chart+xml"/>
  <Override PartName="/xl/charts/style80.xml" ContentType="application/vnd.ms-office.chartstyle+xml"/>
  <Override PartName="/xl/charts/colors80.xml" ContentType="application/vnd.ms-office.chartcolorstyle+xml"/>
  <Override PartName="/xl/charts/chart85.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37.xml" ContentType="application/vnd.openxmlformats-officedocument.drawing+xml"/>
  <Override PartName="/xl/charts/chart86.xml" ContentType="application/vnd.openxmlformats-officedocument.drawingml.chart+xml"/>
  <Override PartName="/xl/charts/style82.xml" ContentType="application/vnd.ms-office.chartstyle+xml"/>
  <Override PartName="/xl/charts/colors82.xml" ContentType="application/vnd.ms-office.chartcolorstyle+xml"/>
  <Override PartName="/xl/charts/chart87.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38.xml" ContentType="application/vnd.openxmlformats-officedocument.drawing+xml"/>
  <Override PartName="/xl/comments25.xml" ContentType="application/vnd.openxmlformats-officedocument.spreadsheetml.comments+xml"/>
  <Override PartName="/xl/charts/chart88.xml" ContentType="application/vnd.openxmlformats-officedocument.drawingml.chart+xml"/>
  <Override PartName="/xl/charts/style84.xml" ContentType="application/vnd.ms-office.chartstyle+xml"/>
  <Override PartName="/xl/charts/colors84.xml" ContentType="application/vnd.ms-office.chartcolorstyle+xml"/>
  <Override PartName="/xl/charts/chart89.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39.xml" ContentType="application/vnd.openxmlformats-officedocument.drawing+xml"/>
  <Override PartName="/xl/comments26.xml" ContentType="application/vnd.openxmlformats-officedocument.spreadsheetml.comments+xml"/>
  <Override PartName="/xl/charts/chart90.xml" ContentType="application/vnd.openxmlformats-officedocument.drawingml.chart+xml"/>
  <Override PartName="/xl/charts/style86.xml" ContentType="application/vnd.ms-office.chartstyle+xml"/>
  <Override PartName="/xl/charts/colors86.xml" ContentType="application/vnd.ms-office.chartcolorstyle+xml"/>
  <Override PartName="/xl/charts/chart91.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40.xml" ContentType="application/vnd.openxmlformats-officedocument.drawing+xml"/>
  <Override PartName="/xl/charts/chart92.xml" ContentType="application/vnd.openxmlformats-officedocument.drawingml.chart+xml"/>
  <Override PartName="/xl/charts/style88.xml" ContentType="application/vnd.ms-office.chartstyle+xml"/>
  <Override PartName="/xl/charts/colors88.xml" ContentType="application/vnd.ms-office.chartcolorstyle+xml"/>
  <Override PartName="/xl/charts/chart93.xml" ContentType="application/vnd.openxmlformats-officedocument.drawingml.chart+xml"/>
  <Override PartName="/xl/charts/style89.xml" ContentType="application/vnd.ms-office.chartstyle+xml"/>
  <Override PartName="/xl/charts/colors89.xml" ContentType="application/vnd.ms-office.chartcolorstyle+xml"/>
  <Override PartName="/xl/charts/chart94.xml" ContentType="application/vnd.openxmlformats-officedocument.drawingml.chart+xml"/>
  <Override PartName="/xl/charts/style90.xml" ContentType="application/vnd.ms-office.chartstyle+xml"/>
  <Override PartName="/xl/charts/colors90.xml" ContentType="application/vnd.ms-office.chartcolorstyle+xml"/>
  <Override PartName="/xl/charts/chart95.xml" ContentType="application/vnd.openxmlformats-officedocument.drawingml.chart+xml"/>
  <Override PartName="/xl/charts/style91.xml" ContentType="application/vnd.ms-office.chartstyle+xml"/>
  <Override PartName="/xl/charts/colors91.xml" ContentType="application/vnd.ms-office.chartcolorstyle+xml"/>
  <Override PartName="/xl/drawings/drawing41.xml" ContentType="application/vnd.openxmlformats-officedocument.drawing+xml"/>
  <Override PartName="/xl/comments27.xml" ContentType="application/vnd.openxmlformats-officedocument.spreadsheetml.comments+xml"/>
  <Override PartName="/xl/charts/chart96.xml" ContentType="application/vnd.openxmlformats-officedocument.drawingml.chart+xml"/>
  <Override PartName="/xl/charts/style92.xml" ContentType="application/vnd.ms-office.chartstyle+xml"/>
  <Override PartName="/xl/charts/colors92.xml" ContentType="application/vnd.ms-office.chartcolorstyle+xml"/>
  <Override PartName="/xl/drawings/drawing42.xml" ContentType="application/vnd.openxmlformats-officedocument.drawing+xml"/>
  <Override PartName="/xl/comments28.xml" ContentType="application/vnd.openxmlformats-officedocument.spreadsheetml.comments+xml"/>
  <Override PartName="/xl/charts/chart97.xml" ContentType="application/vnd.openxmlformats-officedocument.drawingml.chart+xml"/>
  <Override PartName="/xl/charts/style93.xml" ContentType="application/vnd.ms-office.chartstyle+xml"/>
  <Override PartName="/xl/charts/colors93.xml" ContentType="application/vnd.ms-office.chartcolorstyle+xml"/>
  <Override PartName="/xl/charts/chart98.xml" ContentType="application/vnd.openxmlformats-officedocument.drawingml.chart+xml"/>
  <Override PartName="/xl/charts/style94.xml" ContentType="application/vnd.ms-office.chartstyle+xml"/>
  <Override PartName="/xl/charts/colors94.xml" ContentType="application/vnd.ms-office.chartcolorstyle+xml"/>
  <Override PartName="/xl/charts/chart99.xml" ContentType="application/vnd.openxmlformats-officedocument.drawingml.chart+xml"/>
  <Override PartName="/xl/charts/style95.xml" ContentType="application/vnd.ms-office.chartstyle+xml"/>
  <Override PartName="/xl/charts/colors95.xml" ContentType="application/vnd.ms-office.chartcolorstyle+xml"/>
  <Override PartName="/xl/charts/chart100.xml" ContentType="application/vnd.openxmlformats-officedocument.drawingml.chart+xml"/>
  <Override PartName="/xl/charts/style96.xml" ContentType="application/vnd.ms-office.chartstyle+xml"/>
  <Override PartName="/xl/charts/colors96.xml" ContentType="application/vnd.ms-office.chartcolorstyle+xml"/>
  <Override PartName="/xl/charts/chart101.xml" ContentType="application/vnd.openxmlformats-officedocument.drawingml.chart+xml"/>
  <Override PartName="/xl/charts/style97.xml" ContentType="application/vnd.ms-office.chartstyle+xml"/>
  <Override PartName="/xl/charts/colors97.xml" ContentType="application/vnd.ms-office.chartcolorstyle+xml"/>
  <Override PartName="/xl/charts/chart102.xml" ContentType="application/vnd.openxmlformats-officedocument.drawingml.chart+xml"/>
  <Override PartName="/xl/charts/style98.xml" ContentType="application/vnd.ms-office.chartstyle+xml"/>
  <Override PartName="/xl/charts/colors98.xml" ContentType="application/vnd.ms-office.chartcolorstyle+xml"/>
  <Override PartName="/xl/drawings/drawing43.xml" ContentType="application/vnd.openxmlformats-officedocument.drawing+xml"/>
  <Override PartName="/xl/comments29.xml" ContentType="application/vnd.openxmlformats-officedocument.spreadsheetml.comments+xml"/>
  <Override PartName="/xl/charts/chart103.xml" ContentType="application/vnd.openxmlformats-officedocument.drawingml.chart+xml"/>
  <Override PartName="/xl/charts/style99.xml" ContentType="application/vnd.ms-office.chartstyle+xml"/>
  <Override PartName="/xl/charts/colors99.xml" ContentType="application/vnd.ms-office.chartcolorstyle+xml"/>
  <Override PartName="/xl/charts/chart104.xml" ContentType="application/vnd.openxmlformats-officedocument.drawingml.chart+xml"/>
  <Override PartName="/xl/charts/style100.xml" ContentType="application/vnd.ms-office.chartstyle+xml"/>
  <Override PartName="/xl/charts/colors100.xml" ContentType="application/vnd.ms-office.chartcolorstyle+xml"/>
  <Override PartName="/xl/drawings/drawing44.xml" ContentType="application/vnd.openxmlformats-officedocument.drawing+xml"/>
  <Override PartName="/xl/charts/chart105.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6.xml" ContentType="application/vnd.openxmlformats-officedocument.drawingml.chart+xml"/>
  <Override PartName="/xl/charts/style102.xml" ContentType="application/vnd.ms-office.chartstyle+xml"/>
  <Override PartName="/xl/charts/colors102.xml" ContentType="application/vnd.ms-office.chartcolorstyle+xml"/>
  <Override PartName="/xl/drawings/drawing45.xml" ContentType="application/vnd.openxmlformats-officedocument.drawing+xml"/>
  <Override PartName="/xl/comments30.xml" ContentType="application/vnd.openxmlformats-officedocument.spreadsheetml.comments+xml"/>
  <Override PartName="/xl/charts/chart107.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8.xml" ContentType="application/vnd.openxmlformats-officedocument.drawingml.chart+xml"/>
  <Override PartName="/xl/charts/style104.xml" ContentType="application/vnd.ms-office.chartstyle+xml"/>
  <Override PartName="/xl/charts/colors104.xml" ContentType="application/vnd.ms-office.chartcolorstyle+xml"/>
  <Override PartName="/xl/drawings/drawing46.xml" ContentType="application/vnd.openxmlformats-officedocument.drawing+xml"/>
  <Override PartName="/xl/charts/chart109.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10.xml" ContentType="application/vnd.openxmlformats-officedocument.drawingml.chart+xml"/>
  <Override PartName="/xl/charts/style106.xml" ContentType="application/vnd.ms-office.chartstyle+xml"/>
  <Override PartName="/xl/charts/colors106.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codeName="ThisWorkbook" defaultThemeVersion="202300"/>
  <mc:AlternateContent xmlns:mc="http://schemas.openxmlformats.org/markup-compatibility/2006">
    <mc:Choice Requires="x15">
      <x15ac:absPath xmlns:x15ac="http://schemas.microsoft.com/office/spreadsheetml/2010/11/ac" url="/Users/alan/_General/Musicology/Bergmann_Fretting/"/>
    </mc:Choice>
  </mc:AlternateContent>
  <xr:revisionPtr revIDLastSave="0" documentId="13_ncr:1_{0ED5AE57-46A8-894F-80F6-45555F980F1D}" xr6:coauthVersionLast="47" xr6:coauthVersionMax="47" xr10:uidLastSave="{00000000-0000-0000-0000-000000000000}"/>
  <bookViews>
    <workbookView xWindow="0" yWindow="760" windowWidth="34560" windowHeight="18960" xr2:uid="{20C0518E-DEA1-404E-BB0B-2DF24DCD1C85}"/>
  </bookViews>
  <sheets>
    <sheet name="Overview" sheetId="3" r:id="rId1"/>
    <sheet name="Commas &amp; Cents" sheetId="23" r:id="rId2"/>
    <sheet name="Fret Calculator" sheetId="6" r:id="rId3"/>
    <sheet name="Best Fit Fretting" sheetId="61" r:id="rId4"/>
    <sheet name="Best Fit Temperament" sheetId="97" r:id="rId5"/>
    <sheet name="Guitar, Modern" sheetId="132" r:id="rId6"/>
    <sheet name="Tournay-Kather Tannenberg, 1992" sheetId="133" r:id="rId7"/>
    <sheet name="Tournay_Kather Bridge" sheetId="141" r:id="rId8"/>
    <sheet name="Bergmann, Leipzig 10, 2025" sheetId="134" r:id="rId9"/>
    <sheet name="Anon., Leipzig 10, ~1700" sheetId="135" r:id="rId10"/>
    <sheet name="Gellinger, Namur, 1670" sheetId="136" r:id="rId11"/>
    <sheet name="Bavington, Donat, L 12, ~1700" sheetId="137" r:id="rId12"/>
    <sheet name="Wahlström, 1752" sheetId="138" r:id="rId13"/>
    <sheet name="Hubert, Edinburgh, 1784" sheetId="139" r:id="rId14"/>
    <sheet name="Hubert, Nürnberg, 1789" sheetId="140" r:id="rId15"/>
    <sheet name="BDO Any" sheetId="79" r:id="rId16"/>
    <sheet name="Equal" sheetId="59" r:id="rId17"/>
    <sheet name="Grote 5th" sheetId="115" r:id="rId18"/>
    <sheet name="Altstedt, Scholsskappelle 1" sheetId="102" r:id="rId19"/>
    <sheet name="Altstedt, Scholsskappelle 2" sheetId="103" r:id="rId20"/>
    <sheet name="Kirnberger col. 1" sheetId="58" r:id="rId21"/>
    <sheet name="Kirnberger col. 2" sheetId="57" r:id="rId22"/>
    <sheet name="Kirnberger col. 3" sheetId="56" r:id="rId23"/>
    <sheet name="Kirnberger III P." sheetId="117" r:id="rId24"/>
    <sheet name="Kirnberger III S." sheetId="118" r:id="rId25"/>
    <sheet name="Meantone Oct 1" sheetId="53" r:id="rId26"/>
    <sheet name="Meantone Oct 2" sheetId="119" r:id="rId27"/>
    <sheet name="Meantone q. comma" sheetId="51" r:id="rId28"/>
    <sheet name="Meantone Bav Donat" sheetId="50" r:id="rId29"/>
    <sheet name="Monochord" sheetId="80" r:id="rId30"/>
    <sheet name="Neidhardt 1" sheetId="120" r:id="rId31"/>
    <sheet name="Neidhardt 2" sheetId="121" r:id="rId32"/>
    <sheet name="Neidhardt 3" sheetId="122" r:id="rId33"/>
    <sheet name="Pythagorean" sheetId="41" r:id="rId34"/>
    <sheet name="Silbermann Freiberg 1" sheetId="123" r:id="rId35"/>
    <sheet name="Silbermann Freiberg 2" sheetId="124" r:id="rId36"/>
    <sheet name="Silbermann Freiberg 3" sheetId="126" r:id="rId37"/>
    <sheet name="Silbermann Freiberg 4" sheetId="127" r:id="rId38"/>
    <sheet name="Silbermann Sorge" sheetId="128" r:id="rId39"/>
    <sheet name="Silbermann Wegscheider 1" sheetId="129" r:id="rId40"/>
    <sheet name="Vallotti-Young" sheetId="130" r:id="rId41"/>
    <sheet name="Werckmeister III" sheetId="131" r:id="rId42"/>
    <sheet name="Template Instrument Fretted" sheetId="89" r:id="rId43"/>
    <sheet name="Template Bridge Effect" sheetId="110" r:id="rId44"/>
    <sheet name="Template Instrument by Lengths" sheetId="60" r:id="rId45"/>
    <sheet name="Template from Fifths" sheetId="87" r:id="rId46"/>
    <sheet name="Template from Scale" sheetId="71" r:id="rId47"/>
    <sheet name="Template from ET Fifths Order" sheetId="78" r:id="rId48"/>
    <sheet name="Template from ET Scale Order" sheetId="72" r:id="rId49"/>
  </sheets>
  <definedNames>
    <definedName name="_xlnm._FilterDatabase" localSheetId="3" hidden="1">'Best Fit Fretting'!$BV$7:$BV$336</definedName>
    <definedName name="_xlnm._FilterDatabase" localSheetId="4" hidden="1">'Best Fit Temperament'!$AG$7:$AG$336</definedName>
    <definedName name="_xlnm._FilterDatabase" localSheetId="42" hidden="1">'Template Instrument Fretted'!$G$1:$G$3</definedName>
    <definedName name="_xlnm._FilterDatabase" localSheetId="6" hidden="1">'Tournay-Kather Tannenberg, 1992'!$G$1:$G$3</definedName>
    <definedName name="BDO" localSheetId="3">'Best Fit Fretting'!$C$8:$P$336</definedName>
    <definedName name="BDO" localSheetId="4">'Best Fit Temperament'!$C$8:$P$336</definedName>
    <definedName name="BDO_Names">'Best Fit Fretting'!$C$8:$C$336</definedName>
    <definedName name="BDO_Table">'Best Fit Fretting'!$C$7:$P$336</definedName>
    <definedName name="ET_Scale_Diff" localSheetId="18">'Altstedt, Scholsskappelle 1'!$U$10:$U$22</definedName>
    <definedName name="ET_Scale_Diff" localSheetId="19">'Altstedt, Scholsskappelle 2'!$U$10:$U$22</definedName>
    <definedName name="ET_Scale_Diff" localSheetId="15">'BDO Any'!$U$10:$U$22</definedName>
    <definedName name="ET_Scale_Diff" localSheetId="16">Equal!$U$10:$U$22</definedName>
    <definedName name="ET_Scale_Diff" localSheetId="17">'Grote 5th'!$U$9:$U$21</definedName>
    <definedName name="ET_Scale_Diff" localSheetId="20">'Kirnberger col. 1'!$U$10:$U$22</definedName>
    <definedName name="ET_Scale_Diff" localSheetId="21">'Kirnberger col. 2'!$U$10:$U$22</definedName>
    <definedName name="ET_Scale_Diff" localSheetId="22">'Kirnberger col. 3'!$U$10:$U$22</definedName>
    <definedName name="ET_Scale_Diff" localSheetId="23">'Kirnberger III P.'!$U$9:$U$21</definedName>
    <definedName name="ET_Scale_Diff" localSheetId="24">'Kirnberger III S.'!$U$9:$U$21</definedName>
    <definedName name="ET_Scale_Diff" localSheetId="28">'Meantone Bav Donat'!$U$10:$U$22</definedName>
    <definedName name="ET_Scale_Diff" localSheetId="25">'Meantone Oct 1'!$U$10:$U$22</definedName>
    <definedName name="ET_Scale_Diff" localSheetId="26">'Meantone Oct 2'!$U$9:$U$21</definedName>
    <definedName name="ET_Scale_Diff" localSheetId="27">'Meantone q. comma'!$U$10:$U$22</definedName>
    <definedName name="ET_Scale_Diff" localSheetId="29">Monochord!$V$8:$V$20</definedName>
    <definedName name="ET_Scale_Diff" localSheetId="30">'Neidhardt 1'!$U$9:$U$21</definedName>
    <definedName name="ET_Scale_Diff" localSheetId="31">'Neidhardt 2'!$U$9:$U$21</definedName>
    <definedName name="ET_Scale_Diff" localSheetId="32">'Neidhardt 3'!$U$9:$U$21</definedName>
    <definedName name="ET_Scale_Diff" localSheetId="33">Pythagorean!$U$10:$U$22</definedName>
    <definedName name="ET_Scale_Diff" localSheetId="34">'Silbermann Freiberg 1'!$U$9:$U$21</definedName>
    <definedName name="ET_Scale_Diff" localSheetId="35">'Silbermann Freiberg 2'!$U$9:$U$21</definedName>
    <definedName name="ET_Scale_Diff" localSheetId="36">'Silbermann Freiberg 3'!$U$9:$U$21</definedName>
    <definedName name="ET_Scale_Diff" localSheetId="37">'Silbermann Freiberg 4'!$U$9:$U$21</definedName>
    <definedName name="ET_Scale_Diff" localSheetId="38">'Silbermann Sorge'!$U$9:$U$21</definedName>
    <definedName name="ET_Scale_Diff" localSheetId="39">'Silbermann Wegscheider 1'!$U$9:$U$21</definedName>
    <definedName name="ET_Scale_Diff" localSheetId="47">'Template from ET Fifths Order'!$U$9:$U$21</definedName>
    <definedName name="ET_Scale_Diff" localSheetId="48">'Template from ET Scale Order'!$T$9:$T$21</definedName>
    <definedName name="ET_Scale_Diff" localSheetId="45">'Template from Fifths'!$U$9:$U$21</definedName>
    <definedName name="ET_Scale_Diff" localSheetId="46">'Template from Scale'!$U$9:$U$21</definedName>
    <definedName name="ET_Scale_Diff" localSheetId="44">'Template Instrument by Lengths'!$W$9:$W$21</definedName>
    <definedName name="ET_Scale_Diff" localSheetId="40">'Vallotti-Young'!$U$9:$U$21</definedName>
    <definedName name="ET_Scale_Diff" localSheetId="41">'Werckmeister III'!$U$9:$U$21</definedName>
    <definedName name="ET_Scale_Fifths" localSheetId="18">'Altstedt, Scholsskappelle 1'!$S$10:$S$22</definedName>
    <definedName name="ET_Scale_Fifths" localSheetId="19">'Altstedt, Scholsskappelle 2'!$S$10:$S$22</definedName>
    <definedName name="ET_Scale_Fifths" localSheetId="15">'BDO Any'!$S$10:$S$22</definedName>
    <definedName name="ET_Scale_Fifths" localSheetId="16">Equal!$S$10:$S$22</definedName>
    <definedName name="ET_Scale_Fifths" localSheetId="17">'Grote 5th'!$S$9:$S$21</definedName>
    <definedName name="ET_Scale_Fifths" localSheetId="20">'Kirnberger col. 1'!$S$10:$S$22</definedName>
    <definedName name="ET_Scale_Fifths" localSheetId="21">'Kirnberger col. 2'!$S$10:$S$22</definedName>
    <definedName name="ET_Scale_Fifths" localSheetId="22">'Kirnberger col. 3'!$S$10:$S$22</definedName>
    <definedName name="ET_Scale_Fifths" localSheetId="23">'Kirnberger III P.'!$S$9:$S$21</definedName>
    <definedName name="ET_Scale_Fifths" localSheetId="24">'Kirnberger III S.'!$S$9:$S$21</definedName>
    <definedName name="ET_Scale_Fifths" localSheetId="28">'Meantone Bav Donat'!$S$10:$S$22</definedName>
    <definedName name="ET_Scale_Fifths" localSheetId="25">'Meantone Oct 1'!$S$10:$S$22</definedName>
    <definedName name="ET_Scale_Fifths" localSheetId="26">'Meantone Oct 2'!$S$9:$S$21</definedName>
    <definedName name="ET_Scale_Fifths" localSheetId="27">'Meantone q. comma'!$S$10:$S$22</definedName>
    <definedName name="ET_Scale_Fifths" localSheetId="29">Monochord!$T$8:$T$20</definedName>
    <definedName name="ET_Scale_Fifths" localSheetId="30">'Neidhardt 1'!$S$9:$S$21</definedName>
    <definedName name="ET_Scale_Fifths" localSheetId="31">'Neidhardt 2'!$S$9:$S$21</definedName>
    <definedName name="ET_Scale_Fifths" localSheetId="32">'Neidhardt 3'!$S$9:$S$21</definedName>
    <definedName name="ET_Scale_Fifths" localSheetId="33">Pythagorean!$S$10:$S$22</definedName>
    <definedName name="ET_Scale_Fifths" localSheetId="34">'Silbermann Freiberg 1'!$S$9:$S$21</definedName>
    <definedName name="ET_Scale_Fifths" localSheetId="35">'Silbermann Freiberg 2'!$S$9:$S$21</definedName>
    <definedName name="ET_Scale_Fifths" localSheetId="36">'Silbermann Freiberg 3'!$S$9:$S$21</definedName>
    <definedName name="ET_Scale_Fifths" localSheetId="37">'Silbermann Freiberg 4'!$S$9:$S$21</definedName>
    <definedName name="ET_Scale_Fifths" localSheetId="38">'Silbermann Sorge'!$S$9:$S$21</definedName>
    <definedName name="ET_Scale_Fifths" localSheetId="39">'Silbermann Wegscheider 1'!$S$9:$S$21</definedName>
    <definedName name="ET_Scale_Fifths" localSheetId="47">'Template from ET Fifths Order'!$S$9:$S$21</definedName>
    <definedName name="ET_Scale_Fifths" localSheetId="48">'Template from ET Scale Order'!$R$9:$R$21</definedName>
    <definedName name="ET_Scale_Fifths" localSheetId="45">'Template from Fifths'!$S$9:$S$21</definedName>
    <definedName name="ET_Scale_Fifths" localSheetId="46">'Template from Scale'!$S$9:$S$21</definedName>
    <definedName name="ET_Scale_Fifths" localSheetId="44">'Template Instrument by Lengths'!$U$9:$U$21</definedName>
    <definedName name="ET_Scale_Fifths" localSheetId="40">'Vallotti-Young'!$S$9:$S$21</definedName>
    <definedName name="ET_Scale_Fifths" localSheetId="41">'Werckmeister III'!$S$9:$S$21</definedName>
    <definedName name="Frets_Note1" localSheetId="9">'Anon., Leipzig 10, ~1700'!$B$6:$B$23</definedName>
    <definedName name="Frets_Note1" localSheetId="11">'Bavington, Donat, L 12, ~1700'!$B$6:$B$21</definedName>
    <definedName name="Frets_Note1" localSheetId="8">'Bergmann, Leipzig 10, 2025'!$B$6:$B$20</definedName>
    <definedName name="Frets_Note1" localSheetId="10">'Gellinger, Namur, 1670'!$B$6:$B$30</definedName>
    <definedName name="Frets_Note1" localSheetId="5">'Guitar, Modern'!$B$6:$B$24</definedName>
    <definedName name="Frets_Note1" localSheetId="13">'Hubert, Edinburgh, 1784'!$B$6:$B$20</definedName>
    <definedName name="Frets_Note1" localSheetId="14">'Hubert, Nürnberg, 1789'!$B$6:$B$21</definedName>
    <definedName name="Frets_Note1" localSheetId="42">'Template Instrument Fretted'!$B$6:$B$23</definedName>
    <definedName name="Frets_Note1" localSheetId="6">'Tournay-Kather Tannenberg, 1992'!$B$6:$B$18</definedName>
    <definedName name="Frets_Note1" localSheetId="12">'Wahlström, 1752'!$B$6:$B$21</definedName>
    <definedName name="Frets_Note2" localSheetId="9">'Anon., Leipzig 10, ~1700'!$C$6:$C$23</definedName>
    <definedName name="Frets_Note2" localSheetId="11">'Bavington, Donat, L 12, ~1700'!$C$6:$C$21</definedName>
    <definedName name="Frets_Note2" localSheetId="8">'Bergmann, Leipzig 10, 2025'!$C$6:$C$20</definedName>
    <definedName name="Frets_Note2" localSheetId="10">'Gellinger, Namur, 1670'!$C$6:$C$30</definedName>
    <definedName name="Frets_Note2" localSheetId="5">'Guitar, Modern'!$C$6:$C$24</definedName>
    <definedName name="Frets_Note2" localSheetId="13">'Hubert, Edinburgh, 1784'!$C$6:$C$20</definedName>
    <definedName name="Frets_Note2" localSheetId="14">'Hubert, Nürnberg, 1789'!$C$6:$C$21</definedName>
    <definedName name="Frets_Note2" localSheetId="42">'Template Instrument Fretted'!$C$6:$C$23</definedName>
    <definedName name="Frets_Note2" localSheetId="6">'Tournay-Kather Tannenberg, 1992'!$C$6:$C$18</definedName>
    <definedName name="Frets_Note2" localSheetId="12">'Wahlström, 1752'!$C$6:$C$21</definedName>
    <definedName name="Frets_Size" localSheetId="9">'Anon., Leipzig 10, ~1700'!$F$6:$F$23</definedName>
    <definedName name="Frets_Size" localSheetId="11">'Bavington, Donat, L 12, ~1700'!$F$6:$F$21</definedName>
    <definedName name="Frets_Size" localSheetId="8">'Bergmann, Leipzig 10, 2025'!$F$6:$F$20</definedName>
    <definedName name="Frets_Size" localSheetId="10">'Gellinger, Namur, 1670'!$F$6:$F$30</definedName>
    <definedName name="Frets_Size" localSheetId="5">'Guitar, Modern'!$F$6:$F$24</definedName>
    <definedName name="Frets_Size" localSheetId="13">'Hubert, Edinburgh, 1784'!$F$6:$F$20</definedName>
    <definedName name="Frets_Size" localSheetId="14">'Hubert, Nürnberg, 1789'!$F$6:$F$21</definedName>
    <definedName name="Frets_Size" localSheetId="42">'Template Instrument Fretted'!$F$6:$F$23</definedName>
    <definedName name="Frets_Size" localSheetId="6">'Tournay-Kather Tannenberg, 1992'!$F$6:$F$18</definedName>
    <definedName name="Frets_Size" localSheetId="12">'Wahlström, 1752'!$F$6:$F$21</definedName>
    <definedName name="Master_Frequencies" localSheetId="18">'Altstedt, Scholsskappelle 1'!$B$43:$C$57</definedName>
    <definedName name="Master_Frequencies" localSheetId="19">'Altstedt, Scholsskappelle 2'!$B$43:$C$57</definedName>
    <definedName name="Master_Frequencies" localSheetId="15">'BDO Any'!$B$43:$C$57</definedName>
    <definedName name="Master_Frequencies" localSheetId="16">Equal!$B$42:$C$56</definedName>
    <definedName name="Master_Frequencies" localSheetId="17">'Grote 5th'!$B$42:$C$56</definedName>
    <definedName name="Master_Frequencies" localSheetId="20">'Kirnberger col. 1'!$B$43:$C$57</definedName>
    <definedName name="Master_Frequencies" localSheetId="21">'Kirnberger col. 2'!$B$43:$C$57</definedName>
    <definedName name="Master_Frequencies" localSheetId="22">'Kirnberger col. 3'!$B$43:$C$57</definedName>
    <definedName name="Master_Frequencies" localSheetId="23">'Kirnberger III P.'!$B$42:$C$56</definedName>
    <definedName name="Master_Frequencies" localSheetId="24">'Kirnberger III S.'!$B$42:$C$56</definedName>
    <definedName name="Master_Frequencies" localSheetId="28">'Meantone Bav Donat'!$B$43:$C$57</definedName>
    <definedName name="Master_Frequencies" localSheetId="25">'Meantone Oct 1'!$B$43:$C$58</definedName>
    <definedName name="Master_Frequencies" localSheetId="26">'Meantone Oct 2'!$B$42:$C$56</definedName>
    <definedName name="Master_Frequencies" localSheetId="27">'Meantone q. comma'!$B$43:$C$57</definedName>
    <definedName name="Master_Frequencies" localSheetId="29">Monochord!$B$48:$C$62</definedName>
    <definedName name="Master_Frequencies" localSheetId="30">'Neidhardt 1'!$B$42:$C$56</definedName>
    <definedName name="Master_Frequencies" localSheetId="31">'Neidhardt 2'!$B$42:$C$56</definedName>
    <definedName name="Master_Frequencies" localSheetId="32">'Neidhardt 3'!$B$42:$C$56</definedName>
    <definedName name="Master_Frequencies" localSheetId="33">Pythagorean!$B$43:$C$57</definedName>
    <definedName name="Master_Frequencies" localSheetId="34">'Silbermann Freiberg 1'!$B$41:$C$55</definedName>
    <definedName name="Master_Frequencies" localSheetId="35">'Silbermann Freiberg 2'!$B$41:$C$55</definedName>
    <definedName name="Master_Frequencies" localSheetId="36">'Silbermann Freiberg 3'!$B$42:$C$56</definedName>
    <definedName name="Master_Frequencies" localSheetId="37">'Silbermann Freiberg 4'!$B$42:$C$56</definedName>
    <definedName name="Master_Frequencies" localSheetId="38">'Silbermann Sorge'!$B$42:$C$56</definedName>
    <definedName name="Master_Frequencies" localSheetId="39">'Silbermann Wegscheider 1'!$B$41:$C$55</definedName>
    <definedName name="Master_Frequencies" localSheetId="47">'Template from ET Fifths Order'!$B$42:$C$56</definedName>
    <definedName name="Master_Frequencies" localSheetId="48">'Template from ET Scale Order'!$B$42:$C$56</definedName>
    <definedName name="Master_Frequencies" localSheetId="45">'Template from Fifths'!$B$42:$C$56</definedName>
    <definedName name="Master_Frequencies" localSheetId="46">'Template from Scale'!$B$41:$C$55</definedName>
    <definedName name="Master_Frequencies" localSheetId="44">'Template Instrument by Lengths'!$B$44:$C$58</definedName>
    <definedName name="Master_Frequencies" localSheetId="40">'Vallotti-Young'!$B$42:$C$56</definedName>
    <definedName name="Master_Frequencies" localSheetId="41">'Werckmeister III'!$B$42:$C$56</definedName>
    <definedName name="Sort_Table" localSheetId="3">'Best Fit Fretting'!$8:$336</definedName>
    <definedName name="Sort_Table" localSheetId="4">'Best Fit Temperament'!$8:$336</definedName>
    <definedName name="Units">'Commas &amp; Cents'!$AD$1:$AD$3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141" l="1"/>
  <c r="K26" i="141"/>
  <c r="J26" i="141"/>
  <c r="H26" i="141"/>
  <c r="L25" i="141"/>
  <c r="K25" i="141"/>
  <c r="J25" i="141"/>
  <c r="H25" i="141"/>
  <c r="L24" i="141"/>
  <c r="K24" i="141"/>
  <c r="J24" i="141"/>
  <c r="H24" i="141"/>
  <c r="L23" i="141"/>
  <c r="K23" i="141"/>
  <c r="J23" i="141"/>
  <c r="H23" i="141"/>
  <c r="L22" i="141"/>
  <c r="K22" i="141"/>
  <c r="J22" i="141"/>
  <c r="H22" i="141"/>
  <c r="K21" i="141"/>
  <c r="J21" i="141"/>
  <c r="L21" i="141" s="1"/>
  <c r="H21" i="141"/>
  <c r="K20" i="141"/>
  <c r="J20" i="141"/>
  <c r="L20" i="141" s="1"/>
  <c r="H20" i="141"/>
  <c r="K19" i="141"/>
  <c r="J19" i="141"/>
  <c r="L19" i="141" s="1"/>
  <c r="H19" i="141"/>
  <c r="K18" i="141"/>
  <c r="J18" i="141"/>
  <c r="L18" i="141" s="1"/>
  <c r="H18" i="141"/>
  <c r="K17" i="141"/>
  <c r="J17" i="141"/>
  <c r="L17" i="141" s="1"/>
  <c r="H17" i="141"/>
  <c r="L16" i="141"/>
  <c r="K16" i="141"/>
  <c r="J16" i="141"/>
  <c r="H16" i="141"/>
  <c r="K15" i="141"/>
  <c r="J15" i="141"/>
  <c r="L15" i="141" s="1"/>
  <c r="H15" i="141"/>
  <c r="K14" i="141"/>
  <c r="J14" i="141"/>
  <c r="L14" i="141" s="1"/>
  <c r="H14" i="141"/>
  <c r="K13" i="141"/>
  <c r="J13" i="141"/>
  <c r="L13" i="141" s="1"/>
  <c r="H13" i="141"/>
  <c r="K12" i="141"/>
  <c r="J12" i="141"/>
  <c r="L12" i="141" s="1"/>
  <c r="H12" i="141"/>
  <c r="K11" i="141"/>
  <c r="J11" i="141"/>
  <c r="L11" i="141" s="1"/>
  <c r="H11" i="141"/>
  <c r="K10" i="141"/>
  <c r="J10" i="141"/>
  <c r="L10" i="141" s="1"/>
  <c r="H10" i="141"/>
  <c r="L9" i="141"/>
  <c r="K9" i="141"/>
  <c r="J9" i="141"/>
  <c r="H9" i="141"/>
  <c r="H27" i="141" s="1"/>
  <c r="F21" i="140" l="1"/>
  <c r="F20" i="140"/>
  <c r="F19" i="140"/>
  <c r="F18" i="140"/>
  <c r="F17" i="140"/>
  <c r="F16" i="140"/>
  <c r="F15" i="140"/>
  <c r="F14" i="140"/>
  <c r="F13" i="140"/>
  <c r="F12" i="140"/>
  <c r="F11" i="140"/>
  <c r="F10" i="140"/>
  <c r="F9" i="140"/>
  <c r="F8" i="140"/>
  <c r="F7" i="140"/>
  <c r="F6" i="140"/>
  <c r="X5" i="140"/>
  <c r="W5" i="140"/>
  <c r="S5" i="140"/>
  <c r="R5" i="140"/>
  <c r="N5" i="140"/>
  <c r="M5" i="140"/>
  <c r="I5" i="140"/>
  <c r="H5" i="140"/>
  <c r="F5" i="140" a="1"/>
  <c r="F5" i="140" s="1"/>
  <c r="F20" i="139"/>
  <c r="F19" i="139"/>
  <c r="F18" i="139"/>
  <c r="F17" i="139"/>
  <c r="F16" i="139"/>
  <c r="F15" i="139"/>
  <c r="F14" i="139"/>
  <c r="F13" i="139"/>
  <c r="F12" i="139"/>
  <c r="F11" i="139"/>
  <c r="F10" i="139"/>
  <c r="F9" i="139"/>
  <c r="F8" i="139"/>
  <c r="F7" i="139"/>
  <c r="F6" i="139"/>
  <c r="X5" i="139"/>
  <c r="W5" i="139"/>
  <c r="S5" i="139"/>
  <c r="R5" i="139"/>
  <c r="N5" i="139"/>
  <c r="M5" i="139"/>
  <c r="I5" i="139"/>
  <c r="H5" i="139"/>
  <c r="F5" i="139" a="1"/>
  <c r="F5" i="139" s="1"/>
  <c r="F21" i="138"/>
  <c r="F20" i="138"/>
  <c r="F19" i="138"/>
  <c r="F18" i="138"/>
  <c r="F17" i="138"/>
  <c r="F16" i="138"/>
  <c r="F15" i="138"/>
  <c r="F14" i="138"/>
  <c r="F13" i="138"/>
  <c r="F12" i="138"/>
  <c r="F11" i="138"/>
  <c r="F10" i="138"/>
  <c r="F9" i="138"/>
  <c r="F8" i="138"/>
  <c r="F7" i="138"/>
  <c r="F6" i="138"/>
  <c r="X5" i="138"/>
  <c r="W5" i="138"/>
  <c r="S5" i="138"/>
  <c r="R5" i="138"/>
  <c r="N5" i="138"/>
  <c r="M5" i="138"/>
  <c r="I5" i="138"/>
  <c r="H5" i="138"/>
  <c r="F5" i="138" a="1"/>
  <c r="F5" i="138" s="1"/>
  <c r="F21" i="137"/>
  <c r="F20" i="137"/>
  <c r="F19" i="137"/>
  <c r="F18" i="137"/>
  <c r="F17" i="137"/>
  <c r="F16" i="137"/>
  <c r="F15" i="137"/>
  <c r="F14" i="137"/>
  <c r="F13" i="137"/>
  <c r="F12" i="137"/>
  <c r="F11" i="137"/>
  <c r="F10" i="137"/>
  <c r="F9" i="137"/>
  <c r="F8" i="137"/>
  <c r="F7" i="137"/>
  <c r="F6" i="137"/>
  <c r="X5" i="137"/>
  <c r="W5" i="137"/>
  <c r="S5" i="137"/>
  <c r="R5" i="137"/>
  <c r="N5" i="137"/>
  <c r="M5" i="137"/>
  <c r="I5" i="137"/>
  <c r="H5" i="137"/>
  <c r="F5" i="137" a="1"/>
  <c r="F5" i="137" s="1"/>
  <c r="F30" i="136"/>
  <c r="F29" i="136"/>
  <c r="F28" i="136"/>
  <c r="F27" i="136"/>
  <c r="F26" i="136"/>
  <c r="F25" i="136"/>
  <c r="F24" i="136"/>
  <c r="F23" i="136"/>
  <c r="F22" i="136"/>
  <c r="F21" i="136"/>
  <c r="F20" i="136"/>
  <c r="F19" i="136"/>
  <c r="F18" i="136"/>
  <c r="F17" i="136"/>
  <c r="F16" i="136"/>
  <c r="F15" i="136"/>
  <c r="F14" i="136"/>
  <c r="F13" i="136"/>
  <c r="F12" i="136"/>
  <c r="F11" i="136"/>
  <c r="F10" i="136"/>
  <c r="F9" i="136"/>
  <c r="F8" i="136"/>
  <c r="F7" i="136"/>
  <c r="F6" i="136"/>
  <c r="X5" i="136"/>
  <c r="W5" i="136"/>
  <c r="S5" i="136"/>
  <c r="R5" i="136"/>
  <c r="N5" i="136"/>
  <c r="M5" i="136"/>
  <c r="I5" i="136"/>
  <c r="H5" i="136"/>
  <c r="F5" i="136" a="1"/>
  <c r="F5" i="136" s="1"/>
  <c r="F23" i="135"/>
  <c r="F22" i="135"/>
  <c r="F21" i="135"/>
  <c r="F20" i="135"/>
  <c r="F19" i="135"/>
  <c r="F18" i="135"/>
  <c r="F17" i="135"/>
  <c r="F16" i="135"/>
  <c r="F15" i="135"/>
  <c r="F14" i="135"/>
  <c r="F13" i="135"/>
  <c r="F12" i="135"/>
  <c r="F11" i="135"/>
  <c r="F10" i="135"/>
  <c r="F9" i="135"/>
  <c r="F8" i="135"/>
  <c r="F7" i="135"/>
  <c r="F6" i="135"/>
  <c r="X5" i="135"/>
  <c r="W5" i="135"/>
  <c r="S5" i="135"/>
  <c r="R5" i="135"/>
  <c r="N5" i="135"/>
  <c r="M5" i="135"/>
  <c r="I5" i="135"/>
  <c r="H5" i="135"/>
  <c r="F5" i="135" a="1"/>
  <c r="F5" i="135" s="1"/>
  <c r="F20" i="134"/>
  <c r="F19" i="134"/>
  <c r="F18" i="134"/>
  <c r="F17" i="134"/>
  <c r="F16" i="134"/>
  <c r="F15" i="134"/>
  <c r="F14" i="134"/>
  <c r="F13" i="134"/>
  <c r="F12" i="134"/>
  <c r="F11" i="134"/>
  <c r="F10" i="134"/>
  <c r="F9" i="134"/>
  <c r="F8" i="134"/>
  <c r="F7" i="134"/>
  <c r="F6" i="134"/>
  <c r="X5" i="134"/>
  <c r="W5" i="134"/>
  <c r="S5" i="134"/>
  <c r="R5" i="134"/>
  <c r="N5" i="134"/>
  <c r="M5" i="134"/>
  <c r="I5" i="134"/>
  <c r="H5" i="134"/>
  <c r="F5" i="134" a="1"/>
  <c r="F5" i="134" s="1"/>
  <c r="F18" i="133"/>
  <c r="F17" i="133"/>
  <c r="F16" i="133"/>
  <c r="F15" i="133"/>
  <c r="F14" i="133"/>
  <c r="F13" i="133"/>
  <c r="F12" i="133"/>
  <c r="F11" i="133"/>
  <c r="F10" i="133"/>
  <c r="F9" i="133"/>
  <c r="F8" i="133"/>
  <c r="F7" i="133"/>
  <c r="F6" i="133"/>
  <c r="X5" i="133"/>
  <c r="W5" i="133"/>
  <c r="S5" i="133"/>
  <c r="R5" i="133"/>
  <c r="N5" i="133"/>
  <c r="M5" i="133"/>
  <c r="I5" i="133"/>
  <c r="H5" i="133"/>
  <c r="F5" i="133" a="1"/>
  <c r="F5" i="133" s="1"/>
  <c r="F24" i="132"/>
  <c r="F23" i="132"/>
  <c r="F22" i="132"/>
  <c r="F21" i="132"/>
  <c r="F20" i="132"/>
  <c r="F19" i="132"/>
  <c r="F18" i="132"/>
  <c r="F17" i="132"/>
  <c r="F16" i="132"/>
  <c r="F15" i="132"/>
  <c r="F14" i="132"/>
  <c r="F13" i="132"/>
  <c r="F12" i="132"/>
  <c r="F11" i="132"/>
  <c r="F10" i="132"/>
  <c r="F9" i="132"/>
  <c r="F8" i="132"/>
  <c r="F7" i="132"/>
  <c r="F6" i="132"/>
  <c r="X5" i="132"/>
  <c r="W5" i="132"/>
  <c r="S5" i="132"/>
  <c r="R5" i="132"/>
  <c r="N5" i="132"/>
  <c r="M5" i="132"/>
  <c r="I5" i="132"/>
  <c r="H5" i="132"/>
  <c r="F5" i="132" a="1"/>
  <c r="F5" i="132" s="1"/>
  <c r="E26" i="131" a="1"/>
  <c r="E26" i="131" s="1"/>
  <c r="E25" i="131"/>
  <c r="S21" i="131"/>
  <c r="P21" i="131"/>
  <c r="S20" i="131"/>
  <c r="P20" i="131"/>
  <c r="S19" i="131"/>
  <c r="P19" i="131"/>
  <c r="S18" i="131"/>
  <c r="P18" i="131"/>
  <c r="S17" i="131"/>
  <c r="P17" i="131"/>
  <c r="S16" i="131"/>
  <c r="P16" i="131"/>
  <c r="S15" i="131"/>
  <c r="P15" i="131"/>
  <c r="S14" i="131"/>
  <c r="P14" i="131"/>
  <c r="S13" i="131"/>
  <c r="P13" i="131"/>
  <c r="S12" i="131"/>
  <c r="P12" i="131"/>
  <c r="S11" i="131"/>
  <c r="P11" i="131"/>
  <c r="S10" i="131"/>
  <c r="P10" i="131"/>
  <c r="D10" i="131"/>
  <c r="D11" i="131" s="1"/>
  <c r="D12" i="131" s="1"/>
  <c r="D13" i="131" s="1"/>
  <c r="D14" i="131" s="1"/>
  <c r="D15" i="131" s="1"/>
  <c r="D16" i="131" s="1"/>
  <c r="D17" i="131" s="1"/>
  <c r="D18" i="131" s="1"/>
  <c r="D19" i="131" s="1"/>
  <c r="D20" i="131" s="1"/>
  <c r="D21" i="131" s="1"/>
  <c r="S9" i="131"/>
  <c r="P9" i="131"/>
  <c r="D9" i="131"/>
  <c r="D8" i="131"/>
  <c r="C8" i="131"/>
  <c r="F3" i="131"/>
  <c r="E3" i="131"/>
  <c r="J2" i="131"/>
  <c r="F2" i="131"/>
  <c r="G26" i="131" s="1"/>
  <c r="E2" i="131"/>
  <c r="G26" i="130"/>
  <c r="E26" i="130" a="1"/>
  <c r="E26" i="130" s="1"/>
  <c r="E25" i="130"/>
  <c r="S21" i="130"/>
  <c r="P21" i="130"/>
  <c r="S20" i="130"/>
  <c r="P20" i="130"/>
  <c r="S19" i="130"/>
  <c r="P19" i="130"/>
  <c r="S18" i="130"/>
  <c r="P18" i="130"/>
  <c r="S17" i="130"/>
  <c r="P17" i="130"/>
  <c r="S16" i="130"/>
  <c r="P16" i="130"/>
  <c r="S15" i="130"/>
  <c r="P15" i="130"/>
  <c r="S14" i="130"/>
  <c r="P14" i="130"/>
  <c r="S13" i="130"/>
  <c r="P13" i="130"/>
  <c r="S12" i="130"/>
  <c r="P12" i="130"/>
  <c r="S11" i="130"/>
  <c r="P11" i="130"/>
  <c r="S10" i="130"/>
  <c r="P10" i="130"/>
  <c r="S9" i="130"/>
  <c r="P9" i="130"/>
  <c r="D9" i="130"/>
  <c r="D10" i="130" s="1"/>
  <c r="D11" i="130" s="1"/>
  <c r="D12" i="130" s="1"/>
  <c r="D13" i="130" s="1"/>
  <c r="D14" i="130" s="1"/>
  <c r="D15" i="130" s="1"/>
  <c r="D16" i="130" s="1"/>
  <c r="D17" i="130" s="1"/>
  <c r="D18" i="130" s="1"/>
  <c r="D19" i="130" s="1"/>
  <c r="D20" i="130" s="1"/>
  <c r="D21" i="130" s="1"/>
  <c r="D8" i="130"/>
  <c r="C8" i="130"/>
  <c r="F3" i="130"/>
  <c r="K2" i="130" s="1"/>
  <c r="E9" i="130" s="1"/>
  <c r="E3" i="130"/>
  <c r="J2" i="130"/>
  <c r="F2" i="130"/>
  <c r="E2" i="130"/>
  <c r="E26" i="129" a="1"/>
  <c r="E26" i="129" s="1"/>
  <c r="E25" i="129"/>
  <c r="S21" i="129"/>
  <c r="P21" i="129"/>
  <c r="S20" i="129"/>
  <c r="P20" i="129"/>
  <c r="S19" i="129"/>
  <c r="P19" i="129"/>
  <c r="S18" i="129"/>
  <c r="P18" i="129"/>
  <c r="S17" i="129"/>
  <c r="P17" i="129"/>
  <c r="S16" i="129"/>
  <c r="P16" i="129"/>
  <c r="S15" i="129"/>
  <c r="P15" i="129"/>
  <c r="S14" i="129"/>
  <c r="P14" i="129"/>
  <c r="S13" i="129"/>
  <c r="P13" i="129"/>
  <c r="S12" i="129"/>
  <c r="P12" i="129"/>
  <c r="S11" i="129"/>
  <c r="P11" i="129"/>
  <c r="S10" i="129"/>
  <c r="P10" i="129"/>
  <c r="S9" i="129"/>
  <c r="P9" i="129"/>
  <c r="L9" i="129"/>
  <c r="K8" i="129"/>
  <c r="E3" i="129"/>
  <c r="F3" i="129" s="1"/>
  <c r="K2" i="129" s="1"/>
  <c r="D9" i="129" s="1"/>
  <c r="J2" i="129"/>
  <c r="F2" i="129"/>
  <c r="G26" i="129" s="1"/>
  <c r="E2" i="129"/>
  <c r="L8" i="129" s="1"/>
  <c r="G26" i="128"/>
  <c r="E26" i="128" a="1"/>
  <c r="E26" i="128" s="1"/>
  <c r="E25" i="128"/>
  <c r="S21" i="128"/>
  <c r="P21" i="128"/>
  <c r="S20" i="128"/>
  <c r="P20" i="128"/>
  <c r="S19" i="128"/>
  <c r="P19" i="128"/>
  <c r="S18" i="128"/>
  <c r="P18" i="128"/>
  <c r="S17" i="128"/>
  <c r="P17" i="128"/>
  <c r="S16" i="128"/>
  <c r="P16" i="128"/>
  <c r="S15" i="128"/>
  <c r="P15" i="128"/>
  <c r="S14" i="128"/>
  <c r="P14" i="128"/>
  <c r="S13" i="128"/>
  <c r="P13" i="128"/>
  <c r="S12" i="128"/>
  <c r="P12" i="128"/>
  <c r="S11" i="128"/>
  <c r="P11" i="128"/>
  <c r="S10" i="128"/>
  <c r="P10" i="128"/>
  <c r="D10" i="128"/>
  <c r="D11" i="128" s="1"/>
  <c r="D12" i="128" s="1"/>
  <c r="D13" i="128" s="1"/>
  <c r="D14" i="128" s="1"/>
  <c r="D15" i="128" s="1"/>
  <c r="D16" i="128" s="1"/>
  <c r="D17" i="128" s="1"/>
  <c r="D18" i="128" s="1"/>
  <c r="D19" i="128" s="1"/>
  <c r="D20" i="128" s="1"/>
  <c r="D21" i="128" s="1"/>
  <c r="S9" i="128"/>
  <c r="P9" i="128"/>
  <c r="D9" i="128"/>
  <c r="D8" i="128"/>
  <c r="C8" i="128"/>
  <c r="F3" i="128"/>
  <c r="E3" i="128"/>
  <c r="J2" i="128"/>
  <c r="F2" i="128"/>
  <c r="E2" i="128"/>
  <c r="E26" i="127" a="1"/>
  <c r="E26" i="127" s="1"/>
  <c r="E25" i="127"/>
  <c r="S21" i="127"/>
  <c r="P21" i="127"/>
  <c r="S20" i="127"/>
  <c r="P20" i="127"/>
  <c r="S19" i="127"/>
  <c r="P19" i="127"/>
  <c r="S18" i="127"/>
  <c r="P18" i="127"/>
  <c r="S17" i="127"/>
  <c r="P17" i="127"/>
  <c r="S16" i="127"/>
  <c r="P16" i="127"/>
  <c r="S15" i="127"/>
  <c r="P15" i="127"/>
  <c r="S14" i="127"/>
  <c r="P14" i="127"/>
  <c r="S13" i="127"/>
  <c r="P13" i="127"/>
  <c r="S12" i="127"/>
  <c r="P12" i="127"/>
  <c r="S11" i="127"/>
  <c r="P11" i="127"/>
  <c r="S10" i="127"/>
  <c r="P10" i="127"/>
  <c r="D10" i="127"/>
  <c r="D11" i="127" s="1"/>
  <c r="D12" i="127" s="1"/>
  <c r="D13" i="127" s="1"/>
  <c r="D14" i="127" s="1"/>
  <c r="D15" i="127" s="1"/>
  <c r="D16" i="127" s="1"/>
  <c r="D17" i="127" s="1"/>
  <c r="D18" i="127" s="1"/>
  <c r="D19" i="127" s="1"/>
  <c r="D20" i="127" s="1"/>
  <c r="D21" i="127" s="1"/>
  <c r="S9" i="127"/>
  <c r="P9" i="127"/>
  <c r="D9" i="127"/>
  <c r="D8" i="127"/>
  <c r="C8" i="127"/>
  <c r="F3" i="127"/>
  <c r="E3" i="127"/>
  <c r="J2" i="127"/>
  <c r="F2" i="127"/>
  <c r="G26" i="127" s="1"/>
  <c r="E2" i="127"/>
  <c r="E26" i="126" a="1"/>
  <c r="E26" i="126" s="1"/>
  <c r="E25" i="126"/>
  <c r="S21" i="126"/>
  <c r="P21" i="126"/>
  <c r="S20" i="126"/>
  <c r="P20" i="126"/>
  <c r="S19" i="126"/>
  <c r="P19" i="126"/>
  <c r="S18" i="126"/>
  <c r="P18" i="126"/>
  <c r="S17" i="126"/>
  <c r="P17" i="126"/>
  <c r="S16" i="126"/>
  <c r="P16" i="126"/>
  <c r="S15" i="126"/>
  <c r="P15" i="126"/>
  <c r="S14" i="126"/>
  <c r="P14" i="126"/>
  <c r="S13" i="126"/>
  <c r="P13" i="126"/>
  <c r="S12" i="126"/>
  <c r="P12" i="126"/>
  <c r="S11" i="126"/>
  <c r="P11" i="126"/>
  <c r="S10" i="126"/>
  <c r="P10" i="126"/>
  <c r="S9" i="126"/>
  <c r="P9" i="126"/>
  <c r="D9" i="126"/>
  <c r="D10" i="126" s="1"/>
  <c r="D11" i="126" s="1"/>
  <c r="D12" i="126" s="1"/>
  <c r="D13" i="126" s="1"/>
  <c r="D14" i="126" s="1"/>
  <c r="D15" i="126" s="1"/>
  <c r="D16" i="126" s="1"/>
  <c r="D17" i="126" s="1"/>
  <c r="D18" i="126" s="1"/>
  <c r="D19" i="126" s="1"/>
  <c r="D20" i="126" s="1"/>
  <c r="D21" i="126" s="1"/>
  <c r="D8" i="126"/>
  <c r="C8" i="126"/>
  <c r="F3" i="126"/>
  <c r="E3" i="126"/>
  <c r="J2" i="126"/>
  <c r="F2" i="126"/>
  <c r="G26" i="126" s="1"/>
  <c r="E2" i="126"/>
  <c r="K2" i="131" l="1"/>
  <c r="E9" i="131" s="1"/>
  <c r="R32" i="130"/>
  <c r="T32" i="130" s="1"/>
  <c r="H9" i="130"/>
  <c r="C44" i="130" s="1"/>
  <c r="R27" i="130"/>
  <c r="T27" i="130" s="1"/>
  <c r="R35" i="130"/>
  <c r="T35" i="130" s="1"/>
  <c r="R33" i="130"/>
  <c r="T33" i="130" s="1"/>
  <c r="R30" i="130"/>
  <c r="T30" i="130" s="1"/>
  <c r="R34" i="130"/>
  <c r="T34" i="130" s="1"/>
  <c r="Q9" i="130"/>
  <c r="Q10" i="130" s="1"/>
  <c r="Q11" i="130" s="1"/>
  <c r="Q12" i="130" s="1"/>
  <c r="Q13" i="130" s="1"/>
  <c r="Q14" i="130" s="1"/>
  <c r="Q15" i="130" s="1"/>
  <c r="Q16" i="130" s="1"/>
  <c r="Q17" i="130" s="1"/>
  <c r="Q18" i="130" s="1"/>
  <c r="Q19" i="130" s="1"/>
  <c r="Q20" i="130" s="1"/>
  <c r="Q21" i="130" s="1"/>
  <c r="R39" i="130"/>
  <c r="T39" i="130" s="1"/>
  <c r="R28" i="130"/>
  <c r="T28" i="130" s="1"/>
  <c r="R36" i="130"/>
  <c r="T36" i="130" s="1"/>
  <c r="R29" i="130"/>
  <c r="T29" i="130" s="1"/>
  <c r="R38" i="130"/>
  <c r="T38" i="130" s="1"/>
  <c r="R31" i="130"/>
  <c r="T31" i="130" s="1"/>
  <c r="E10" i="130"/>
  <c r="R37" i="130"/>
  <c r="T37" i="130" s="1"/>
  <c r="C8" i="129"/>
  <c r="R32" i="129"/>
  <c r="T32" i="129" s="1"/>
  <c r="D18" i="129"/>
  <c r="D10" i="129"/>
  <c r="D13" i="129"/>
  <c r="F13" i="129" s="1"/>
  <c r="R39" i="129"/>
  <c r="T39" i="129" s="1"/>
  <c r="F16" i="129"/>
  <c r="D14" i="129"/>
  <c r="R28" i="129"/>
  <c r="T28" i="129" s="1"/>
  <c r="D15" i="129"/>
  <c r="F15" i="129" s="1"/>
  <c r="Q9" i="129"/>
  <c r="Q10" i="129" s="1"/>
  <c r="Q11" i="129" s="1"/>
  <c r="Q12" i="129" s="1"/>
  <c r="Q13" i="129" s="1"/>
  <c r="Q14" i="129" s="1"/>
  <c r="Q15" i="129" s="1"/>
  <c r="Q16" i="129" s="1"/>
  <c r="Q17" i="129" s="1"/>
  <c r="Q18" i="129" s="1"/>
  <c r="Q19" i="129" s="1"/>
  <c r="Q20" i="129" s="1"/>
  <c r="Q21" i="129" s="1"/>
  <c r="T21" i="129" s="1"/>
  <c r="R33" i="129"/>
  <c r="T33" i="129" s="1"/>
  <c r="D11" i="129"/>
  <c r="F11" i="129" s="1"/>
  <c r="D12" i="129"/>
  <c r="R34" i="129"/>
  <c r="T34" i="129" s="1"/>
  <c r="R27" i="129"/>
  <c r="T27" i="129" s="1"/>
  <c r="D16" i="129"/>
  <c r="D17" i="129"/>
  <c r="J9" i="129"/>
  <c r="R35" i="129"/>
  <c r="T35" i="129" s="1"/>
  <c r="F17" i="129"/>
  <c r="F18" i="129"/>
  <c r="R36" i="129"/>
  <c r="T36" i="129" s="1"/>
  <c r="R29" i="129"/>
  <c r="T29" i="129" s="1"/>
  <c r="F19" i="129"/>
  <c r="R37" i="129"/>
  <c r="T37" i="129" s="1"/>
  <c r="R30" i="129"/>
  <c r="T30" i="129" s="1"/>
  <c r="D19" i="129"/>
  <c r="C43" i="129"/>
  <c r="R31" i="129"/>
  <c r="T31" i="129" s="1"/>
  <c r="F10" i="129"/>
  <c r="D20" i="129"/>
  <c r="R38" i="129"/>
  <c r="T38" i="129" s="1"/>
  <c r="D21" i="129"/>
  <c r="K2" i="128"/>
  <c r="E9" i="128" s="1"/>
  <c r="K2" i="127"/>
  <c r="E9" i="127" s="1"/>
  <c r="K2" i="126"/>
  <c r="E9" i="126" s="1"/>
  <c r="R32" i="126"/>
  <c r="T32" i="126" s="1"/>
  <c r="R37" i="126"/>
  <c r="T37" i="126" s="1"/>
  <c r="R33" i="126"/>
  <c r="T33" i="126" s="1"/>
  <c r="R34" i="126"/>
  <c r="T34" i="126" s="1"/>
  <c r="R27" i="126"/>
  <c r="T27" i="126" s="1"/>
  <c r="Q9" i="126"/>
  <c r="Q10" i="126" s="1"/>
  <c r="Q11" i="126" s="1"/>
  <c r="Q12" i="126" s="1"/>
  <c r="Q13" i="126" s="1"/>
  <c r="Q14" i="126" s="1"/>
  <c r="Q15" i="126" s="1"/>
  <c r="Q16" i="126" s="1"/>
  <c r="Q17" i="126" s="1"/>
  <c r="Q18" i="126" s="1"/>
  <c r="Q19" i="126" s="1"/>
  <c r="Q20" i="126" s="1"/>
  <c r="Q21" i="126" s="1"/>
  <c r="R39" i="126"/>
  <c r="T39" i="126" s="1"/>
  <c r="R35" i="126"/>
  <c r="T35" i="126" s="1"/>
  <c r="R28" i="126"/>
  <c r="T28" i="126" s="1"/>
  <c r="R30" i="126"/>
  <c r="T30" i="126" s="1"/>
  <c r="R36" i="126"/>
  <c r="T36" i="126" s="1"/>
  <c r="R29" i="126"/>
  <c r="T29" i="126" s="1"/>
  <c r="H9" i="126"/>
  <c r="C44" i="126" s="1"/>
  <c r="R38" i="126"/>
  <c r="T38" i="126" s="1"/>
  <c r="R31" i="126"/>
  <c r="T31" i="126" s="1"/>
  <c r="E10" i="126"/>
  <c r="W6" i="140"/>
  <c r="I16" i="138"/>
  <c r="M7" i="137"/>
  <c r="W15" i="140"/>
  <c r="S7" i="139"/>
  <c r="M16" i="137"/>
  <c r="X19" i="140"/>
  <c r="N8" i="139"/>
  <c r="N20" i="137"/>
  <c r="N21" i="136"/>
  <c r="H9" i="140"/>
  <c r="I15" i="138"/>
  <c r="I7" i="137"/>
  <c r="M20" i="140"/>
  <c r="I12" i="139"/>
  <c r="X20" i="137"/>
  <c r="M24" i="136"/>
  <c r="R4" i="140" a="1"/>
  <c r="W9" i="138"/>
  <c r="N11" i="136"/>
  <c r="R19" i="140"/>
  <c r="M13" i="138"/>
  <c r="X8" i="136"/>
  <c r="S14" i="140"/>
  <c r="H16" i="137"/>
  <c r="S9" i="136"/>
  <c r="S15" i="140"/>
  <c r="N12" i="137"/>
  <c r="N10" i="136"/>
  <c r="W11" i="140"/>
  <c r="N20" i="138"/>
  <c r="M13" i="137"/>
  <c r="R18" i="139"/>
  <c r="X11" i="136"/>
  <c r="W18" i="134"/>
  <c r="S12" i="140"/>
  <c r="I18" i="137"/>
  <c r="N17" i="135"/>
  <c r="X15" i="133"/>
  <c r="W18" i="140"/>
  <c r="S15" i="139"/>
  <c r="X15" i="136"/>
  <c r="S16" i="134"/>
  <c r="W13" i="140"/>
  <c r="S20" i="137"/>
  <c r="N11" i="138"/>
  <c r="H18" i="139"/>
  <c r="S21" i="135"/>
  <c r="S8" i="134"/>
  <c r="X7" i="132"/>
  <c r="X10" i="133"/>
  <c r="W29" i="136"/>
  <c r="R16" i="135"/>
  <c r="S17" i="132"/>
  <c r="X13" i="135"/>
  <c r="S7" i="138"/>
  <c r="R18" i="140"/>
  <c r="I17" i="135"/>
  <c r="N9" i="133"/>
  <c r="X10" i="137"/>
  <c r="R9" i="135"/>
  <c r="M8" i="133"/>
  <c r="S17" i="140"/>
  <c r="I18" i="135"/>
  <c r="R19" i="132"/>
  <c r="X18" i="139"/>
  <c r="N12" i="135"/>
  <c r="R4" i="132" a="1"/>
  <c r="X20" i="139"/>
  <c r="M15" i="138"/>
  <c r="R30" i="136"/>
  <c r="I14" i="140"/>
  <c r="W6" i="139"/>
  <c r="X13" i="137"/>
  <c r="N17" i="140"/>
  <c r="R7" i="139"/>
  <c r="R19" i="137"/>
  <c r="R20" i="136"/>
  <c r="S6" i="140"/>
  <c r="M14" i="138"/>
  <c r="M6" i="137"/>
  <c r="X17" i="140"/>
  <c r="M11" i="139"/>
  <c r="N18" i="137"/>
  <c r="X21" i="136"/>
  <c r="M20" i="139"/>
  <c r="H21" i="137"/>
  <c r="R10" i="136"/>
  <c r="H17" i="140"/>
  <c r="I12" i="138"/>
  <c r="N6" i="136"/>
  <c r="I12" i="140"/>
  <c r="R13" i="137"/>
  <c r="W8" i="136"/>
  <c r="R9" i="140"/>
  <c r="X9" i="137"/>
  <c r="R9" i="136"/>
  <c r="N10" i="140"/>
  <c r="X17" i="138"/>
  <c r="M8" i="137"/>
  <c r="X16" i="139"/>
  <c r="N8" i="136"/>
  <c r="R14" i="134"/>
  <c r="M10" i="140"/>
  <c r="S16" i="137"/>
  <c r="N16" i="135"/>
  <c r="N13" i="133"/>
  <c r="M14" i="140"/>
  <c r="X9" i="139"/>
  <c r="W13" i="136"/>
  <c r="W15" i="134"/>
  <c r="N11" i="140"/>
  <c r="H14" i="137"/>
  <c r="R20" i="137"/>
  <c r="X13" i="139"/>
  <c r="N20" i="135"/>
  <c r="S7" i="134"/>
  <c r="M20" i="135"/>
  <c r="X9" i="133"/>
  <c r="H21" i="136"/>
  <c r="M15" i="135"/>
  <c r="W16" i="132"/>
  <c r="X8" i="135"/>
  <c r="I10" i="140"/>
  <c r="R15" i="139"/>
  <c r="X15" i="135"/>
  <c r="N8" i="133"/>
  <c r="I8" i="136"/>
  <c r="I7" i="135"/>
  <c r="R6" i="133"/>
  <c r="X12" i="140"/>
  <c r="N18" i="139"/>
  <c r="X12" i="138"/>
  <c r="H28" i="136"/>
  <c r="M13" i="140"/>
  <c r="X21" i="138"/>
  <c r="N11" i="137"/>
  <c r="R16" i="140"/>
  <c r="M4" i="139" a="1"/>
  <c r="H17" i="137"/>
  <c r="H18" i="136"/>
  <c r="H4" i="140" a="1"/>
  <c r="X11" i="138"/>
  <c r="N30" i="136"/>
  <c r="N15" i="140"/>
  <c r="X8" i="139"/>
  <c r="R17" i="137"/>
  <c r="N19" i="136"/>
  <c r="W16" i="139"/>
  <c r="S18" i="137"/>
  <c r="H8" i="136"/>
  <c r="R13" i="140"/>
  <c r="N8" i="138"/>
  <c r="S22" i="135"/>
  <c r="H7" i="140"/>
  <c r="H11" i="137"/>
  <c r="I7" i="136"/>
  <c r="I20" i="139"/>
  <c r="N7" i="137"/>
  <c r="H7" i="136"/>
  <c r="M9" i="140"/>
  <c r="N15" i="138"/>
  <c r="N28" i="136"/>
  <c r="I7" i="139"/>
  <c r="N7" i="136"/>
  <c r="H12" i="134"/>
  <c r="H20" i="139"/>
  <c r="S11" i="137"/>
  <c r="M11" i="135"/>
  <c r="R12" i="133"/>
  <c r="H8" i="140"/>
  <c r="I8" i="139"/>
  <c r="R12" i="136"/>
  <c r="I14" i="134"/>
  <c r="H20" i="140"/>
  <c r="H9" i="137"/>
  <c r="S15" i="137"/>
  <c r="M6" i="139"/>
  <c r="H19" i="135"/>
  <c r="R6" i="134"/>
  <c r="S16" i="135"/>
  <c r="I7" i="133"/>
  <c r="X12" i="136"/>
  <c r="R12" i="135"/>
  <c r="I15" i="132"/>
  <c r="R6" i="135"/>
  <c r="R20" i="139"/>
  <c r="M20" i="138"/>
  <c r="S9" i="135"/>
  <c r="S6" i="133"/>
  <c r="N19" i="139"/>
  <c r="M4" i="135" a="1"/>
  <c r="R24" i="132"/>
  <c r="X14" i="139"/>
  <c r="H13" i="135"/>
  <c r="S14" i="132"/>
  <c r="I19" i="138"/>
  <c r="H6" i="134"/>
  <c r="M12" i="137"/>
  <c r="X19" i="132"/>
  <c r="I21" i="138"/>
  <c r="W17" i="133"/>
  <c r="N23" i="136"/>
  <c r="H9" i="134"/>
  <c r="S17" i="133"/>
  <c r="I10" i="138"/>
  <c r="I14" i="132"/>
  <c r="I12" i="134"/>
  <c r="N17" i="138"/>
  <c r="X19" i="134"/>
  <c r="X6" i="132"/>
  <c r="I9" i="137"/>
  <c r="S6" i="132"/>
  <c r="X9" i="140"/>
  <c r="X23" i="132"/>
  <c r="H8" i="134"/>
  <c r="X10" i="134"/>
  <c r="M11" i="140"/>
  <c r="W30" i="136"/>
  <c r="I11" i="140"/>
  <c r="R8" i="139"/>
  <c r="H10" i="138"/>
  <c r="H6" i="135"/>
  <c r="S24" i="132"/>
  <c r="I11" i="139"/>
  <c r="I17" i="134"/>
  <c r="S10" i="135"/>
  <c r="W7" i="140"/>
  <c r="W6" i="137"/>
  <c r="X13" i="138"/>
  <c r="X6" i="136"/>
  <c r="X20" i="135"/>
  <c r="M7" i="138"/>
  <c r="R17" i="139"/>
  <c r="N10" i="138"/>
  <c r="S25" i="136"/>
  <c r="X10" i="140"/>
  <c r="N19" i="138"/>
  <c r="R10" i="137"/>
  <c r="H14" i="140"/>
  <c r="W21" i="138"/>
  <c r="S14" i="137"/>
  <c r="S15" i="136"/>
  <c r="X19" i="139"/>
  <c r="N9" i="138"/>
  <c r="R29" i="136"/>
  <c r="R14" i="140"/>
  <c r="N6" i="139"/>
  <c r="H15" i="137"/>
  <c r="R18" i="136"/>
  <c r="N15" i="139"/>
  <c r="R12" i="137"/>
  <c r="X21" i="135"/>
  <c r="R8" i="140"/>
  <c r="R18" i="137"/>
  <c r="W21" i="135"/>
  <c r="W17" i="139"/>
  <c r="R8" i="137"/>
  <c r="M6" i="136"/>
  <c r="N16" i="139"/>
  <c r="M4" i="137" a="1"/>
  <c r="X21" i="140"/>
  <c r="R6" i="140"/>
  <c r="S11" i="138"/>
  <c r="M23" i="136"/>
  <c r="S21" i="138"/>
  <c r="H6" i="136"/>
  <c r="S9" i="134"/>
  <c r="M16" i="139"/>
  <c r="S6" i="137"/>
  <c r="N10" i="135"/>
  <c r="H10" i="133"/>
  <c r="N6" i="140"/>
  <c r="H15" i="138"/>
  <c r="I11" i="136"/>
  <c r="N10" i="137"/>
  <c r="W8" i="138"/>
  <c r="R15" i="135"/>
  <c r="I18" i="133"/>
  <c r="N15" i="135"/>
  <c r="M16" i="140"/>
  <c r="N20" i="140"/>
  <c r="H10" i="135"/>
  <c r="X11" i="132"/>
  <c r="H22" i="132"/>
  <c r="N7" i="139"/>
  <c r="W13" i="132"/>
  <c r="W14" i="133"/>
  <c r="I6" i="132"/>
  <c r="I16" i="133"/>
  <c r="R8" i="136"/>
  <c r="W15" i="133"/>
  <c r="H11" i="133"/>
  <c r="R22" i="136"/>
  <c r="W6" i="132"/>
  <c r="I14" i="133"/>
  <c r="N9" i="137"/>
  <c r="X16" i="133"/>
  <c r="I26" i="136"/>
  <c r="H15" i="139"/>
  <c r="R9" i="138"/>
  <c r="W24" i="136"/>
  <c r="N8" i="140"/>
  <c r="R18" i="138"/>
  <c r="H8" i="137"/>
  <c r="S11" i="140"/>
  <c r="I20" i="138"/>
  <c r="W13" i="137"/>
  <c r="W14" i="136"/>
  <c r="N17" i="139"/>
  <c r="R8" i="138"/>
  <c r="H27" i="136"/>
  <c r="H12" i="140"/>
  <c r="S20" i="138"/>
  <c r="S12" i="137"/>
  <c r="H16" i="136"/>
  <c r="M14" i="139"/>
  <c r="R7" i="137"/>
  <c r="N19" i="135"/>
  <c r="X17" i="139"/>
  <c r="I16" i="137"/>
  <c r="I20" i="135"/>
  <c r="W12" i="139"/>
  <c r="H6" i="137"/>
  <c r="N23" i="135"/>
  <c r="N11" i="139"/>
  <c r="H29" i="136"/>
  <c r="M19" i="140"/>
  <c r="S18" i="139"/>
  <c r="I9" i="138"/>
  <c r="R21" i="136"/>
  <c r="I14" i="138"/>
  <c r="R4" i="136" a="1"/>
  <c r="W8" i="134"/>
  <c r="R14" i="139"/>
  <c r="X24" i="136"/>
  <c r="M9" i="135"/>
  <c r="S7" i="133"/>
  <c r="W19" i="139"/>
  <c r="M6" i="138"/>
  <c r="H10" i="136"/>
  <c r="R7" i="134"/>
  <c r="N9" i="140"/>
  <c r="N27" i="136"/>
  <c r="S28" i="136"/>
  <c r="X15" i="137"/>
  <c r="H14" i="135"/>
  <c r="H17" i="133"/>
  <c r="S12" i="135"/>
  <c r="X11" i="140"/>
  <c r="H6" i="139"/>
  <c r="R13" i="134"/>
  <c r="R8" i="132"/>
  <c r="M17" i="139"/>
  <c r="R17" i="138"/>
  <c r="R4" i="138" a="1"/>
  <c r="S20" i="134"/>
  <c r="W23" i="132"/>
  <c r="R16" i="138"/>
  <c r="H16" i="134"/>
  <c r="S19" i="132"/>
  <c r="N16" i="138"/>
  <c r="I8" i="135"/>
  <c r="I12" i="132"/>
  <c r="W18" i="139"/>
  <c r="I13" i="133"/>
  <c r="R19" i="136"/>
  <c r="S21" i="140"/>
  <c r="S12" i="139"/>
  <c r="H7" i="138"/>
  <c r="I23" i="136"/>
  <c r="R7" i="140"/>
  <c r="H16" i="138"/>
  <c r="X28" i="136"/>
  <c r="W10" i="140"/>
  <c r="M19" i="138"/>
  <c r="I12" i="137"/>
  <c r="I13" i="136"/>
  <c r="R16" i="139"/>
  <c r="H6" i="138"/>
  <c r="S24" i="136"/>
  <c r="S9" i="140"/>
  <c r="W19" i="138"/>
  <c r="W11" i="137"/>
  <c r="S13" i="136"/>
  <c r="R11" i="139"/>
  <c r="W4" i="137" a="1"/>
  <c r="R18" i="135"/>
  <c r="M15" i="139"/>
  <c r="S13" i="137"/>
  <c r="M19" i="135"/>
  <c r="X7" i="139"/>
  <c r="M30" i="136"/>
  <c r="R22" i="135"/>
  <c r="W7" i="139"/>
  <c r="W27" i="136"/>
  <c r="R15" i="140"/>
  <c r="H16" i="139"/>
  <c r="I15" i="140"/>
  <c r="N18" i="136"/>
  <c r="X6" i="138"/>
  <c r="R21" i="135"/>
  <c r="I7" i="134"/>
  <c r="W8" i="139"/>
  <c r="S19" i="136"/>
  <c r="N8" i="135"/>
  <c r="W6" i="133"/>
  <c r="I18" i="139"/>
  <c r="M4" i="138" a="1"/>
  <c r="W7" i="136"/>
  <c r="M4" i="134" a="1"/>
  <c r="N7" i="140"/>
  <c r="S23" i="136"/>
  <c r="M27" i="136"/>
  <c r="M10" i="137"/>
  <c r="X12" i="135"/>
  <c r="H16" i="133"/>
  <c r="I10" i="135"/>
  <c r="W4" i="140" a="1"/>
  <c r="H8" i="138"/>
  <c r="R12" i="134"/>
  <c r="H6" i="132"/>
  <c r="I13" i="139"/>
  <c r="N7" i="138"/>
  <c r="N19" i="137"/>
  <c r="I15" i="134"/>
  <c r="I22" i="132"/>
  <c r="M19" i="137"/>
  <c r="H15" i="134"/>
  <c r="W18" i="132"/>
  <c r="X9" i="138"/>
  <c r="I18" i="134"/>
  <c r="X8" i="132"/>
  <c r="H19" i="138"/>
  <c r="S11" i="133"/>
  <c r="X14" i="135"/>
  <c r="W20" i="140"/>
  <c r="W11" i="139"/>
  <c r="M21" i="137"/>
  <c r="M22" i="136"/>
  <c r="M4" i="140" a="1"/>
  <c r="S13" i="138"/>
  <c r="N26" i="136"/>
  <c r="I9" i="140"/>
  <c r="X16" i="138"/>
  <c r="M11" i="137"/>
  <c r="M12" i="136"/>
  <c r="H14" i="139"/>
  <c r="I21" i="137"/>
  <c r="W23" i="136"/>
  <c r="W8" i="140"/>
  <c r="I18" i="138"/>
  <c r="I10" i="137"/>
  <c r="W12" i="136"/>
  <c r="N10" i="139"/>
  <c r="M29" i="136"/>
  <c r="H16" i="135"/>
  <c r="X12" i="139"/>
  <c r="I11" i="137"/>
  <c r="X16" i="135"/>
  <c r="R19" i="138"/>
  <c r="I29" i="136"/>
  <c r="H20" i="135"/>
  <c r="H18" i="138"/>
  <c r="S26" i="136"/>
  <c r="I13" i="140"/>
  <c r="W14" i="139"/>
  <c r="R10" i="140"/>
  <c r="S16" i="136"/>
  <c r="S21" i="137"/>
  <c r="S20" i="135"/>
  <c r="N18" i="133"/>
  <c r="H7" i="139"/>
  <c r="S14" i="136"/>
  <c r="S6" i="135"/>
  <c r="X18" i="140"/>
  <c r="I16" i="139"/>
  <c r="I19" i="137"/>
  <c r="I23" i="135"/>
  <c r="W18" i="133"/>
  <c r="M19" i="139"/>
  <c r="H22" i="136"/>
  <c r="R23" i="136"/>
  <c r="X7" i="137"/>
  <c r="R11" i="135"/>
  <c r="H8" i="133"/>
  <c r="W6" i="135"/>
  <c r="H4" i="139" a="1"/>
  <c r="H18" i="137"/>
  <c r="R11" i="134"/>
  <c r="X17" i="136"/>
  <c r="N18" i="138"/>
  <c r="W14" i="137"/>
  <c r="I14" i="137"/>
  <c r="H14" i="134"/>
  <c r="X18" i="132"/>
  <c r="X16" i="137"/>
  <c r="X7" i="134"/>
  <c r="I17" i="132"/>
  <c r="N6" i="138"/>
  <c r="H17" i="134"/>
  <c r="X21" i="137"/>
  <c r="R15" i="138"/>
  <c r="X24" i="132"/>
  <c r="X9" i="135"/>
  <c r="N7" i="135"/>
  <c r="N22" i="135"/>
  <c r="W19" i="132"/>
  <c r="W13" i="138"/>
  <c r="R9" i="133"/>
  <c r="M4" i="133" a="1"/>
  <c r="W8" i="135"/>
  <c r="X17" i="132"/>
  <c r="I23" i="132"/>
  <c r="X14" i="134"/>
  <c r="W21" i="132"/>
  <c r="H18" i="134"/>
  <c r="N6" i="135"/>
  <c r="X11" i="133"/>
  <c r="M18" i="135"/>
  <c r="H20" i="136"/>
  <c r="W4" i="132" a="1"/>
  <c r="H25" i="136"/>
  <c r="H13" i="134"/>
  <c r="R15" i="132"/>
  <c r="X30" i="136"/>
  <c r="X6" i="134"/>
  <c r="X13" i="132"/>
  <c r="R16" i="137"/>
  <c r="W7" i="134"/>
  <c r="I16" i="136"/>
  <c r="M12" i="138"/>
  <c r="R23" i="132"/>
  <c r="S7" i="135"/>
  <c r="W20" i="134"/>
  <c r="M17" i="135"/>
  <c r="W14" i="132"/>
  <c r="N12" i="136"/>
  <c r="S20" i="132"/>
  <c r="W11" i="134"/>
  <c r="H14" i="132"/>
  <c r="W7" i="133"/>
  <c r="H10" i="134"/>
  <c r="H12" i="133"/>
  <c r="S8" i="133"/>
  <c r="S15" i="135"/>
  <c r="S8" i="136"/>
  <c r="I10" i="134"/>
  <c r="I12" i="133"/>
  <c r="W11" i="132"/>
  <c r="M7" i="133"/>
  <c r="X9" i="134"/>
  <c r="R17" i="132"/>
  <c r="M8" i="135"/>
  <c r="W9" i="136"/>
  <c r="I9" i="132"/>
  <c r="H23" i="132"/>
  <c r="S10" i="133"/>
  <c r="M16" i="135"/>
  <c r="S22" i="132"/>
  <c r="W16" i="133"/>
  <c r="H15" i="132"/>
  <c r="W9" i="134"/>
  <c r="I19" i="140"/>
  <c r="I10" i="139"/>
  <c r="X18" i="137"/>
  <c r="X19" i="136"/>
  <c r="W20" i="139"/>
  <c r="W12" i="138"/>
  <c r="R25" i="136"/>
  <c r="M8" i="140"/>
  <c r="N14" i="138"/>
  <c r="X8" i="137"/>
  <c r="S20" i="140"/>
  <c r="S11" i="139"/>
  <c r="M20" i="137"/>
  <c r="I22" i="136"/>
  <c r="I7" i="140"/>
  <c r="M17" i="138"/>
  <c r="M9" i="137"/>
  <c r="S19" i="140"/>
  <c r="H9" i="139"/>
  <c r="I28" i="136"/>
  <c r="S13" i="135"/>
  <c r="M10" i="139"/>
  <c r="S8" i="137"/>
  <c r="N14" i="135"/>
  <c r="R14" i="138"/>
  <c r="X27" i="136"/>
  <c r="S17" i="135"/>
  <c r="S15" i="138"/>
  <c r="H24" i="136"/>
  <c r="S10" i="140"/>
  <c r="S13" i="139"/>
  <c r="X8" i="140"/>
  <c r="N13" i="136"/>
  <c r="H20" i="137"/>
  <c r="S19" i="135"/>
  <c r="R17" i="133"/>
  <c r="R21" i="138"/>
  <c r="W11" i="136"/>
  <c r="S19" i="134"/>
  <c r="W16" i="140"/>
  <c r="M12" i="139"/>
  <c r="S17" i="137"/>
  <c r="I22" i="135"/>
  <c r="I17" i="133"/>
  <c r="R13" i="139"/>
  <c r="I17" i="136"/>
  <c r="I20" i="136"/>
  <c r="X29" i="136"/>
  <c r="H9" i="135"/>
  <c r="M6" i="133"/>
  <c r="W16" i="134"/>
  <c r="X18" i="138"/>
  <c r="M15" i="137"/>
  <c r="R10" i="134"/>
  <c r="H15" i="136"/>
  <c r="W14" i="138"/>
  <c r="H4" i="137" a="1"/>
  <c r="W4" i="133" a="1"/>
  <c r="X16" i="132"/>
  <c r="W19" i="134"/>
  <c r="I14" i="136"/>
  <c r="S15" i="132"/>
  <c r="M18" i="140"/>
  <c r="M9" i="139"/>
  <c r="N16" i="137"/>
  <c r="N17" i="136"/>
  <c r="I19" i="139"/>
  <c r="I11" i="138"/>
  <c r="H23" i="136"/>
  <c r="H19" i="139"/>
  <c r="R13" i="138"/>
  <c r="N6" i="137"/>
  <c r="W19" i="140"/>
  <c r="W10" i="139"/>
  <c r="X17" i="137"/>
  <c r="M21" i="136"/>
  <c r="M6" i="140"/>
  <c r="X14" i="138"/>
  <c r="X6" i="137"/>
  <c r="I17" i="140"/>
  <c r="S6" i="139"/>
  <c r="X26" i="136"/>
  <c r="W12" i="135"/>
  <c r="R6" i="139"/>
  <c r="I6" i="137"/>
  <c r="R13" i="135"/>
  <c r="H12" i="138"/>
  <c r="M25" i="136"/>
  <c r="W16" i="135"/>
  <c r="I13" i="138"/>
  <c r="W22" i="136"/>
  <c r="W21" i="140"/>
  <c r="H11" i="139"/>
  <c r="H13" i="139"/>
  <c r="W10" i="136"/>
  <c r="I15" i="137"/>
  <c r="S18" i="135"/>
  <c r="H15" i="133"/>
  <c r="X19" i="138"/>
  <c r="N9" i="136"/>
  <c r="X17" i="134"/>
  <c r="W14" i="140"/>
  <c r="R10" i="139"/>
  <c r="W15" i="137"/>
  <c r="I21" i="135"/>
  <c r="M16" i="133"/>
  <c r="X11" i="139"/>
  <c r="S6" i="136"/>
  <c r="S18" i="136"/>
  <c r="N24" i="136"/>
  <c r="X6" i="135"/>
  <c r="X21" i="132"/>
  <c r="S13" i="134"/>
  <c r="W11" i="138"/>
  <c r="W12" i="137"/>
  <c r="W10" i="133"/>
  <c r="I9" i="136"/>
  <c r="W20" i="137"/>
  <c r="H26" i="136"/>
  <c r="X13" i="136"/>
  <c r="R18" i="133"/>
  <c r="H13" i="132"/>
  <c r="N22" i="136"/>
  <c r="H4" i="134" a="1"/>
  <c r="R10" i="132"/>
  <c r="N8" i="137"/>
  <c r="W6" i="134"/>
  <c r="X9" i="136"/>
  <c r="W21" i="137"/>
  <c r="H21" i="132"/>
  <c r="I19" i="134"/>
  <c r="I9" i="134"/>
  <c r="W14" i="135"/>
  <c r="X9" i="132"/>
  <c r="W20" i="132"/>
  <c r="S11" i="132"/>
  <c r="R4" i="133" a="1"/>
  <c r="R12" i="132"/>
  <c r="R23" i="135"/>
  <c r="S16" i="132"/>
  <c r="X15" i="140"/>
  <c r="X6" i="139"/>
  <c r="R15" i="137"/>
  <c r="R16" i="136"/>
  <c r="M18" i="139"/>
  <c r="M10" i="138"/>
  <c r="S20" i="136"/>
  <c r="S16" i="139"/>
  <c r="H11" i="138"/>
  <c r="S29" i="136"/>
  <c r="I18" i="140"/>
  <c r="I9" i="139"/>
  <c r="N15" i="137"/>
  <c r="X18" i="136"/>
  <c r="N20" i="139"/>
  <c r="N12" i="138"/>
  <c r="R4" i="137" a="1"/>
  <c r="S13" i="140"/>
  <c r="X20" i="138"/>
  <c r="W21" i="136"/>
  <c r="I11" i="135"/>
  <c r="W20" i="138"/>
  <c r="S30" i="136"/>
  <c r="H11" i="135"/>
  <c r="X10" i="138"/>
  <c r="I24" i="136"/>
  <c r="I15" i="135"/>
  <c r="W10" i="138"/>
  <c r="S21" i="136"/>
  <c r="X16" i="140"/>
  <c r="W9" i="139"/>
  <c r="N9" i="139"/>
  <c r="I6" i="136"/>
  <c r="H10" i="137"/>
  <c r="M13" i="135"/>
  <c r="S12" i="133"/>
  <c r="H14" i="138"/>
  <c r="M8" i="136"/>
  <c r="I16" i="134"/>
  <c r="M12" i="140"/>
  <c r="M21" i="138"/>
  <c r="W10" i="137"/>
  <c r="W11" i="135"/>
  <c r="X13" i="133"/>
  <c r="S9" i="139"/>
  <c r="M7" i="140"/>
  <c r="H17" i="136"/>
  <c r="I21" i="136"/>
  <c r="I20" i="134"/>
  <c r="R18" i="132"/>
  <c r="S12" i="134"/>
  <c r="I8" i="138"/>
  <c r="M15" i="136"/>
  <c r="W9" i="133"/>
  <c r="R7" i="136"/>
  <c r="R9" i="137"/>
  <c r="W20" i="136"/>
  <c r="I10" i="136"/>
  <c r="N15" i="133"/>
  <c r="S10" i="132"/>
  <c r="H17" i="135"/>
  <c r="N17" i="133"/>
  <c r="H8" i="132"/>
  <c r="R24" i="136"/>
  <c r="M17" i="133"/>
  <c r="M4" i="136" a="1"/>
  <c r="I13" i="137"/>
  <c r="S18" i="132"/>
  <c r="S15" i="134"/>
  <c r="X12" i="133"/>
  <c r="I12" i="135"/>
  <c r="M4" i="132" a="1"/>
  <c r="M22" i="135"/>
  <c r="W15" i="132"/>
  <c r="S17" i="136"/>
  <c r="R15" i="133"/>
  <c r="M6" i="135"/>
  <c r="R18" i="134"/>
  <c r="S21" i="132"/>
  <c r="I13" i="134"/>
  <c r="S15" i="133"/>
  <c r="H9" i="133"/>
  <c r="H9" i="132"/>
  <c r="N13" i="140"/>
  <c r="R4" i="139" a="1"/>
  <c r="H13" i="137"/>
  <c r="H14" i="136"/>
  <c r="X15" i="139"/>
  <c r="X7" i="138"/>
  <c r="W19" i="136"/>
  <c r="W15" i="139"/>
  <c r="S8" i="138"/>
  <c r="W28" i="136"/>
  <c r="M17" i="140"/>
  <c r="M8" i="139"/>
  <c r="R14" i="137"/>
  <c r="N16" i="136"/>
  <c r="R19" i="139"/>
  <c r="R11" i="138"/>
  <c r="H30" i="136"/>
  <c r="H11" i="140"/>
  <c r="M18" i="138"/>
  <c r="M19" i="136"/>
  <c r="M10" i="135"/>
  <c r="S19" i="138"/>
  <c r="N25" i="136"/>
  <c r="S8" i="135"/>
  <c r="M8" i="138"/>
  <c r="X22" i="136"/>
  <c r="M14" i="135"/>
  <c r="S9" i="138"/>
  <c r="M20" i="136"/>
  <c r="N14" i="140"/>
  <c r="S8" i="139"/>
  <c r="M16" i="138"/>
  <c r="W23" i="135"/>
  <c r="M28" i="136"/>
  <c r="M12" i="135"/>
  <c r="W11" i="133"/>
  <c r="S10" i="138"/>
  <c r="M7" i="136"/>
  <c r="X12" i="134"/>
  <c r="I8" i="140"/>
  <c r="R6" i="138"/>
  <c r="S7" i="137"/>
  <c r="X10" i="135"/>
  <c r="N11" i="133"/>
  <c r="W18" i="138"/>
  <c r="I17" i="139"/>
  <c r="I15" i="136"/>
  <c r="H11" i="136"/>
  <c r="X16" i="134"/>
  <c r="H16" i="132"/>
  <c r="S11" i="134"/>
  <c r="N21" i="137"/>
  <c r="S7" i="136"/>
  <c r="X8" i="133"/>
  <c r="W22" i="135"/>
  <c r="H7" i="137"/>
  <c r="R14" i="136"/>
  <c r="W6" i="136"/>
  <c r="M13" i="133"/>
  <c r="W9" i="132"/>
  <c r="W15" i="135"/>
  <c r="N16" i="133"/>
  <c r="S12" i="138"/>
  <c r="H19" i="136"/>
  <c r="M14" i="133"/>
  <c r="H18" i="135"/>
  <c r="R27" i="136"/>
  <c r="I16" i="132"/>
  <c r="R4" i="134" a="1"/>
  <c r="S9" i="133"/>
  <c r="W9" i="135"/>
  <c r="R14" i="133"/>
  <c r="S11" i="135"/>
  <c r="X10" i="132"/>
  <c r="I19" i="135"/>
  <c r="W13" i="133"/>
  <c r="I16" i="135"/>
  <c r="I18" i="132"/>
  <c r="W8" i="133"/>
  <c r="R16" i="134"/>
  <c r="W17" i="132"/>
  <c r="I15" i="133"/>
  <c r="S7" i="132"/>
  <c r="R4" i="135" a="1"/>
  <c r="H8" i="135"/>
  <c r="S16" i="138"/>
  <c r="M11" i="138"/>
  <c r="S19" i="139"/>
  <c r="W20" i="135"/>
  <c r="N13" i="137"/>
  <c r="W4" i="136" a="1"/>
  <c r="X22" i="132"/>
  <c r="X7" i="140"/>
  <c r="R17" i="135"/>
  <c r="S8" i="132"/>
  <c r="R11" i="133"/>
  <c r="H19" i="134"/>
  <c r="R12" i="140"/>
  <c r="H21" i="138"/>
  <c r="S10" i="137"/>
  <c r="R21" i="140"/>
  <c r="N13" i="139"/>
  <c r="S19" i="137"/>
  <c r="I18" i="136"/>
  <c r="I14" i="139"/>
  <c r="W7" i="138"/>
  <c r="I27" i="136"/>
  <c r="X14" i="140"/>
  <c r="H20" i="138"/>
  <c r="H12" i="137"/>
  <c r="R15" i="136"/>
  <c r="H17" i="139"/>
  <c r="H9" i="138"/>
  <c r="S27" i="136"/>
  <c r="W9" i="140"/>
  <c r="I17" i="138"/>
  <c r="W15" i="136"/>
  <c r="X7" i="135"/>
  <c r="H17" i="138"/>
  <c r="X16" i="136"/>
  <c r="W7" i="135"/>
  <c r="I7" i="138"/>
  <c r="N20" i="136"/>
  <c r="R20" i="140"/>
  <c r="W19" i="137"/>
  <c r="I19" i="136"/>
  <c r="H13" i="140"/>
  <c r="M7" i="139"/>
  <c r="R12" i="138"/>
  <c r="N21" i="140"/>
  <c r="R26" i="136"/>
  <c r="N11" i="135"/>
  <c r="I10" i="133"/>
  <c r="X8" i="138"/>
  <c r="R20" i="135"/>
  <c r="R9" i="134"/>
  <c r="N12" i="139"/>
  <c r="I16" i="140"/>
  <c r="X25" i="136"/>
  <c r="H7" i="135"/>
  <c r="R10" i="133"/>
  <c r="H13" i="138"/>
  <c r="I15" i="139"/>
  <c r="R13" i="136"/>
  <c r="M9" i="136"/>
  <c r="X15" i="134"/>
  <c r="S13" i="132"/>
  <c r="S10" i="134"/>
  <c r="M18" i="137"/>
  <c r="X22" i="135"/>
  <c r="H7" i="133"/>
  <c r="M21" i="135"/>
  <c r="I6" i="140"/>
  <c r="S10" i="136"/>
  <c r="M23" i="135"/>
  <c r="N12" i="133"/>
  <c r="I8" i="132"/>
  <c r="S14" i="135"/>
  <c r="M15" i="133"/>
  <c r="I30" i="136"/>
  <c r="S11" i="136"/>
  <c r="I9" i="133"/>
  <c r="R17" i="140"/>
  <c r="W25" i="136"/>
  <c r="R13" i="132"/>
  <c r="X17" i="133"/>
  <c r="R14" i="132"/>
  <c r="R7" i="135"/>
  <c r="X20" i="132"/>
  <c r="R20" i="138"/>
  <c r="R9" i="132"/>
  <c r="W13" i="135"/>
  <c r="H24" i="132"/>
  <c r="W10" i="135"/>
  <c r="I13" i="132"/>
  <c r="R7" i="133"/>
  <c r="X11" i="134"/>
  <c r="R16" i="132"/>
  <c r="S13" i="133"/>
  <c r="X14" i="133"/>
  <c r="S17" i="134"/>
  <c r="I6" i="135"/>
  <c r="R6" i="136"/>
  <c r="N7" i="133"/>
  <c r="W12" i="140"/>
  <c r="H9" i="136"/>
  <c r="H11" i="132"/>
  <c r="X15" i="132"/>
  <c r="I14" i="135"/>
  <c r="H7" i="132"/>
  <c r="I9" i="135"/>
  <c r="W22" i="132"/>
  <c r="S14" i="134"/>
  <c r="S22" i="136"/>
  <c r="H4" i="133" a="1"/>
  <c r="X18" i="133"/>
  <c r="R11" i="132"/>
  <c r="I20" i="132"/>
  <c r="R8" i="133"/>
  <c r="H4" i="135" a="1"/>
  <c r="X6" i="140"/>
  <c r="M16" i="136"/>
  <c r="R20" i="134"/>
  <c r="M21" i="140"/>
  <c r="N18" i="135"/>
  <c r="M18" i="133"/>
  <c r="S17" i="139"/>
  <c r="W7" i="137"/>
  <c r="H20" i="132"/>
  <c r="W17" i="137"/>
  <c r="H4" i="132" a="1"/>
  <c r="H10" i="140"/>
  <c r="S18" i="138"/>
  <c r="W9" i="137"/>
  <c r="H19" i="140"/>
  <c r="R12" i="139"/>
  <c r="W18" i="137"/>
  <c r="M17" i="136"/>
  <c r="M13" i="139"/>
  <c r="I6" i="138"/>
  <c r="M26" i="136"/>
  <c r="N12" i="140"/>
  <c r="S17" i="138"/>
  <c r="S9" i="137"/>
  <c r="H13" i="136"/>
  <c r="S14" i="139"/>
  <c r="S6" i="138"/>
  <c r="W26" i="136"/>
  <c r="S8" i="140"/>
  <c r="X15" i="138"/>
  <c r="N14" i="136"/>
  <c r="S18" i="134"/>
  <c r="W15" i="138"/>
  <c r="M14" i="136"/>
  <c r="X20" i="140"/>
  <c r="X19" i="137"/>
  <c r="W16" i="136"/>
  <c r="N19" i="140"/>
  <c r="M17" i="137"/>
  <c r="N15" i="136"/>
  <c r="W17" i="140"/>
  <c r="I6" i="139"/>
  <c r="I20" i="137"/>
  <c r="H15" i="140"/>
  <c r="M18" i="136"/>
  <c r="N9" i="135"/>
  <c r="M9" i="133"/>
  <c r="W6" i="138"/>
  <c r="R19" i="135"/>
  <c r="H7" i="134"/>
  <c r="S10" i="139"/>
  <c r="X13" i="140"/>
  <c r="X20" i="136"/>
  <c r="W4" i="135" a="1"/>
  <c r="I20" i="140"/>
  <c r="M9" i="138"/>
  <c r="R9" i="139"/>
  <c r="H21" i="140"/>
  <c r="X7" i="136"/>
  <c r="W14" i="134"/>
  <c r="W12" i="132"/>
  <c r="R8" i="134"/>
  <c r="X12" i="137"/>
  <c r="N21" i="135"/>
  <c r="R22" i="132"/>
  <c r="W17" i="135"/>
  <c r="S20" i="139"/>
  <c r="S18" i="140"/>
  <c r="H22" i="135"/>
  <c r="M11" i="133"/>
  <c r="H19" i="137"/>
  <c r="I13" i="135"/>
  <c r="N14" i="133"/>
  <c r="R11" i="136"/>
  <c r="H13" i="133"/>
  <c r="H12" i="132"/>
  <c r="X20" i="134"/>
  <c r="W12" i="134"/>
  <c r="W16" i="137"/>
  <c r="W18" i="136"/>
  <c r="H20" i="134"/>
  <c r="H16" i="140"/>
  <c r="R7" i="138"/>
  <c r="N16" i="140"/>
  <c r="H4" i="136" a="1"/>
  <c r="W13" i="134"/>
  <c r="H15" i="135"/>
  <c r="M12" i="133"/>
  <c r="H23" i="135"/>
  <c r="S9" i="132"/>
  <c r="M7" i="135"/>
  <c r="S7" i="140"/>
  <c r="W17" i="138"/>
  <c r="I8" i="137"/>
  <c r="S16" i="140"/>
  <c r="H10" i="139"/>
  <c r="I17" i="137"/>
  <c r="X14" i="136"/>
  <c r="X10" i="139"/>
  <c r="W4" i="138" a="1"/>
  <c r="X23" i="136"/>
  <c r="R11" i="140"/>
  <c r="W16" i="138"/>
  <c r="W8" i="137"/>
  <c r="I21" i="140"/>
  <c r="W13" i="139"/>
  <c r="H4" i="138" a="1"/>
  <c r="I25" i="136"/>
  <c r="H6" i="140"/>
  <c r="N13" i="138"/>
  <c r="M13" i="136"/>
  <c r="W17" i="134"/>
  <c r="S14" i="138"/>
  <c r="M11" i="136"/>
  <c r="N18" i="140"/>
  <c r="N17" i="137"/>
  <c r="I12" i="136"/>
  <c r="H18" i="140"/>
  <c r="X14" i="137"/>
  <c r="H12" i="136"/>
  <c r="M15" i="140"/>
  <c r="W4" i="139" a="1"/>
  <c r="R21" i="137"/>
  <c r="N21" i="138"/>
  <c r="I11" i="132"/>
  <c r="H18" i="133"/>
  <c r="X17" i="135"/>
  <c r="M10" i="133"/>
  <c r="X11" i="135"/>
  <c r="R14" i="135"/>
  <c r="W10" i="134"/>
  <c r="R17" i="136"/>
  <c r="H12" i="139"/>
  <c r="R10" i="135"/>
  <c r="R6" i="132"/>
  <c r="S14" i="133"/>
  <c r="M10" i="136"/>
  <c r="S12" i="132"/>
  <c r="I8" i="133"/>
  <c r="W18" i="135"/>
  <c r="R17" i="134"/>
  <c r="I7" i="132"/>
  <c r="I11" i="134"/>
  <c r="X11" i="137"/>
  <c r="R13" i="133"/>
  <c r="I6" i="134"/>
  <c r="X6" i="133"/>
  <c r="H8" i="139"/>
  <c r="I21" i="132"/>
  <c r="H17" i="132"/>
  <c r="X8" i="134"/>
  <c r="R19" i="134"/>
  <c r="H11" i="134"/>
  <c r="X12" i="132"/>
  <c r="X14" i="132"/>
  <c r="X18" i="135"/>
  <c r="S6" i="134"/>
  <c r="N14" i="139"/>
  <c r="R10" i="138"/>
  <c r="I10" i="132"/>
  <c r="X10" i="136"/>
  <c r="N13" i="135"/>
  <c r="M14" i="137"/>
  <c r="H21" i="135"/>
  <c r="S23" i="135"/>
  <c r="R28" i="136"/>
  <c r="S16" i="133"/>
  <c r="W19" i="135"/>
  <c r="R20" i="132"/>
  <c r="H14" i="133"/>
  <c r="S23" i="132"/>
  <c r="W4" i="134" a="1"/>
  <c r="W24" i="132"/>
  <c r="I19" i="132"/>
  <c r="I6" i="133"/>
  <c r="H18" i="132"/>
  <c r="R16" i="133"/>
  <c r="X19" i="135"/>
  <c r="X18" i="134"/>
  <c r="R21" i="132"/>
  <c r="H6" i="133"/>
  <c r="R7" i="132"/>
  <c r="X13" i="134"/>
  <c r="R8" i="135"/>
  <c r="H12" i="135"/>
  <c r="H19" i="132"/>
  <c r="N29" i="136"/>
  <c r="W12" i="133"/>
  <c r="R6" i="137"/>
  <c r="R11" i="137"/>
  <c r="X7" i="133"/>
  <c r="W7" i="132"/>
  <c r="N10" i="133"/>
  <c r="W17" i="136"/>
  <c r="N14" i="137"/>
  <c r="W10" i="132"/>
  <c r="S12" i="136"/>
  <c r="N6" i="133"/>
  <c r="H10" i="132"/>
  <c r="S18" i="133"/>
  <c r="I8" i="134"/>
  <c r="R15" i="134"/>
  <c r="I24" i="132"/>
  <c r="X23" i="135"/>
  <c r="W8" i="132"/>
  <c r="I11" i="133"/>
  <c r="J11" i="133" l="1"/>
  <c r="K11" i="133" s="1"/>
  <c r="Y23" i="135"/>
  <c r="Z23" i="135" s="1"/>
  <c r="J24" i="132"/>
  <c r="K24" i="132" s="1"/>
  <c r="J8" i="134"/>
  <c r="K8" i="134" s="1"/>
  <c r="T18" i="133"/>
  <c r="U18" i="133" s="1"/>
  <c r="O6" i="133"/>
  <c r="P6" i="133" s="1"/>
  <c r="T12" i="136"/>
  <c r="U12" i="136" s="1"/>
  <c r="O14" i="137"/>
  <c r="P14" i="137" s="1"/>
  <c r="O10" i="133"/>
  <c r="P10" i="133" s="1"/>
  <c r="Y7" i="133"/>
  <c r="Z7" i="133" s="1"/>
  <c r="O29" i="136"/>
  <c r="P29" i="136" s="1"/>
  <c r="Y13" i="134"/>
  <c r="Z13" i="134" s="1"/>
  <c r="Y18" i="134"/>
  <c r="Z18" i="134" s="1"/>
  <c r="Y19" i="135"/>
  <c r="Z19" i="135" s="1"/>
  <c r="J6" i="133"/>
  <c r="K6" i="133" s="1"/>
  <c r="J19" i="132"/>
  <c r="K19" i="132" s="1"/>
  <c r="W4" i="134"/>
  <c r="W21" i="134" s="1"/>
  <c r="T23" i="132"/>
  <c r="U23" i="132" s="1"/>
  <c r="T16" i="133"/>
  <c r="U16" i="133" s="1"/>
  <c r="T23" i="135"/>
  <c r="U23" i="135" s="1"/>
  <c r="O13" i="135"/>
  <c r="P13" i="135" s="1"/>
  <c r="Y10" i="136"/>
  <c r="Z10" i="136" s="1"/>
  <c r="J10" i="132"/>
  <c r="K10" i="132" s="1"/>
  <c r="O14" i="139"/>
  <c r="P14" i="139" s="1"/>
  <c r="T6" i="134"/>
  <c r="U6" i="134" s="1"/>
  <c r="Y18" i="135"/>
  <c r="Z18" i="135" s="1"/>
  <c r="Y14" i="132"/>
  <c r="Z14" i="132" s="1"/>
  <c r="Y12" i="132"/>
  <c r="Z12" i="132" s="1"/>
  <c r="Y8" i="134"/>
  <c r="Z8" i="134" s="1"/>
  <c r="J21" i="132"/>
  <c r="K21" i="132" s="1"/>
  <c r="Y6" i="133"/>
  <c r="Z6" i="133" s="1"/>
  <c r="J6" i="134"/>
  <c r="K6" i="134" s="1"/>
  <c r="Y11" i="137"/>
  <c r="Z11" i="137" s="1"/>
  <c r="J11" i="134"/>
  <c r="K11" i="134" s="1"/>
  <c r="J7" i="132"/>
  <c r="K7" i="132" s="1"/>
  <c r="J8" i="133"/>
  <c r="K8" i="133" s="1"/>
  <c r="T12" i="132"/>
  <c r="U12" i="132" s="1"/>
  <c r="T14" i="133"/>
  <c r="U14" i="133" s="1"/>
  <c r="Y11" i="135"/>
  <c r="Z11" i="135" s="1"/>
  <c r="Y17" i="135"/>
  <c r="Z17" i="135" s="1"/>
  <c r="J11" i="132"/>
  <c r="K11" i="132" s="1"/>
  <c r="O21" i="138"/>
  <c r="P21" i="138" s="1"/>
  <c r="W4" i="139"/>
  <c r="W21" i="139" s="1"/>
  <c r="Y14" i="137"/>
  <c r="Z14" i="137" s="1"/>
  <c r="J12" i="136"/>
  <c r="K12" i="136" s="1"/>
  <c r="O17" i="137"/>
  <c r="P17" i="137" s="1"/>
  <c r="O18" i="140"/>
  <c r="P18" i="140" s="1"/>
  <c r="T14" i="138"/>
  <c r="U14" i="138" s="1"/>
  <c r="O13" i="138"/>
  <c r="P13" i="138" s="1"/>
  <c r="J25" i="136"/>
  <c r="K25" i="136" s="1"/>
  <c r="H4" i="138"/>
  <c r="H22" i="138" s="1"/>
  <c r="J21" i="140"/>
  <c r="K21" i="140" s="1"/>
  <c r="Y23" i="136"/>
  <c r="Z23" i="136" s="1"/>
  <c r="W4" i="138"/>
  <c r="W22" i="138" s="1"/>
  <c r="Y10" i="139"/>
  <c r="Z10" i="139" s="1"/>
  <c r="Y14" i="136"/>
  <c r="Z14" i="136" s="1"/>
  <c r="J17" i="137"/>
  <c r="K17" i="137" s="1"/>
  <c r="T16" i="140"/>
  <c r="U16" i="140" s="1"/>
  <c r="J8" i="137"/>
  <c r="K8" i="137" s="1"/>
  <c r="T7" i="140"/>
  <c r="U7" i="140" s="1"/>
  <c r="T9" i="132"/>
  <c r="U9" i="132" s="1"/>
  <c r="H4" i="136"/>
  <c r="H31" i="136" s="1"/>
  <c r="O16" i="140"/>
  <c r="P16" i="140" s="1"/>
  <c r="Y20" i="134"/>
  <c r="Z20" i="134" s="1"/>
  <c r="O14" i="133"/>
  <c r="P14" i="133" s="1"/>
  <c r="J13" i="135"/>
  <c r="K13" i="135" s="1"/>
  <c r="T18" i="140"/>
  <c r="U18" i="140" s="1"/>
  <c r="T20" i="139"/>
  <c r="U20" i="139" s="1"/>
  <c r="O21" i="135"/>
  <c r="P21" i="135" s="1"/>
  <c r="Y12" i="137"/>
  <c r="Z12" i="137" s="1"/>
  <c r="Y7" i="136"/>
  <c r="Z7" i="136" s="1"/>
  <c r="J20" i="140"/>
  <c r="K20" i="140" s="1"/>
  <c r="W4" i="135"/>
  <c r="W24" i="135" s="1"/>
  <c r="Y20" i="136"/>
  <c r="Z20" i="136" s="1"/>
  <c r="Y13" i="140"/>
  <c r="Z13" i="140" s="1"/>
  <c r="T10" i="139"/>
  <c r="U10" i="139" s="1"/>
  <c r="O9" i="135"/>
  <c r="P9" i="135" s="1"/>
  <c r="J20" i="137"/>
  <c r="K20" i="137" s="1"/>
  <c r="J6" i="139"/>
  <c r="K6" i="139" s="1"/>
  <c r="O15" i="136"/>
  <c r="P15" i="136" s="1"/>
  <c r="O19" i="140"/>
  <c r="P19" i="140" s="1"/>
  <c r="Y19" i="137"/>
  <c r="Z19" i="137" s="1"/>
  <c r="Y20" i="140"/>
  <c r="Z20" i="140" s="1"/>
  <c r="T18" i="134"/>
  <c r="U18" i="134" s="1"/>
  <c r="O14" i="136"/>
  <c r="P14" i="136" s="1"/>
  <c r="Y15" i="138"/>
  <c r="Z15" i="138" s="1"/>
  <c r="T8" i="140"/>
  <c r="U8" i="140" s="1"/>
  <c r="T6" i="138"/>
  <c r="U6" i="138" s="1"/>
  <c r="T14" i="139"/>
  <c r="U14" i="139" s="1"/>
  <c r="T9" i="137"/>
  <c r="U9" i="137" s="1"/>
  <c r="T17" i="138"/>
  <c r="U17" i="138" s="1"/>
  <c r="O12" i="140"/>
  <c r="P12" i="140" s="1"/>
  <c r="J6" i="138"/>
  <c r="K6" i="138" s="1"/>
  <c r="T18" i="138"/>
  <c r="U18" i="138" s="1"/>
  <c r="H4" i="132"/>
  <c r="H25" i="132" s="1"/>
  <c r="T17" i="139"/>
  <c r="U17" i="139" s="1"/>
  <c r="O18" i="135"/>
  <c r="P18" i="135" s="1"/>
  <c r="Y6" i="140"/>
  <c r="Z6" i="140" s="1"/>
  <c r="H4" i="135"/>
  <c r="H24" i="135" s="1"/>
  <c r="J20" i="132"/>
  <c r="K20" i="132" s="1"/>
  <c r="Y18" i="133"/>
  <c r="Z18" i="133" s="1"/>
  <c r="H4" i="133"/>
  <c r="H19" i="133" s="1"/>
  <c r="T22" i="136"/>
  <c r="U22" i="136" s="1"/>
  <c r="T14" i="134"/>
  <c r="U14" i="134" s="1"/>
  <c r="J9" i="135"/>
  <c r="K9" i="135" s="1"/>
  <c r="J14" i="135"/>
  <c r="K14" i="135" s="1"/>
  <c r="Y15" i="132"/>
  <c r="Z15" i="132" s="1"/>
  <c r="O7" i="133"/>
  <c r="P7" i="133" s="1"/>
  <c r="J6" i="135"/>
  <c r="K6" i="135" s="1"/>
  <c r="T17" i="134"/>
  <c r="U17" i="134" s="1"/>
  <c r="Y14" i="133"/>
  <c r="Z14" i="133" s="1"/>
  <c r="T13" i="133"/>
  <c r="U13" i="133" s="1"/>
  <c r="Y11" i="134"/>
  <c r="Z11" i="134" s="1"/>
  <c r="J13" i="132"/>
  <c r="K13" i="132" s="1"/>
  <c r="Y20" i="132"/>
  <c r="Z20" i="132" s="1"/>
  <c r="Y17" i="133"/>
  <c r="Z17" i="133" s="1"/>
  <c r="J9" i="133"/>
  <c r="K9" i="133" s="1"/>
  <c r="T11" i="136"/>
  <c r="U11" i="136" s="1"/>
  <c r="J30" i="136"/>
  <c r="K30" i="136" s="1"/>
  <c r="T14" i="135"/>
  <c r="U14" i="135" s="1"/>
  <c r="J8" i="132"/>
  <c r="K8" i="132" s="1"/>
  <c r="O12" i="133"/>
  <c r="P12" i="133" s="1"/>
  <c r="T10" i="136"/>
  <c r="U10" i="136" s="1"/>
  <c r="J6" i="140"/>
  <c r="K6" i="140" s="1"/>
  <c r="Y22" i="135"/>
  <c r="Z22" i="135" s="1"/>
  <c r="T10" i="134"/>
  <c r="U10" i="134" s="1"/>
  <c r="T13" i="132"/>
  <c r="U13" i="132" s="1"/>
  <c r="Y15" i="134"/>
  <c r="Z15" i="134" s="1"/>
  <c r="J15" i="139"/>
  <c r="K15" i="139" s="1"/>
  <c r="Y25" i="136"/>
  <c r="Z25" i="136" s="1"/>
  <c r="J16" i="140"/>
  <c r="K16" i="140" s="1"/>
  <c r="O12" i="139"/>
  <c r="P12" i="139" s="1"/>
  <c r="Y8" i="138"/>
  <c r="Z8" i="138" s="1"/>
  <c r="J10" i="133"/>
  <c r="K10" i="133" s="1"/>
  <c r="O11" i="135"/>
  <c r="P11" i="135" s="1"/>
  <c r="O21" i="140"/>
  <c r="P21" i="140" s="1"/>
  <c r="J19" i="136"/>
  <c r="K19" i="136" s="1"/>
  <c r="O20" i="136"/>
  <c r="P20" i="136" s="1"/>
  <c r="J7" i="138"/>
  <c r="K7" i="138" s="1"/>
  <c r="Y16" i="136"/>
  <c r="Z16" i="136" s="1"/>
  <c r="Y7" i="135"/>
  <c r="Z7" i="135" s="1"/>
  <c r="J17" i="138"/>
  <c r="K17" i="138" s="1"/>
  <c r="T27" i="136"/>
  <c r="U27" i="136" s="1"/>
  <c r="Y14" i="140"/>
  <c r="Z14" i="140" s="1"/>
  <c r="J27" i="136"/>
  <c r="K27" i="136" s="1"/>
  <c r="J14" i="139"/>
  <c r="K14" i="139" s="1"/>
  <c r="J18" i="136"/>
  <c r="K18" i="136" s="1"/>
  <c r="T19" i="137"/>
  <c r="U19" i="137" s="1"/>
  <c r="O13" i="139"/>
  <c r="P13" i="139" s="1"/>
  <c r="T10" i="137"/>
  <c r="U10" i="137" s="1"/>
  <c r="T8" i="132"/>
  <c r="U8" i="132" s="1"/>
  <c r="Y7" i="140"/>
  <c r="Z7" i="140" s="1"/>
  <c r="Y22" i="132"/>
  <c r="Z22" i="132" s="1"/>
  <c r="W4" i="136"/>
  <c r="W31" i="136" s="1"/>
  <c r="O13" i="137"/>
  <c r="P13" i="137" s="1"/>
  <c r="T19" i="139"/>
  <c r="U19" i="139" s="1"/>
  <c r="T16" i="138"/>
  <c r="U16" i="138" s="1"/>
  <c r="R4" i="135"/>
  <c r="R24" i="135" s="1"/>
  <c r="T7" i="132"/>
  <c r="U7" i="132" s="1"/>
  <c r="J15" i="133"/>
  <c r="K15" i="133" s="1"/>
  <c r="J18" i="132"/>
  <c r="K18" i="132" s="1"/>
  <c r="J16" i="135"/>
  <c r="K16" i="135" s="1"/>
  <c r="J19" i="135"/>
  <c r="K19" i="135" s="1"/>
  <c r="Y10" i="132"/>
  <c r="Z10" i="132" s="1"/>
  <c r="T11" i="135"/>
  <c r="U11" i="135" s="1"/>
  <c r="T9" i="133"/>
  <c r="U9" i="133" s="1"/>
  <c r="R4" i="134"/>
  <c r="R21" i="134" s="1"/>
  <c r="J16" i="132"/>
  <c r="K16" i="132" s="1"/>
  <c r="T12" i="138"/>
  <c r="U12" i="138" s="1"/>
  <c r="O16" i="133"/>
  <c r="P16" i="133" s="1"/>
  <c r="Y8" i="133"/>
  <c r="Z8" i="133" s="1"/>
  <c r="T7" i="136"/>
  <c r="U7" i="136" s="1"/>
  <c r="O21" i="137"/>
  <c r="P21" i="137" s="1"/>
  <c r="T11" i="134"/>
  <c r="U11" i="134" s="1"/>
  <c r="Y16" i="134"/>
  <c r="Z16" i="134" s="1"/>
  <c r="J15" i="136"/>
  <c r="K15" i="136" s="1"/>
  <c r="J17" i="139"/>
  <c r="K17" i="139" s="1"/>
  <c r="O11" i="133"/>
  <c r="P11" i="133" s="1"/>
  <c r="Y10" i="135"/>
  <c r="Z10" i="135" s="1"/>
  <c r="T7" i="137"/>
  <c r="U7" i="137" s="1"/>
  <c r="J8" i="140"/>
  <c r="K8" i="140" s="1"/>
  <c r="Y12" i="134"/>
  <c r="Z12" i="134" s="1"/>
  <c r="T10" i="138"/>
  <c r="U10" i="138" s="1"/>
  <c r="T8" i="139"/>
  <c r="U8" i="139" s="1"/>
  <c r="O14" i="140"/>
  <c r="P14" i="140" s="1"/>
  <c r="T9" i="138"/>
  <c r="U9" i="138" s="1"/>
  <c r="Y22" i="136"/>
  <c r="Z22" i="136" s="1"/>
  <c r="T8" i="135"/>
  <c r="U8" i="135" s="1"/>
  <c r="O25" i="136"/>
  <c r="P25" i="136" s="1"/>
  <c r="T19" i="138"/>
  <c r="U19" i="138" s="1"/>
  <c r="O16" i="136"/>
  <c r="P16" i="136" s="1"/>
  <c r="T8" i="138"/>
  <c r="U8" i="138" s="1"/>
  <c r="Y7" i="138"/>
  <c r="Z7" i="138" s="1"/>
  <c r="Y15" i="139"/>
  <c r="Z15" i="139" s="1"/>
  <c r="R4" i="139"/>
  <c r="R21" i="139" s="1"/>
  <c r="O13" i="140"/>
  <c r="P13" i="140" s="1"/>
  <c r="T15" i="133"/>
  <c r="U15" i="133" s="1"/>
  <c r="J13" i="134"/>
  <c r="K13" i="134" s="1"/>
  <c r="T21" i="132"/>
  <c r="U21" i="132" s="1"/>
  <c r="T17" i="136"/>
  <c r="U17" i="136" s="1"/>
  <c r="M4" i="132"/>
  <c r="M25" i="132" s="1"/>
  <c r="J12" i="135"/>
  <c r="K12" i="135" s="1"/>
  <c r="Y12" i="133"/>
  <c r="Z12" i="133" s="1"/>
  <c r="T15" i="134"/>
  <c r="U15" i="134" s="1"/>
  <c r="T18" i="132"/>
  <c r="U18" i="132" s="1"/>
  <c r="J13" i="137"/>
  <c r="K13" i="137" s="1"/>
  <c r="M4" i="136"/>
  <c r="M31" i="136" s="1"/>
  <c r="O17" i="133"/>
  <c r="P17" i="133" s="1"/>
  <c r="T10" i="132"/>
  <c r="U10" i="132" s="1"/>
  <c r="O15" i="133"/>
  <c r="P15" i="133" s="1"/>
  <c r="J10" i="136"/>
  <c r="K10" i="136" s="1"/>
  <c r="J8" i="138"/>
  <c r="K8" i="138" s="1"/>
  <c r="T12" i="134"/>
  <c r="U12" i="134" s="1"/>
  <c r="J20" i="134"/>
  <c r="K20" i="134" s="1"/>
  <c r="J21" i="136"/>
  <c r="K21" i="136" s="1"/>
  <c r="T9" i="139"/>
  <c r="U9" i="139" s="1"/>
  <c r="Y13" i="133"/>
  <c r="Z13" i="133" s="1"/>
  <c r="J16" i="134"/>
  <c r="K16" i="134" s="1"/>
  <c r="T12" i="133"/>
  <c r="U12" i="133" s="1"/>
  <c r="J6" i="136"/>
  <c r="K6" i="136" s="1"/>
  <c r="O9" i="139"/>
  <c r="P9" i="139" s="1"/>
  <c r="Y16" i="140"/>
  <c r="Z16" i="140" s="1"/>
  <c r="T21" i="136"/>
  <c r="U21" i="136" s="1"/>
  <c r="J15" i="135"/>
  <c r="K15" i="135" s="1"/>
  <c r="J24" i="136"/>
  <c r="K24" i="136" s="1"/>
  <c r="Y10" i="138"/>
  <c r="Z10" i="138" s="1"/>
  <c r="T30" i="136"/>
  <c r="U30" i="136" s="1"/>
  <c r="J11" i="135"/>
  <c r="K11" i="135" s="1"/>
  <c r="Y20" i="138"/>
  <c r="Z20" i="138" s="1"/>
  <c r="T13" i="140"/>
  <c r="U13" i="140" s="1"/>
  <c r="R4" i="137"/>
  <c r="R22" i="137" s="1"/>
  <c r="O12" i="138"/>
  <c r="P12" i="138" s="1"/>
  <c r="O20" i="139"/>
  <c r="P20" i="139" s="1"/>
  <c r="Y18" i="136"/>
  <c r="Z18" i="136" s="1"/>
  <c r="O15" i="137"/>
  <c r="P15" i="137" s="1"/>
  <c r="J9" i="139"/>
  <c r="K9" i="139" s="1"/>
  <c r="J18" i="140"/>
  <c r="K18" i="140" s="1"/>
  <c r="T29" i="136"/>
  <c r="U29" i="136" s="1"/>
  <c r="T16" i="139"/>
  <c r="U16" i="139" s="1"/>
  <c r="T20" i="136"/>
  <c r="U20" i="136" s="1"/>
  <c r="Y6" i="139"/>
  <c r="Z6" i="139" s="1"/>
  <c r="Y15" i="140"/>
  <c r="Z15" i="140" s="1"/>
  <c r="T16" i="132"/>
  <c r="U16" i="132" s="1"/>
  <c r="R4" i="133"/>
  <c r="R19" i="133" s="1"/>
  <c r="T11" i="132"/>
  <c r="U11" i="132" s="1"/>
  <c r="Y9" i="132"/>
  <c r="Z9" i="132" s="1"/>
  <c r="J9" i="134"/>
  <c r="K9" i="134" s="1"/>
  <c r="J19" i="134"/>
  <c r="K19" i="134" s="1"/>
  <c r="Y9" i="136"/>
  <c r="Z9" i="136" s="1"/>
  <c r="O8" i="137"/>
  <c r="P8" i="137" s="1"/>
  <c r="H4" i="134"/>
  <c r="H21" i="134" s="1"/>
  <c r="O22" i="136"/>
  <c r="P22" i="136" s="1"/>
  <c r="Y13" i="136"/>
  <c r="Z13" i="136" s="1"/>
  <c r="J9" i="136"/>
  <c r="K9" i="136" s="1"/>
  <c r="T13" i="134"/>
  <c r="U13" i="134" s="1"/>
  <c r="Y21" i="132"/>
  <c r="Z21" i="132" s="1"/>
  <c r="Y6" i="135"/>
  <c r="Z6" i="135" s="1"/>
  <c r="O24" i="136"/>
  <c r="P24" i="136" s="1"/>
  <c r="T18" i="136"/>
  <c r="U18" i="136" s="1"/>
  <c r="T6" i="136"/>
  <c r="U6" i="136" s="1"/>
  <c r="Y11" i="139"/>
  <c r="Z11" i="139" s="1"/>
  <c r="J21" i="135"/>
  <c r="K21" i="135" s="1"/>
  <c r="Y17" i="134"/>
  <c r="Z17" i="134" s="1"/>
  <c r="O9" i="136"/>
  <c r="P9" i="136" s="1"/>
  <c r="Y19" i="138"/>
  <c r="Z19" i="138" s="1"/>
  <c r="T18" i="135"/>
  <c r="U18" i="135" s="1"/>
  <c r="J15" i="137"/>
  <c r="K15" i="137" s="1"/>
  <c r="J13" i="138"/>
  <c r="K13" i="138" s="1"/>
  <c r="J6" i="137"/>
  <c r="K6" i="137" s="1"/>
  <c r="Y26" i="136"/>
  <c r="Z26" i="136" s="1"/>
  <c r="T6" i="139"/>
  <c r="U6" i="139" s="1"/>
  <c r="J17" i="140"/>
  <c r="K17" i="140" s="1"/>
  <c r="Y6" i="137"/>
  <c r="Z6" i="137" s="1"/>
  <c r="Y14" i="138"/>
  <c r="Z14" i="138" s="1"/>
  <c r="Y17" i="137"/>
  <c r="Z17" i="137" s="1"/>
  <c r="O6" i="137"/>
  <c r="P6" i="137" s="1"/>
  <c r="J11" i="138"/>
  <c r="K11" i="138" s="1"/>
  <c r="J19" i="139"/>
  <c r="K19" i="139" s="1"/>
  <c r="O17" i="136"/>
  <c r="P17" i="136" s="1"/>
  <c r="O16" i="137"/>
  <c r="P16" i="137" s="1"/>
  <c r="T15" i="132"/>
  <c r="U15" i="132" s="1"/>
  <c r="J14" i="136"/>
  <c r="K14" i="136" s="1"/>
  <c r="Y16" i="132"/>
  <c r="Z16" i="132" s="1"/>
  <c r="W4" i="133"/>
  <c r="W19" i="133" s="1"/>
  <c r="H4" i="137"/>
  <c r="H22" i="137" s="1"/>
  <c r="Y18" i="138"/>
  <c r="Z18" i="138" s="1"/>
  <c r="Y29" i="136"/>
  <c r="Z29" i="136" s="1"/>
  <c r="J20" i="136"/>
  <c r="K20" i="136" s="1"/>
  <c r="J17" i="136"/>
  <c r="K17" i="136" s="1"/>
  <c r="J17" i="133"/>
  <c r="K17" i="133" s="1"/>
  <c r="J22" i="135"/>
  <c r="K22" i="135" s="1"/>
  <c r="T17" i="137"/>
  <c r="U17" i="137" s="1"/>
  <c r="T19" i="134"/>
  <c r="U19" i="134" s="1"/>
  <c r="T19" i="135"/>
  <c r="U19" i="135" s="1"/>
  <c r="O13" i="136"/>
  <c r="P13" i="136" s="1"/>
  <c r="Y8" i="140"/>
  <c r="Z8" i="140" s="1"/>
  <c r="T13" i="139"/>
  <c r="U13" i="139" s="1"/>
  <c r="T10" i="140"/>
  <c r="U10" i="140" s="1"/>
  <c r="T15" i="138"/>
  <c r="U15" i="138" s="1"/>
  <c r="T17" i="135"/>
  <c r="U17" i="135" s="1"/>
  <c r="Y27" i="136"/>
  <c r="Z27" i="136" s="1"/>
  <c r="O14" i="135"/>
  <c r="P14" i="135" s="1"/>
  <c r="T8" i="137"/>
  <c r="U8" i="137" s="1"/>
  <c r="T13" i="135"/>
  <c r="U13" i="135" s="1"/>
  <c r="J28" i="136"/>
  <c r="K28" i="136" s="1"/>
  <c r="T19" i="140"/>
  <c r="U19" i="140" s="1"/>
  <c r="J7" i="140"/>
  <c r="K7" i="140" s="1"/>
  <c r="J22" i="136"/>
  <c r="K22" i="136" s="1"/>
  <c r="T11" i="139"/>
  <c r="U11" i="139" s="1"/>
  <c r="T20" i="140"/>
  <c r="U20" i="140" s="1"/>
  <c r="Y8" i="137"/>
  <c r="Z8" i="137" s="1"/>
  <c r="O14" i="138"/>
  <c r="P14" i="138" s="1"/>
  <c r="Y19" i="136"/>
  <c r="Z19" i="136" s="1"/>
  <c r="Y18" i="137"/>
  <c r="Z18" i="137" s="1"/>
  <c r="J10" i="139"/>
  <c r="K10" i="139" s="1"/>
  <c r="J19" i="140"/>
  <c r="K19" i="140" s="1"/>
  <c r="T22" i="132"/>
  <c r="U22" i="132" s="1"/>
  <c r="T10" i="133"/>
  <c r="U10" i="133" s="1"/>
  <c r="J9" i="132"/>
  <c r="K9" i="132" s="1"/>
  <c r="Y9" i="134"/>
  <c r="Z9" i="134" s="1"/>
  <c r="J12" i="133"/>
  <c r="K12" i="133" s="1"/>
  <c r="J10" i="134"/>
  <c r="K10" i="134" s="1"/>
  <c r="T8" i="136"/>
  <c r="U8" i="136" s="1"/>
  <c r="T15" i="135"/>
  <c r="U15" i="135" s="1"/>
  <c r="T8" i="133"/>
  <c r="U8" i="133" s="1"/>
  <c r="T20" i="132"/>
  <c r="U20" i="132" s="1"/>
  <c r="O12" i="136"/>
  <c r="P12" i="136" s="1"/>
  <c r="T7" i="135"/>
  <c r="U7" i="135" s="1"/>
  <c r="J16" i="136"/>
  <c r="K16" i="136" s="1"/>
  <c r="Y13" i="132"/>
  <c r="Z13" i="132" s="1"/>
  <c r="Y6" i="134"/>
  <c r="Z6" i="134" s="1"/>
  <c r="Y30" i="136"/>
  <c r="Z30" i="136" s="1"/>
  <c r="W4" i="132"/>
  <c r="W25" i="132" s="1"/>
  <c r="Y11" i="133"/>
  <c r="Z11" i="133" s="1"/>
  <c r="O6" i="135"/>
  <c r="P6" i="135" s="1"/>
  <c r="Y14" i="134"/>
  <c r="Z14" i="134" s="1"/>
  <c r="J23" i="132"/>
  <c r="K23" i="132" s="1"/>
  <c r="Y17" i="132"/>
  <c r="Z17" i="132" s="1"/>
  <c r="M4" i="133"/>
  <c r="M19" i="133" s="1"/>
  <c r="O22" i="135"/>
  <c r="P22" i="135" s="1"/>
  <c r="O7" i="135"/>
  <c r="P7" i="135" s="1"/>
  <c r="Y9" i="135"/>
  <c r="Z9" i="135" s="1"/>
  <c r="Y24" i="132"/>
  <c r="Z24" i="132" s="1"/>
  <c r="Y21" i="137"/>
  <c r="Z21" i="137" s="1"/>
  <c r="O6" i="138"/>
  <c r="P6" i="138" s="1"/>
  <c r="J17" i="132"/>
  <c r="K17" i="132" s="1"/>
  <c r="Y7" i="134"/>
  <c r="Z7" i="134" s="1"/>
  <c r="Y16" i="137"/>
  <c r="Z16" i="137" s="1"/>
  <c r="Y18" i="132"/>
  <c r="Z18" i="132" s="1"/>
  <c r="J14" i="137"/>
  <c r="K14" i="137" s="1"/>
  <c r="O18" i="138"/>
  <c r="P18" i="138" s="1"/>
  <c r="Y17" i="136"/>
  <c r="Z17" i="136" s="1"/>
  <c r="H4" i="139"/>
  <c r="H21" i="139" s="1"/>
  <c r="Y7" i="137"/>
  <c r="Z7" i="137" s="1"/>
  <c r="J23" i="135"/>
  <c r="K23" i="135" s="1"/>
  <c r="J19" i="137"/>
  <c r="K19" i="137" s="1"/>
  <c r="J16" i="139"/>
  <c r="K16" i="139" s="1"/>
  <c r="Y18" i="140"/>
  <c r="Z18" i="140" s="1"/>
  <c r="T6" i="135"/>
  <c r="U6" i="135" s="1"/>
  <c r="T14" i="136"/>
  <c r="U14" i="136" s="1"/>
  <c r="O18" i="133"/>
  <c r="P18" i="133" s="1"/>
  <c r="T20" i="135"/>
  <c r="U20" i="135" s="1"/>
  <c r="T21" i="137"/>
  <c r="U21" i="137" s="1"/>
  <c r="T16" i="136"/>
  <c r="U16" i="136" s="1"/>
  <c r="J13" i="140"/>
  <c r="K13" i="140" s="1"/>
  <c r="T26" i="136"/>
  <c r="U26" i="136" s="1"/>
  <c r="J29" i="136"/>
  <c r="K29" i="136" s="1"/>
  <c r="Y16" i="135"/>
  <c r="Z16" i="135" s="1"/>
  <c r="J11" i="137"/>
  <c r="K11" i="137" s="1"/>
  <c r="Y12" i="139"/>
  <c r="Z12" i="139" s="1"/>
  <c r="O10" i="139"/>
  <c r="P10" i="139" s="1"/>
  <c r="J10" i="137"/>
  <c r="K10" i="137" s="1"/>
  <c r="J18" i="138"/>
  <c r="K18" i="138" s="1"/>
  <c r="J21" i="137"/>
  <c r="K21" i="137" s="1"/>
  <c r="Y16" i="138"/>
  <c r="Z16" i="138" s="1"/>
  <c r="J9" i="140"/>
  <c r="K9" i="140" s="1"/>
  <c r="O26" i="136"/>
  <c r="P26" i="136" s="1"/>
  <c r="T13" i="138"/>
  <c r="U13" i="138" s="1"/>
  <c r="M4" i="140"/>
  <c r="M22" i="140" s="1"/>
  <c r="Y14" i="135"/>
  <c r="Z14" i="135" s="1"/>
  <c r="T11" i="133"/>
  <c r="U11" i="133" s="1"/>
  <c r="Y8" i="132"/>
  <c r="Z8" i="132" s="1"/>
  <c r="J18" i="134"/>
  <c r="K18" i="134" s="1"/>
  <c r="Y9" i="138"/>
  <c r="Z9" i="138" s="1"/>
  <c r="J22" i="132"/>
  <c r="K22" i="132" s="1"/>
  <c r="J15" i="134"/>
  <c r="K15" i="134" s="1"/>
  <c r="O19" i="137"/>
  <c r="P19" i="137" s="1"/>
  <c r="O7" i="138"/>
  <c r="P7" i="138" s="1"/>
  <c r="J13" i="139"/>
  <c r="K13" i="139" s="1"/>
  <c r="W4" i="140"/>
  <c r="W22" i="140" s="1"/>
  <c r="J10" i="135"/>
  <c r="K10" i="135" s="1"/>
  <c r="Y12" i="135"/>
  <c r="Z12" i="135" s="1"/>
  <c r="T23" i="136"/>
  <c r="U23" i="136" s="1"/>
  <c r="O7" i="140"/>
  <c r="P7" i="140" s="1"/>
  <c r="M4" i="134"/>
  <c r="M21" i="134" s="1"/>
  <c r="M4" i="138"/>
  <c r="M22" i="138" s="1"/>
  <c r="J18" i="139"/>
  <c r="K18" i="139" s="1"/>
  <c r="O8" i="135"/>
  <c r="P8" i="135" s="1"/>
  <c r="T19" i="136"/>
  <c r="U19" i="136" s="1"/>
  <c r="J7" i="134"/>
  <c r="K7" i="134" s="1"/>
  <c r="Y6" i="138"/>
  <c r="Z6" i="138" s="1"/>
  <c r="O18" i="136"/>
  <c r="P18" i="136" s="1"/>
  <c r="J15" i="140"/>
  <c r="K15" i="140" s="1"/>
  <c r="Y7" i="139"/>
  <c r="Z7" i="139" s="1"/>
  <c r="T13" i="137"/>
  <c r="U13" i="137" s="1"/>
  <c r="W4" i="137"/>
  <c r="W22" i="137" s="1"/>
  <c r="T13" i="136"/>
  <c r="U13" i="136" s="1"/>
  <c r="T9" i="140"/>
  <c r="U9" i="140" s="1"/>
  <c r="T24" i="136"/>
  <c r="U24" i="136" s="1"/>
  <c r="J13" i="136"/>
  <c r="K13" i="136" s="1"/>
  <c r="J12" i="137"/>
  <c r="K12" i="137" s="1"/>
  <c r="Y28" i="136"/>
  <c r="Z28" i="136" s="1"/>
  <c r="J23" i="136"/>
  <c r="K23" i="136" s="1"/>
  <c r="T12" i="139"/>
  <c r="U12" i="139" s="1"/>
  <c r="T21" i="140"/>
  <c r="U21" i="140" s="1"/>
  <c r="J13" i="133"/>
  <c r="K13" i="133" s="1"/>
  <c r="J12" i="132"/>
  <c r="K12" i="132" s="1"/>
  <c r="J8" i="135"/>
  <c r="K8" i="135" s="1"/>
  <c r="O16" i="138"/>
  <c r="P16" i="138" s="1"/>
  <c r="T19" i="132"/>
  <c r="U19" i="132" s="1"/>
  <c r="T20" i="134"/>
  <c r="U20" i="134" s="1"/>
  <c r="R4" i="138"/>
  <c r="R22" i="138" s="1"/>
  <c r="Y11" i="140"/>
  <c r="Z11" i="140" s="1"/>
  <c r="T12" i="135"/>
  <c r="U12" i="135" s="1"/>
  <c r="Y15" i="137"/>
  <c r="Z15" i="137" s="1"/>
  <c r="T28" i="136"/>
  <c r="U28" i="136" s="1"/>
  <c r="O27" i="136"/>
  <c r="P27" i="136" s="1"/>
  <c r="O9" i="140"/>
  <c r="P9" i="140" s="1"/>
  <c r="T7" i="133"/>
  <c r="U7" i="133" s="1"/>
  <c r="Y24" i="136"/>
  <c r="Z24" i="136" s="1"/>
  <c r="R4" i="136"/>
  <c r="R31" i="136" s="1"/>
  <c r="J14" i="138"/>
  <c r="K14" i="138" s="1"/>
  <c r="J9" i="138"/>
  <c r="K9" i="138" s="1"/>
  <c r="T18" i="139"/>
  <c r="U18" i="139" s="1"/>
  <c r="O11" i="139"/>
  <c r="P11" i="139" s="1"/>
  <c r="O23" i="135"/>
  <c r="P23" i="135" s="1"/>
  <c r="J20" i="135"/>
  <c r="K20" i="135" s="1"/>
  <c r="J16" i="137"/>
  <c r="K16" i="137" s="1"/>
  <c r="Y17" i="139"/>
  <c r="Z17" i="139" s="1"/>
  <c r="O19" i="135"/>
  <c r="P19" i="135" s="1"/>
  <c r="T12" i="137"/>
  <c r="U12" i="137" s="1"/>
  <c r="T20" i="138"/>
  <c r="U20" i="138" s="1"/>
  <c r="O17" i="139"/>
  <c r="P17" i="139" s="1"/>
  <c r="J20" i="138"/>
  <c r="K20" i="138" s="1"/>
  <c r="T11" i="140"/>
  <c r="U11" i="140" s="1"/>
  <c r="O8" i="140"/>
  <c r="P8" i="140" s="1"/>
  <c r="J26" i="136"/>
  <c r="K26" i="136" s="1"/>
  <c r="Y16" i="133"/>
  <c r="Z16" i="133" s="1"/>
  <c r="O9" i="137"/>
  <c r="P9" i="137" s="1"/>
  <c r="J14" i="133"/>
  <c r="K14" i="133" s="1"/>
  <c r="J16" i="133"/>
  <c r="K16" i="133" s="1"/>
  <c r="J6" i="132"/>
  <c r="K6" i="132" s="1"/>
  <c r="O7" i="139"/>
  <c r="P7" i="139" s="1"/>
  <c r="Y11" i="132"/>
  <c r="Z11" i="132" s="1"/>
  <c r="O20" i="140"/>
  <c r="P20" i="140" s="1"/>
  <c r="O15" i="135"/>
  <c r="P15" i="135" s="1"/>
  <c r="J18" i="133"/>
  <c r="K18" i="133" s="1"/>
  <c r="O10" i="137"/>
  <c r="P10" i="137" s="1"/>
  <c r="J11" i="136"/>
  <c r="K11" i="136" s="1"/>
  <c r="O6" i="140"/>
  <c r="P6" i="140" s="1"/>
  <c r="O10" i="135"/>
  <c r="P10" i="135" s="1"/>
  <c r="T6" i="137"/>
  <c r="U6" i="137" s="1"/>
  <c r="T9" i="134"/>
  <c r="U9" i="134" s="1"/>
  <c r="T21" i="138"/>
  <c r="U21" i="138" s="1"/>
  <c r="T11" i="138"/>
  <c r="U11" i="138" s="1"/>
  <c r="Y21" i="140"/>
  <c r="Z21" i="140" s="1"/>
  <c r="M4" i="137"/>
  <c r="M22" i="137" s="1"/>
  <c r="O16" i="139"/>
  <c r="P16" i="139" s="1"/>
  <c r="Y21" i="135"/>
  <c r="Z21" i="135" s="1"/>
  <c r="O15" i="139"/>
  <c r="P15" i="139" s="1"/>
  <c r="O6" i="139"/>
  <c r="P6" i="139" s="1"/>
  <c r="O9" i="138"/>
  <c r="P9" i="138" s="1"/>
  <c r="Y19" i="139"/>
  <c r="Z19" i="139" s="1"/>
  <c r="T15" i="136"/>
  <c r="U15" i="136" s="1"/>
  <c r="T14" i="137"/>
  <c r="U14" i="137" s="1"/>
  <c r="O19" i="138"/>
  <c r="P19" i="138" s="1"/>
  <c r="Y10" i="140"/>
  <c r="Z10" i="140" s="1"/>
  <c r="T25" i="136"/>
  <c r="U25" i="136" s="1"/>
  <c r="O10" i="138"/>
  <c r="P10" i="138" s="1"/>
  <c r="Y20" i="135"/>
  <c r="Z20" i="135" s="1"/>
  <c r="Y6" i="136"/>
  <c r="Z6" i="136" s="1"/>
  <c r="Y13" i="138"/>
  <c r="Z13" i="138" s="1"/>
  <c r="T10" i="135"/>
  <c r="U10" i="135" s="1"/>
  <c r="J17" i="134"/>
  <c r="K17" i="134" s="1"/>
  <c r="J11" i="139"/>
  <c r="K11" i="139" s="1"/>
  <c r="T24" i="132"/>
  <c r="U24" i="132" s="1"/>
  <c r="J11" i="140"/>
  <c r="K11" i="140" s="1"/>
  <c r="Y10" i="134"/>
  <c r="Z10" i="134" s="1"/>
  <c r="Y23" i="132"/>
  <c r="Z23" i="132" s="1"/>
  <c r="Y9" i="140"/>
  <c r="Z9" i="140" s="1"/>
  <c r="T6" i="132"/>
  <c r="U6" i="132" s="1"/>
  <c r="J9" i="137"/>
  <c r="K9" i="137" s="1"/>
  <c r="Y6" i="132"/>
  <c r="Z6" i="132" s="1"/>
  <c r="Y19" i="134"/>
  <c r="Z19" i="134" s="1"/>
  <c r="O17" i="138"/>
  <c r="P17" i="138" s="1"/>
  <c r="J12" i="134"/>
  <c r="K12" i="134" s="1"/>
  <c r="J14" i="132"/>
  <c r="K14" i="132" s="1"/>
  <c r="J10" i="138"/>
  <c r="K10" i="138" s="1"/>
  <c r="T17" i="133"/>
  <c r="U17" i="133" s="1"/>
  <c r="O23" i="136"/>
  <c r="P23" i="136" s="1"/>
  <c r="J21" i="138"/>
  <c r="K21" i="138" s="1"/>
  <c r="Y19" i="132"/>
  <c r="Z19" i="132" s="1"/>
  <c r="J19" i="138"/>
  <c r="K19" i="138" s="1"/>
  <c r="T14" i="132"/>
  <c r="U14" i="132" s="1"/>
  <c r="Y14" i="139"/>
  <c r="Z14" i="139" s="1"/>
  <c r="M4" i="135"/>
  <c r="M24" i="135" s="1"/>
  <c r="O19" i="139"/>
  <c r="P19" i="139" s="1"/>
  <c r="T6" i="133"/>
  <c r="U6" i="133" s="1"/>
  <c r="T9" i="135"/>
  <c r="U9" i="135" s="1"/>
  <c r="J15" i="132"/>
  <c r="K15" i="132" s="1"/>
  <c r="Y12" i="136"/>
  <c r="Z12" i="136" s="1"/>
  <c r="J7" i="133"/>
  <c r="K7" i="133" s="1"/>
  <c r="T16" i="135"/>
  <c r="U16" i="135" s="1"/>
  <c r="T15" i="137"/>
  <c r="U15" i="137" s="1"/>
  <c r="J14" i="134"/>
  <c r="K14" i="134" s="1"/>
  <c r="J8" i="139"/>
  <c r="K8" i="139" s="1"/>
  <c r="T11" i="137"/>
  <c r="U11" i="137" s="1"/>
  <c r="O7" i="136"/>
  <c r="P7" i="136" s="1"/>
  <c r="J7" i="139"/>
  <c r="K7" i="139" s="1"/>
  <c r="O28" i="136"/>
  <c r="P28" i="136" s="1"/>
  <c r="O15" i="138"/>
  <c r="P15" i="138" s="1"/>
  <c r="O7" i="137"/>
  <c r="P7" i="137" s="1"/>
  <c r="J20" i="139"/>
  <c r="K20" i="139" s="1"/>
  <c r="J7" i="136"/>
  <c r="K7" i="136" s="1"/>
  <c r="T22" i="135"/>
  <c r="U22" i="135" s="1"/>
  <c r="O8" i="138"/>
  <c r="P8" i="138" s="1"/>
  <c r="T18" i="137"/>
  <c r="U18" i="137" s="1"/>
  <c r="O19" i="136"/>
  <c r="P19" i="136" s="1"/>
  <c r="Y8" i="139"/>
  <c r="Z8" i="139" s="1"/>
  <c r="O15" i="140"/>
  <c r="P15" i="140" s="1"/>
  <c r="O30" i="136"/>
  <c r="P30" i="136" s="1"/>
  <c r="Y11" i="138"/>
  <c r="Z11" i="138" s="1"/>
  <c r="H4" i="140"/>
  <c r="H22" i="140" s="1"/>
  <c r="M4" i="139"/>
  <c r="M21" i="139" s="1"/>
  <c r="O11" i="137"/>
  <c r="P11" i="137" s="1"/>
  <c r="Y21" i="138"/>
  <c r="Z21" i="138" s="1"/>
  <c r="Y12" i="138"/>
  <c r="Z12" i="138" s="1"/>
  <c r="O18" i="139"/>
  <c r="P18" i="139" s="1"/>
  <c r="Y12" i="140"/>
  <c r="Z12" i="140" s="1"/>
  <c r="J7" i="135"/>
  <c r="K7" i="135" s="1"/>
  <c r="J8" i="136"/>
  <c r="K8" i="136" s="1"/>
  <c r="O8" i="133"/>
  <c r="P8" i="133" s="1"/>
  <c r="Y15" i="135"/>
  <c r="Z15" i="135" s="1"/>
  <c r="J10" i="140"/>
  <c r="K10" i="140" s="1"/>
  <c r="Y8" i="135"/>
  <c r="Z8" i="135" s="1"/>
  <c r="Y9" i="133"/>
  <c r="Z9" i="133" s="1"/>
  <c r="T7" i="134"/>
  <c r="U7" i="134" s="1"/>
  <c r="O20" i="135"/>
  <c r="P20" i="135" s="1"/>
  <c r="Y13" i="139"/>
  <c r="Z13" i="139" s="1"/>
  <c r="O11" i="140"/>
  <c r="P11" i="140" s="1"/>
  <c r="Y9" i="139"/>
  <c r="Z9" i="139" s="1"/>
  <c r="O13" i="133"/>
  <c r="P13" i="133" s="1"/>
  <c r="O16" i="135"/>
  <c r="P16" i="135" s="1"/>
  <c r="T16" i="137"/>
  <c r="U16" i="137" s="1"/>
  <c r="O8" i="136"/>
  <c r="P8" i="136" s="1"/>
  <c r="Y16" i="139"/>
  <c r="Z16" i="139" s="1"/>
  <c r="Y17" i="138"/>
  <c r="Z17" i="138" s="1"/>
  <c r="O10" i="140"/>
  <c r="P10" i="140" s="1"/>
  <c r="Y9" i="137"/>
  <c r="Z9" i="137" s="1"/>
  <c r="J12" i="140"/>
  <c r="K12" i="140" s="1"/>
  <c r="O6" i="136"/>
  <c r="P6" i="136" s="1"/>
  <c r="J12" i="138"/>
  <c r="K12" i="138" s="1"/>
  <c r="Y21" i="136"/>
  <c r="Z21" i="136" s="1"/>
  <c r="O18" i="137"/>
  <c r="P18" i="137" s="1"/>
  <c r="Y17" i="140"/>
  <c r="Z17" i="140" s="1"/>
  <c r="T6" i="140"/>
  <c r="U6" i="140" s="1"/>
  <c r="O17" i="140"/>
  <c r="P17" i="140" s="1"/>
  <c r="Y13" i="137"/>
  <c r="Z13" i="137" s="1"/>
  <c r="J14" i="140"/>
  <c r="K14" i="140" s="1"/>
  <c r="Y20" i="139"/>
  <c r="Z20" i="139" s="1"/>
  <c r="R4" i="132"/>
  <c r="R25" i="132" s="1"/>
  <c r="O12" i="135"/>
  <c r="P12" i="135" s="1"/>
  <c r="Y18" i="139"/>
  <c r="Z18" i="139" s="1"/>
  <c r="J18" i="135"/>
  <c r="K18" i="135" s="1"/>
  <c r="T17" i="140"/>
  <c r="U17" i="140" s="1"/>
  <c r="Y10" i="137"/>
  <c r="Z10" i="137" s="1"/>
  <c r="O9" i="133"/>
  <c r="P9" i="133" s="1"/>
  <c r="J17" i="135"/>
  <c r="K17" i="135" s="1"/>
  <c r="T7" i="138"/>
  <c r="U7" i="138" s="1"/>
  <c r="Y13" i="135"/>
  <c r="Z13" i="135" s="1"/>
  <c r="T17" i="132"/>
  <c r="U17" i="132" s="1"/>
  <c r="Y10" i="133"/>
  <c r="Z10" i="133" s="1"/>
  <c r="Y7" i="132"/>
  <c r="Z7" i="132" s="1"/>
  <c r="T8" i="134"/>
  <c r="U8" i="134" s="1"/>
  <c r="T21" i="135"/>
  <c r="U21" i="135" s="1"/>
  <c r="O11" i="138"/>
  <c r="P11" i="138" s="1"/>
  <c r="T20" i="137"/>
  <c r="U20" i="137" s="1"/>
  <c r="T16" i="134"/>
  <c r="U16" i="134" s="1"/>
  <c r="Y15" i="136"/>
  <c r="Z15" i="136" s="1"/>
  <c r="T15" i="139"/>
  <c r="U15" i="139" s="1"/>
  <c r="Y15" i="133"/>
  <c r="Z15" i="133" s="1"/>
  <c r="O17" i="135"/>
  <c r="P17" i="135" s="1"/>
  <c r="J18" i="137"/>
  <c r="K18" i="137" s="1"/>
  <c r="T12" i="140"/>
  <c r="U12" i="140" s="1"/>
  <c r="Y11" i="136"/>
  <c r="Z11" i="136" s="1"/>
  <c r="O20" i="138"/>
  <c r="P20" i="138" s="1"/>
  <c r="O10" i="136"/>
  <c r="P10" i="136" s="1"/>
  <c r="O12" i="137"/>
  <c r="P12" i="137" s="1"/>
  <c r="T15" i="140"/>
  <c r="U15" i="140" s="1"/>
  <c r="T9" i="136"/>
  <c r="U9" i="136" s="1"/>
  <c r="T14" i="140"/>
  <c r="U14" i="140" s="1"/>
  <c r="Y8" i="136"/>
  <c r="Z8" i="136" s="1"/>
  <c r="O11" i="136"/>
  <c r="P11" i="136" s="1"/>
  <c r="R4" i="140"/>
  <c r="R22" i="140" s="1"/>
  <c r="Y20" i="137"/>
  <c r="Z20" i="137" s="1"/>
  <c r="J12" i="139"/>
  <c r="K12" i="139" s="1"/>
  <c r="J7" i="137"/>
  <c r="K7" i="137" s="1"/>
  <c r="J15" i="138"/>
  <c r="K15" i="138" s="1"/>
  <c r="O21" i="136"/>
  <c r="P21" i="136" s="1"/>
  <c r="O20" i="137"/>
  <c r="P20" i="137" s="1"/>
  <c r="O8" i="139"/>
  <c r="P8" i="139" s="1"/>
  <c r="Y19" i="140"/>
  <c r="Z19" i="140" s="1"/>
  <c r="T7" i="139"/>
  <c r="U7" i="139" s="1"/>
  <c r="J16" i="138"/>
  <c r="K16" i="138" s="1"/>
  <c r="R32" i="131"/>
  <c r="T32" i="131" s="1"/>
  <c r="R35" i="131"/>
  <c r="T35" i="131" s="1"/>
  <c r="R28" i="131"/>
  <c r="T28" i="131" s="1"/>
  <c r="R33" i="131"/>
  <c r="T33" i="131" s="1"/>
  <c r="R34" i="131"/>
  <c r="T34" i="131" s="1"/>
  <c r="R27" i="131"/>
  <c r="T27" i="131" s="1"/>
  <c r="Q9" i="131"/>
  <c r="Q10" i="131" s="1"/>
  <c r="Q11" i="131" s="1"/>
  <c r="Q12" i="131" s="1"/>
  <c r="Q13" i="131" s="1"/>
  <c r="Q14" i="131" s="1"/>
  <c r="Q15" i="131" s="1"/>
  <c r="Q16" i="131" s="1"/>
  <c r="Q17" i="131" s="1"/>
  <c r="Q18" i="131" s="1"/>
  <c r="Q19" i="131" s="1"/>
  <c r="Q20" i="131" s="1"/>
  <c r="Q21" i="131" s="1"/>
  <c r="R39" i="131"/>
  <c r="T39" i="131" s="1"/>
  <c r="R36" i="131"/>
  <c r="T36" i="131" s="1"/>
  <c r="R29" i="131"/>
  <c r="T29" i="131" s="1"/>
  <c r="H9" i="131"/>
  <c r="C44" i="131" s="1"/>
  <c r="R38" i="131"/>
  <c r="T38" i="131" s="1"/>
  <c r="R31" i="131"/>
  <c r="T31" i="131" s="1"/>
  <c r="E10" i="131"/>
  <c r="R37" i="131"/>
  <c r="T37" i="131" s="1"/>
  <c r="R30" i="131"/>
  <c r="T30" i="131" s="1"/>
  <c r="U34" i="130" a="1"/>
  <c r="U34" i="130" s="1"/>
  <c r="V34" i="130" s="1"/>
  <c r="U27" i="130" a="1"/>
  <c r="U27" i="130" s="1"/>
  <c r="V27" i="130" s="1"/>
  <c r="F27" i="130"/>
  <c r="Z27" i="130"/>
  <c r="Y27" i="130"/>
  <c r="K9" i="130"/>
  <c r="E11" i="130"/>
  <c r="H10" i="130"/>
  <c r="C51" i="130" s="1"/>
  <c r="F10" i="130"/>
  <c r="T9" i="130"/>
  <c r="T9" i="129"/>
  <c r="T16" i="129"/>
  <c r="R9" i="129"/>
  <c r="U9" i="129" s="1"/>
  <c r="T12" i="129"/>
  <c r="T19" i="129"/>
  <c r="T13" i="129"/>
  <c r="E17" i="129"/>
  <c r="J17" i="129"/>
  <c r="C51" i="129"/>
  <c r="R17" i="129"/>
  <c r="U17" i="129" s="1"/>
  <c r="T14" i="129"/>
  <c r="J15" i="129"/>
  <c r="E15" i="129"/>
  <c r="C49" i="129"/>
  <c r="R15" i="129"/>
  <c r="U15" i="129" s="1"/>
  <c r="C55" i="129"/>
  <c r="J21" i="129"/>
  <c r="R21" i="129"/>
  <c r="U21" i="129" s="1"/>
  <c r="E21" i="129"/>
  <c r="C54" i="129"/>
  <c r="R20" i="129"/>
  <c r="U14" i="129" s="1"/>
  <c r="J14" i="129"/>
  <c r="E20" i="129"/>
  <c r="T20" i="129"/>
  <c r="J19" i="129"/>
  <c r="R19" i="129"/>
  <c r="U19" i="129" s="1"/>
  <c r="C53" i="129"/>
  <c r="E19" i="129"/>
  <c r="E10" i="129"/>
  <c r="J16" i="129"/>
  <c r="R10" i="129"/>
  <c r="U16" i="129" s="1"/>
  <c r="C44" i="129"/>
  <c r="J13" i="129"/>
  <c r="R13" i="129"/>
  <c r="U13" i="129" s="1"/>
  <c r="E13" i="129"/>
  <c r="C47" i="129"/>
  <c r="T10" i="129"/>
  <c r="T17" i="129"/>
  <c r="F21" i="129"/>
  <c r="J18" i="129"/>
  <c r="E12" i="129"/>
  <c r="R12" i="129"/>
  <c r="U18" i="129" s="1"/>
  <c r="C46" i="129"/>
  <c r="F12" i="129"/>
  <c r="E14" i="129"/>
  <c r="C48" i="129"/>
  <c r="J20" i="129"/>
  <c r="R14" i="129"/>
  <c r="U20" i="129" s="1"/>
  <c r="T11" i="129"/>
  <c r="E16" i="129"/>
  <c r="C50" i="129"/>
  <c r="J10" i="129"/>
  <c r="R16" i="129"/>
  <c r="U10" i="129" s="1"/>
  <c r="U34" i="129" a="1"/>
  <c r="U34" i="129" s="1"/>
  <c r="V34" i="129" s="1"/>
  <c r="U27" i="129" a="1"/>
  <c r="U27" i="129" s="1"/>
  <c r="V27" i="129" s="1"/>
  <c r="F27" i="129"/>
  <c r="Z27" i="129"/>
  <c r="Y27" i="129"/>
  <c r="F14" i="129"/>
  <c r="R18" i="129"/>
  <c r="U12" i="129" s="1"/>
  <c r="J12" i="129"/>
  <c r="E18" i="129"/>
  <c r="C52" i="129"/>
  <c r="T18" i="129"/>
  <c r="E11" i="129"/>
  <c r="R11" i="129"/>
  <c r="U11" i="129" s="1"/>
  <c r="C45" i="129"/>
  <c r="J11" i="129"/>
  <c r="F20" i="129"/>
  <c r="T15" i="129"/>
  <c r="R32" i="128"/>
  <c r="T32" i="128" s="1"/>
  <c r="Q9" i="128"/>
  <c r="Q10" i="128" s="1"/>
  <c r="Q11" i="128" s="1"/>
  <c r="Q12" i="128" s="1"/>
  <c r="Q13" i="128" s="1"/>
  <c r="Q14" i="128" s="1"/>
  <c r="Q15" i="128" s="1"/>
  <c r="Q16" i="128" s="1"/>
  <c r="Q17" i="128" s="1"/>
  <c r="Q18" i="128" s="1"/>
  <c r="Q19" i="128" s="1"/>
  <c r="Q20" i="128" s="1"/>
  <c r="Q21" i="128" s="1"/>
  <c r="R39" i="128"/>
  <c r="T39" i="128" s="1"/>
  <c r="R34" i="128"/>
  <c r="T34" i="128" s="1"/>
  <c r="R33" i="128"/>
  <c r="T33" i="128" s="1"/>
  <c r="R35" i="128"/>
  <c r="T35" i="128" s="1"/>
  <c r="R28" i="128"/>
  <c r="T28" i="128" s="1"/>
  <c r="R27" i="128"/>
  <c r="T27" i="128" s="1"/>
  <c r="R38" i="128"/>
  <c r="T38" i="128" s="1"/>
  <c r="R31" i="128"/>
  <c r="T31" i="128" s="1"/>
  <c r="E10" i="128"/>
  <c r="R36" i="128"/>
  <c r="T36" i="128" s="1"/>
  <c r="R29" i="128"/>
  <c r="T29" i="128" s="1"/>
  <c r="H9" i="128"/>
  <c r="C44" i="128" s="1"/>
  <c r="R37" i="128"/>
  <c r="T37" i="128" s="1"/>
  <c r="R30" i="128"/>
  <c r="T30" i="128" s="1"/>
  <c r="R32" i="127"/>
  <c r="T32" i="127" s="1"/>
  <c r="R35" i="127"/>
  <c r="T35" i="127" s="1"/>
  <c r="R34" i="127"/>
  <c r="T34" i="127" s="1"/>
  <c r="R33" i="127"/>
  <c r="T33" i="127" s="1"/>
  <c r="R27" i="127"/>
  <c r="T27" i="127" s="1"/>
  <c r="R39" i="127"/>
  <c r="T39" i="127" s="1"/>
  <c r="R28" i="127"/>
  <c r="T28" i="127" s="1"/>
  <c r="E10" i="127"/>
  <c r="Q9" i="127"/>
  <c r="Q10" i="127" s="1"/>
  <c r="Q11" i="127" s="1"/>
  <c r="Q12" i="127" s="1"/>
  <c r="Q13" i="127" s="1"/>
  <c r="Q14" i="127" s="1"/>
  <c r="Q15" i="127" s="1"/>
  <c r="Q16" i="127" s="1"/>
  <c r="Q17" i="127" s="1"/>
  <c r="Q18" i="127" s="1"/>
  <c r="Q19" i="127" s="1"/>
  <c r="Q20" i="127" s="1"/>
  <c r="Q21" i="127" s="1"/>
  <c r="R38" i="127"/>
  <c r="T38" i="127" s="1"/>
  <c r="R36" i="127"/>
  <c r="T36" i="127" s="1"/>
  <c r="R29" i="127"/>
  <c r="T29" i="127" s="1"/>
  <c r="H9" i="127"/>
  <c r="C44" i="127" s="1"/>
  <c r="R37" i="127"/>
  <c r="T37" i="127" s="1"/>
  <c r="R30" i="127"/>
  <c r="T30" i="127" s="1"/>
  <c r="R31" i="127"/>
  <c r="T31" i="127" s="1"/>
  <c r="F10" i="126"/>
  <c r="H10" i="126"/>
  <c r="C51" i="126" s="1"/>
  <c r="E11" i="126"/>
  <c r="U34" i="126" a="1"/>
  <c r="U34" i="126" s="1"/>
  <c r="V34" i="126" s="1"/>
  <c r="U27" i="126" a="1"/>
  <c r="U27" i="126" s="1"/>
  <c r="V27" i="126" s="1"/>
  <c r="K9" i="126"/>
  <c r="F27" i="126"/>
  <c r="Z27" i="126"/>
  <c r="Y27" i="126"/>
  <c r="T9" i="126"/>
  <c r="Z22" i="134" l="1"/>
  <c r="P23" i="137"/>
  <c r="U22" i="134"/>
  <c r="K23" i="140"/>
  <c r="P22" i="139"/>
  <c r="U23" i="138"/>
  <c r="K32" i="136"/>
  <c r="P20" i="133"/>
  <c r="U22" i="139"/>
  <c r="U25" i="135"/>
  <c r="Z23" i="140"/>
  <c r="P23" i="140"/>
  <c r="U20" i="133"/>
  <c r="Z20" i="133"/>
  <c r="K25" i="135"/>
  <c r="P23" i="138"/>
  <c r="K20" i="133"/>
  <c r="K23" i="138"/>
  <c r="K22" i="134"/>
  <c r="U23" i="137"/>
  <c r="Z23" i="137"/>
  <c r="U32" i="136"/>
  <c r="Z23" i="138"/>
  <c r="P25" i="135"/>
  <c r="U23" i="140"/>
  <c r="K26" i="132"/>
  <c r="Z26" i="132"/>
  <c r="Z22" i="139"/>
  <c r="Z32" i="136"/>
  <c r="Z25" i="135"/>
  <c r="P32" i="136"/>
  <c r="K22" i="139"/>
  <c r="U26" i="132"/>
  <c r="K23" i="137"/>
  <c r="H10" i="131"/>
  <c r="C51" i="131" s="1"/>
  <c r="F10" i="131"/>
  <c r="E11" i="131"/>
  <c r="T9" i="131"/>
  <c r="U34" i="131" a="1"/>
  <c r="U34" i="131" s="1"/>
  <c r="V34" i="131" s="1"/>
  <c r="U27" i="131" a="1"/>
  <c r="U27" i="131" s="1"/>
  <c r="V27" i="131" s="1"/>
  <c r="F27" i="131"/>
  <c r="Z27" i="131"/>
  <c r="K9" i="131"/>
  <c r="Y27" i="131"/>
  <c r="F11" i="130"/>
  <c r="H11" i="130"/>
  <c r="C46" i="130" s="1"/>
  <c r="E12" i="130"/>
  <c r="L9" i="130"/>
  <c r="R9" i="130"/>
  <c r="U9" i="130" s="1"/>
  <c r="L27" i="130"/>
  <c r="F34" i="130"/>
  <c r="Z34" i="130"/>
  <c r="Y34" i="130"/>
  <c r="K16" i="130"/>
  <c r="T10" i="130"/>
  <c r="U38" i="129" a="1"/>
  <c r="U38" i="129" s="1"/>
  <c r="V38" i="129" s="1"/>
  <c r="L38" i="129"/>
  <c r="F33" i="129"/>
  <c r="G33" i="129" s="1"/>
  <c r="O29" i="129"/>
  <c r="Z33" i="129"/>
  <c r="E29" i="129"/>
  <c r="Y33" i="129"/>
  <c r="U37" i="129" a="1"/>
  <c r="U37" i="129" s="1"/>
  <c r="V37" i="129" s="1"/>
  <c r="E32" i="129"/>
  <c r="O32" i="129"/>
  <c r="Z36" i="129"/>
  <c r="Y36" i="129"/>
  <c r="G32" i="129"/>
  <c r="L29" i="129"/>
  <c r="F36" i="129"/>
  <c r="G36" i="129" s="1"/>
  <c r="K14" i="129"/>
  <c r="M14" i="129"/>
  <c r="E30" i="129"/>
  <c r="L27" i="129"/>
  <c r="F34" i="129"/>
  <c r="G34" i="129" s="1"/>
  <c r="Z34" i="129"/>
  <c r="O30" i="129"/>
  <c r="Y34" i="129"/>
  <c r="M19" i="129"/>
  <c r="K19" i="129"/>
  <c r="U30" i="129" a="1"/>
  <c r="U30" i="129" s="1"/>
  <c r="V30" i="129" s="1"/>
  <c r="U36" i="129" a="1"/>
  <c r="U36" i="129" s="1"/>
  <c r="V36" i="129" s="1"/>
  <c r="M20" i="129"/>
  <c r="K20" i="129"/>
  <c r="K13" i="129"/>
  <c r="M13" i="129"/>
  <c r="U29" i="129" a="1"/>
  <c r="U29" i="129" s="1"/>
  <c r="V29" i="129" s="1"/>
  <c r="K12" i="129"/>
  <c r="M12" i="129"/>
  <c r="U35" i="129" a="1"/>
  <c r="U35" i="129" s="1"/>
  <c r="V35" i="129" s="1"/>
  <c r="F32" i="129"/>
  <c r="Y32" i="129"/>
  <c r="O28" i="129"/>
  <c r="Z32" i="129"/>
  <c r="L37" i="129"/>
  <c r="E28" i="129"/>
  <c r="Z28" i="129"/>
  <c r="Y28" i="129"/>
  <c r="L33" i="129"/>
  <c r="O36" i="129"/>
  <c r="F28" i="129"/>
  <c r="G28" i="129" s="1"/>
  <c r="E36" i="129"/>
  <c r="L31" i="129"/>
  <c r="E34" i="129"/>
  <c r="F38" i="129"/>
  <c r="G38" i="129" s="1"/>
  <c r="O34" i="129"/>
  <c r="Z38" i="129"/>
  <c r="Y38" i="129"/>
  <c r="U39" i="129" a="1"/>
  <c r="U39" i="129" s="1"/>
  <c r="V39" i="129" s="1"/>
  <c r="M16" i="129"/>
  <c r="K16" i="129"/>
  <c r="F30" i="129"/>
  <c r="G30" i="129" s="1"/>
  <c r="E38" i="129"/>
  <c r="Z30" i="129"/>
  <c r="Y30" i="129"/>
  <c r="L35" i="129"/>
  <c r="O38" i="129"/>
  <c r="M15" i="129"/>
  <c r="K15" i="129"/>
  <c r="U28" i="129" a="1"/>
  <c r="U28" i="129" s="1"/>
  <c r="V28" i="129" s="1"/>
  <c r="M21" i="129"/>
  <c r="K21" i="129"/>
  <c r="Z35" i="129"/>
  <c r="Y35" i="129"/>
  <c r="E31" i="129"/>
  <c r="L28" i="129"/>
  <c r="F35" i="129"/>
  <c r="G35" i="129" s="1"/>
  <c r="O31" i="129"/>
  <c r="Z31" i="129"/>
  <c r="E27" i="129"/>
  <c r="O27" i="129"/>
  <c r="Y31" i="129"/>
  <c r="F31" i="129"/>
  <c r="G31" i="129" s="1"/>
  <c r="G27" i="129"/>
  <c r="L36" i="129"/>
  <c r="U33" i="129" a="1"/>
  <c r="U33" i="129" s="1"/>
  <c r="V33" i="129" s="1"/>
  <c r="Y39" i="129"/>
  <c r="L32" i="129"/>
  <c r="O35" i="129"/>
  <c r="E35" i="129"/>
  <c r="Z39" i="129"/>
  <c r="K17" i="129"/>
  <c r="M17" i="129"/>
  <c r="M11" i="129"/>
  <c r="K11" i="129"/>
  <c r="U32" i="129" a="1"/>
  <c r="U32" i="129" s="1"/>
  <c r="V32" i="129" s="1"/>
  <c r="K18" i="129"/>
  <c r="M18" i="129"/>
  <c r="F37" i="129"/>
  <c r="G37" i="129" s="1"/>
  <c r="Z37" i="129"/>
  <c r="E33" i="129"/>
  <c r="O33" i="129"/>
  <c r="Y37" i="129"/>
  <c r="L30" i="129"/>
  <c r="E37" i="129"/>
  <c r="Z29" i="129"/>
  <c r="Y29" i="129"/>
  <c r="L34" i="129"/>
  <c r="F29" i="129"/>
  <c r="G29" i="129" s="1"/>
  <c r="O37" i="129"/>
  <c r="U31" i="129" a="1"/>
  <c r="U31" i="129" s="1"/>
  <c r="V31" i="129" s="1"/>
  <c r="M10" i="129"/>
  <c r="K10" i="129"/>
  <c r="L10" i="129" s="1"/>
  <c r="K9" i="128"/>
  <c r="U34" i="128" a="1"/>
  <c r="U34" i="128" s="1"/>
  <c r="V34" i="128" s="1"/>
  <c r="U27" i="128" a="1"/>
  <c r="U27" i="128" s="1"/>
  <c r="V27" i="128" s="1"/>
  <c r="Z27" i="128"/>
  <c r="Y27" i="128"/>
  <c r="F27" i="128"/>
  <c r="T9" i="128"/>
  <c r="H10" i="128"/>
  <c r="C51" i="128" s="1"/>
  <c r="F10" i="128"/>
  <c r="E11" i="128"/>
  <c r="U34" i="127" a="1"/>
  <c r="U34" i="127" s="1"/>
  <c r="V34" i="127" s="1"/>
  <c r="U27" i="127" a="1"/>
  <c r="U27" i="127" s="1"/>
  <c r="V27" i="127" s="1"/>
  <c r="Y27" i="127"/>
  <c r="K9" i="127"/>
  <c r="F27" i="127"/>
  <c r="Z27" i="127"/>
  <c r="T9" i="127"/>
  <c r="H10" i="127"/>
  <c r="C51" i="127" s="1"/>
  <c r="F10" i="127"/>
  <c r="E11" i="127"/>
  <c r="F11" i="126"/>
  <c r="H11" i="126"/>
  <c r="C46" i="126" s="1"/>
  <c r="E12" i="126"/>
  <c r="L27" i="126"/>
  <c r="K16" i="126"/>
  <c r="F34" i="126"/>
  <c r="Z34" i="126"/>
  <c r="Y34" i="126"/>
  <c r="T10" i="126"/>
  <c r="R9" i="126"/>
  <c r="U9" i="126" s="1"/>
  <c r="L9" i="126"/>
  <c r="F11" i="131" l="1"/>
  <c r="H11" i="131"/>
  <c r="C46" i="131" s="1"/>
  <c r="E12" i="131"/>
  <c r="T10" i="131"/>
  <c r="L27" i="131"/>
  <c r="F34" i="131"/>
  <c r="K16" i="131"/>
  <c r="Z34" i="131"/>
  <c r="Y34" i="131"/>
  <c r="L9" i="131"/>
  <c r="R9" i="131"/>
  <c r="U9" i="131" s="1"/>
  <c r="R16" i="130"/>
  <c r="U10" i="130" s="1"/>
  <c r="L16" i="130"/>
  <c r="N16" i="130"/>
  <c r="H12" i="130"/>
  <c r="C53" i="130" s="1"/>
  <c r="E13" i="130"/>
  <c r="F12" i="130"/>
  <c r="Z29" i="130"/>
  <c r="L34" i="130"/>
  <c r="Y29" i="130"/>
  <c r="K11" i="130"/>
  <c r="F29" i="130"/>
  <c r="T11" i="130"/>
  <c r="L11" i="129"/>
  <c r="L12" i="129" s="1"/>
  <c r="L13" i="129" s="1"/>
  <c r="L14" i="129" s="1"/>
  <c r="L15" i="129" s="1"/>
  <c r="L16" i="129" s="1"/>
  <c r="L17" i="129" s="1"/>
  <c r="L18" i="129" s="1"/>
  <c r="L19" i="129" s="1"/>
  <c r="L20" i="129" s="1"/>
  <c r="L21" i="129" s="1"/>
  <c r="L27" i="128"/>
  <c r="Y34" i="128"/>
  <c r="F34" i="128"/>
  <c r="K16" i="128"/>
  <c r="Z34" i="128"/>
  <c r="T10" i="128"/>
  <c r="H11" i="128"/>
  <c r="C46" i="128" s="1"/>
  <c r="F11" i="128"/>
  <c r="E12" i="128"/>
  <c r="L9" i="128"/>
  <c r="R9" i="128"/>
  <c r="U9" i="128" s="1"/>
  <c r="L9" i="127"/>
  <c r="R9" i="127"/>
  <c r="U9" i="127" s="1"/>
  <c r="Z34" i="127"/>
  <c r="L27" i="127"/>
  <c r="Y34" i="127"/>
  <c r="F34" i="127"/>
  <c r="K16" i="127"/>
  <c r="T10" i="127"/>
  <c r="E12" i="127"/>
  <c r="H11" i="127"/>
  <c r="C46" i="127" s="1"/>
  <c r="F11" i="127"/>
  <c r="R16" i="126"/>
  <c r="U10" i="126" s="1"/>
  <c r="L16" i="126"/>
  <c r="H12" i="126"/>
  <c r="C53" i="126" s="1"/>
  <c r="F12" i="126"/>
  <c r="E13" i="126"/>
  <c r="Z29" i="126"/>
  <c r="Y29" i="126"/>
  <c r="K11" i="126"/>
  <c r="L34" i="126"/>
  <c r="F29" i="126"/>
  <c r="T11" i="126"/>
  <c r="N16" i="126"/>
  <c r="E13" i="131" l="1"/>
  <c r="H12" i="131"/>
  <c r="C53" i="131" s="1"/>
  <c r="F12" i="131"/>
  <c r="T11" i="131"/>
  <c r="L34" i="131"/>
  <c r="Z29" i="131"/>
  <c r="Y29" i="131"/>
  <c r="K11" i="131"/>
  <c r="F29" i="131"/>
  <c r="R16" i="131"/>
  <c r="U10" i="131" s="1"/>
  <c r="L16" i="131"/>
  <c r="N16" i="131"/>
  <c r="L11" i="130"/>
  <c r="R11" i="130"/>
  <c r="U11" i="130" s="1"/>
  <c r="N11" i="130"/>
  <c r="H13" i="130"/>
  <c r="C48" i="130" s="1"/>
  <c r="E14" i="130"/>
  <c r="F13" i="130"/>
  <c r="K18" i="130"/>
  <c r="Z36" i="130"/>
  <c r="L29" i="130"/>
  <c r="Y36" i="130"/>
  <c r="F36" i="130"/>
  <c r="T12" i="130"/>
  <c r="F12" i="128"/>
  <c r="E13" i="128"/>
  <c r="H12" i="128"/>
  <c r="C53" i="128" s="1"/>
  <c r="F29" i="128"/>
  <c r="Z29" i="128"/>
  <c r="L34" i="128"/>
  <c r="Y29" i="128"/>
  <c r="K11" i="128"/>
  <c r="T11" i="128"/>
  <c r="R16" i="128"/>
  <c r="U10" i="128" s="1"/>
  <c r="L16" i="128"/>
  <c r="N16" i="128"/>
  <c r="F29" i="127"/>
  <c r="Z29" i="127"/>
  <c r="L34" i="127"/>
  <c r="Y29" i="127"/>
  <c r="K11" i="127"/>
  <c r="T11" i="127"/>
  <c r="E13" i="127"/>
  <c r="H12" i="127"/>
  <c r="C53" i="127" s="1"/>
  <c r="F12" i="127"/>
  <c r="R16" i="127"/>
  <c r="U10" i="127" s="1"/>
  <c r="L16" i="127"/>
  <c r="N16" i="127"/>
  <c r="H13" i="126"/>
  <c r="C48" i="126" s="1"/>
  <c r="F13" i="126"/>
  <c r="E14" i="126"/>
  <c r="R11" i="126"/>
  <c r="U11" i="126" s="1"/>
  <c r="L11" i="126"/>
  <c r="N11" i="126"/>
  <c r="Z36" i="126"/>
  <c r="Y36" i="126"/>
  <c r="K18" i="126"/>
  <c r="L29" i="126"/>
  <c r="F36" i="126"/>
  <c r="T12" i="126"/>
  <c r="R11" i="131" l="1"/>
  <c r="U11" i="131" s="1"/>
  <c r="L11" i="131"/>
  <c r="N11" i="131"/>
  <c r="T12" i="131"/>
  <c r="Z36" i="131"/>
  <c r="Y36" i="131"/>
  <c r="K18" i="131"/>
  <c r="L29" i="131"/>
  <c r="F36" i="131"/>
  <c r="H13" i="131"/>
  <c r="C48" i="131" s="1"/>
  <c r="F13" i="131"/>
  <c r="E14" i="131"/>
  <c r="F14" i="130"/>
  <c r="E15" i="130"/>
  <c r="H14" i="130"/>
  <c r="C55" i="130" s="1"/>
  <c r="R18" i="130"/>
  <c r="U12" i="130" s="1"/>
  <c r="L18" i="130"/>
  <c r="N18" i="130"/>
  <c r="G27" i="130"/>
  <c r="Y31" i="130"/>
  <c r="F31" i="130"/>
  <c r="E27" i="130"/>
  <c r="O27" i="130"/>
  <c r="L36" i="130"/>
  <c r="Z31" i="130"/>
  <c r="K13" i="130"/>
  <c r="T13" i="130"/>
  <c r="R11" i="128"/>
  <c r="U11" i="128" s="1"/>
  <c r="L11" i="128"/>
  <c r="N11" i="128"/>
  <c r="F36" i="128"/>
  <c r="Z36" i="128"/>
  <c r="Y36" i="128"/>
  <c r="K18" i="128"/>
  <c r="L29" i="128"/>
  <c r="T12" i="128"/>
  <c r="F13" i="128"/>
  <c r="E14" i="128"/>
  <c r="H13" i="128"/>
  <c r="C48" i="128" s="1"/>
  <c r="L29" i="127"/>
  <c r="Z36" i="127"/>
  <c r="F36" i="127"/>
  <c r="Y36" i="127"/>
  <c r="K18" i="127"/>
  <c r="T12" i="127"/>
  <c r="F13" i="127"/>
  <c r="E14" i="127"/>
  <c r="H13" i="127"/>
  <c r="C48" i="127" s="1"/>
  <c r="R11" i="127"/>
  <c r="U11" i="127" s="1"/>
  <c r="L11" i="127"/>
  <c r="N11" i="127"/>
  <c r="H14" i="126"/>
  <c r="C55" i="126" s="1"/>
  <c r="F14" i="126"/>
  <c r="E15" i="126"/>
  <c r="R18" i="126"/>
  <c r="U12" i="126" s="1"/>
  <c r="L18" i="126"/>
  <c r="N18" i="126"/>
  <c r="L36" i="126"/>
  <c r="F31" i="126"/>
  <c r="O27" i="126"/>
  <c r="Z31" i="126"/>
  <c r="K13" i="126"/>
  <c r="Y31" i="126"/>
  <c r="G27" i="126"/>
  <c r="E27" i="126"/>
  <c r="T13" i="126"/>
  <c r="T13" i="131" l="1"/>
  <c r="O27" i="131"/>
  <c r="Z31" i="131"/>
  <c r="F31" i="131"/>
  <c r="Y31" i="131"/>
  <c r="G27" i="131"/>
  <c r="E27" i="131"/>
  <c r="K13" i="131"/>
  <c r="L36" i="131"/>
  <c r="R18" i="131"/>
  <c r="U12" i="131" s="1"/>
  <c r="L18" i="131"/>
  <c r="N18" i="131"/>
  <c r="H14" i="131"/>
  <c r="C55" i="131" s="1"/>
  <c r="F14" i="131"/>
  <c r="E15" i="131"/>
  <c r="L31" i="130"/>
  <c r="F38" i="130"/>
  <c r="O34" i="130"/>
  <c r="Z38" i="130"/>
  <c r="Y38" i="130"/>
  <c r="G34" i="130"/>
  <c r="E34" i="130"/>
  <c r="K20" i="130"/>
  <c r="T14" i="130"/>
  <c r="F15" i="130"/>
  <c r="H15" i="130"/>
  <c r="C50" i="130" s="1"/>
  <c r="E16" i="130"/>
  <c r="R13" i="130"/>
  <c r="U13" i="130" s="1"/>
  <c r="L13" i="130"/>
  <c r="N13" i="130"/>
  <c r="R18" i="128"/>
  <c r="U12" i="128" s="1"/>
  <c r="L18" i="128"/>
  <c r="N18" i="128"/>
  <c r="Y31" i="128"/>
  <c r="F31" i="128"/>
  <c r="O27" i="128"/>
  <c r="Z31" i="128"/>
  <c r="G27" i="128"/>
  <c r="E27" i="128"/>
  <c r="K13" i="128"/>
  <c r="L36" i="128"/>
  <c r="T13" i="128"/>
  <c r="E15" i="128"/>
  <c r="H14" i="128"/>
  <c r="C55" i="128" s="1"/>
  <c r="F14" i="128"/>
  <c r="G27" i="127"/>
  <c r="Y31" i="127"/>
  <c r="L36" i="127"/>
  <c r="F31" i="127"/>
  <c r="O27" i="127"/>
  <c r="Z31" i="127"/>
  <c r="E27" i="127"/>
  <c r="K13" i="127"/>
  <c r="T13" i="127"/>
  <c r="H14" i="127"/>
  <c r="C55" i="127" s="1"/>
  <c r="F14" i="127"/>
  <c r="E15" i="127"/>
  <c r="R18" i="127"/>
  <c r="U12" i="127" s="1"/>
  <c r="L18" i="127"/>
  <c r="N18" i="127"/>
  <c r="F15" i="126"/>
  <c r="H15" i="126"/>
  <c r="C50" i="126" s="1"/>
  <c r="E16" i="126"/>
  <c r="R13" i="126"/>
  <c r="U13" i="126" s="1"/>
  <c r="L13" i="126"/>
  <c r="N13" i="126"/>
  <c r="L31" i="126"/>
  <c r="F38" i="126"/>
  <c r="E34" i="126"/>
  <c r="O34" i="126"/>
  <c r="Z38" i="126"/>
  <c r="K20" i="126"/>
  <c r="Y38" i="126"/>
  <c r="G34" i="126"/>
  <c r="T14" i="126"/>
  <c r="L31" i="131" l="1"/>
  <c r="T14" i="131"/>
  <c r="F38" i="131"/>
  <c r="O34" i="131"/>
  <c r="Z38" i="131"/>
  <c r="Y38" i="131"/>
  <c r="G34" i="131"/>
  <c r="E34" i="131"/>
  <c r="K20" i="131"/>
  <c r="R13" i="131"/>
  <c r="U13" i="131" s="1"/>
  <c r="L13" i="131"/>
  <c r="N13" i="131"/>
  <c r="H15" i="131"/>
  <c r="C50" i="131" s="1"/>
  <c r="E16" i="131"/>
  <c r="F15" i="131"/>
  <c r="L38" i="130"/>
  <c r="F33" i="130"/>
  <c r="K15" i="130"/>
  <c r="Z33" i="130"/>
  <c r="O29" i="130"/>
  <c r="Y33" i="130"/>
  <c r="G29" i="130"/>
  <c r="E29" i="130"/>
  <c r="T15" i="130"/>
  <c r="R20" i="130"/>
  <c r="U14" i="130" s="1"/>
  <c r="L20" i="130"/>
  <c r="N20" i="130"/>
  <c r="F16" i="130"/>
  <c r="E17" i="130"/>
  <c r="H16" i="130"/>
  <c r="C45" i="130" s="1"/>
  <c r="R13" i="128"/>
  <c r="U13" i="128" s="1"/>
  <c r="L13" i="128"/>
  <c r="N13" i="128"/>
  <c r="E16" i="128"/>
  <c r="H15" i="128"/>
  <c r="C50" i="128" s="1"/>
  <c r="F15" i="128"/>
  <c r="L31" i="128"/>
  <c r="Z38" i="128"/>
  <c r="Y38" i="128"/>
  <c r="G34" i="128"/>
  <c r="F38" i="128"/>
  <c r="O34" i="128"/>
  <c r="E34" i="128"/>
  <c r="K20" i="128"/>
  <c r="T14" i="128"/>
  <c r="R13" i="127"/>
  <c r="U13" i="127" s="1"/>
  <c r="L13" i="127"/>
  <c r="N13" i="127"/>
  <c r="E16" i="127"/>
  <c r="H15" i="127"/>
  <c r="C50" i="127" s="1"/>
  <c r="F15" i="127"/>
  <c r="L31" i="127"/>
  <c r="G34" i="127"/>
  <c r="F38" i="127"/>
  <c r="Z38" i="127"/>
  <c r="Y38" i="127"/>
  <c r="O34" i="127"/>
  <c r="E34" i="127"/>
  <c r="K20" i="127"/>
  <c r="T14" i="127"/>
  <c r="R20" i="126"/>
  <c r="U14" i="126" s="1"/>
  <c r="L20" i="126"/>
  <c r="N20" i="126"/>
  <c r="H16" i="126"/>
  <c r="C45" i="126" s="1"/>
  <c r="F16" i="126"/>
  <c r="E17" i="126"/>
  <c r="L38" i="126"/>
  <c r="Y33" i="126"/>
  <c r="G29" i="126"/>
  <c r="K15" i="126"/>
  <c r="Z33" i="126"/>
  <c r="O29" i="126"/>
  <c r="F33" i="126"/>
  <c r="E29" i="126"/>
  <c r="T15" i="126"/>
  <c r="R20" i="131" l="1"/>
  <c r="U14" i="131" s="1"/>
  <c r="L20" i="131"/>
  <c r="N20" i="131"/>
  <c r="L38" i="131"/>
  <c r="T15" i="131"/>
  <c r="F33" i="131"/>
  <c r="O29" i="131"/>
  <c r="K15" i="131"/>
  <c r="Y33" i="131"/>
  <c r="G29" i="131"/>
  <c r="Z33" i="131"/>
  <c r="E29" i="131"/>
  <c r="H16" i="131"/>
  <c r="C45" i="131" s="1"/>
  <c r="E17" i="131"/>
  <c r="F16" i="131"/>
  <c r="R15" i="130"/>
  <c r="U15" i="130" s="1"/>
  <c r="L15" i="130"/>
  <c r="N15" i="130"/>
  <c r="M16" i="130"/>
  <c r="Z28" i="130"/>
  <c r="O36" i="130"/>
  <c r="G36" i="130"/>
  <c r="Y28" i="130"/>
  <c r="L33" i="130"/>
  <c r="F28" i="130"/>
  <c r="E36" i="130"/>
  <c r="K10" i="130"/>
  <c r="T16" i="130"/>
  <c r="H17" i="130"/>
  <c r="C52" i="130" s="1"/>
  <c r="E18" i="130"/>
  <c r="F17" i="130"/>
  <c r="E17" i="128"/>
  <c r="F16" i="128"/>
  <c r="H16" i="128"/>
  <c r="C45" i="128" s="1"/>
  <c r="L38" i="128"/>
  <c r="F33" i="128"/>
  <c r="Y33" i="128"/>
  <c r="E29" i="128"/>
  <c r="G29" i="128"/>
  <c r="O29" i="128"/>
  <c r="K15" i="128"/>
  <c r="Z33" i="128"/>
  <c r="T15" i="128"/>
  <c r="R20" i="128"/>
  <c r="U14" i="128" s="1"/>
  <c r="L20" i="128"/>
  <c r="N20" i="128"/>
  <c r="F16" i="127"/>
  <c r="E17" i="127"/>
  <c r="H16" i="127"/>
  <c r="C45" i="127" s="1"/>
  <c r="L38" i="127"/>
  <c r="F33" i="127"/>
  <c r="Y33" i="127"/>
  <c r="O29" i="127"/>
  <c r="K15" i="127"/>
  <c r="Z33" i="127"/>
  <c r="G29" i="127"/>
  <c r="E29" i="127"/>
  <c r="T15" i="127"/>
  <c r="R20" i="127"/>
  <c r="U14" i="127" s="1"/>
  <c r="L20" i="127"/>
  <c r="N20" i="127"/>
  <c r="R15" i="126"/>
  <c r="U15" i="126" s="1"/>
  <c r="L15" i="126"/>
  <c r="N15" i="126"/>
  <c r="M16" i="126"/>
  <c r="Z28" i="126"/>
  <c r="G36" i="126"/>
  <c r="Y28" i="126"/>
  <c r="L33" i="126"/>
  <c r="O36" i="126"/>
  <c r="F28" i="126"/>
  <c r="K10" i="126"/>
  <c r="E36" i="126"/>
  <c r="T16" i="126"/>
  <c r="H17" i="126"/>
  <c r="C52" i="126" s="1"/>
  <c r="F17" i="126"/>
  <c r="E18" i="126"/>
  <c r="Z28" i="131" l="1"/>
  <c r="Y28" i="131"/>
  <c r="T16" i="131"/>
  <c r="L33" i="131"/>
  <c r="O36" i="131"/>
  <c r="K10" i="131"/>
  <c r="F28" i="131"/>
  <c r="G36" i="131"/>
  <c r="E36" i="131"/>
  <c r="R15" i="131"/>
  <c r="U15" i="131" s="1"/>
  <c r="L15" i="131"/>
  <c r="N15" i="131"/>
  <c r="M16" i="131"/>
  <c r="H17" i="131"/>
  <c r="C52" i="131" s="1"/>
  <c r="F17" i="131"/>
  <c r="E18" i="131"/>
  <c r="Z35" i="130"/>
  <c r="Y35" i="130"/>
  <c r="G31" i="130"/>
  <c r="E31" i="130"/>
  <c r="L28" i="130"/>
  <c r="K17" i="130"/>
  <c r="O31" i="130"/>
  <c r="F35" i="130"/>
  <c r="T17" i="130"/>
  <c r="R10" i="130"/>
  <c r="U16" i="130" s="1"/>
  <c r="L10" i="130"/>
  <c r="M10" i="130"/>
  <c r="N10" i="130"/>
  <c r="M11" i="130"/>
  <c r="H18" i="130"/>
  <c r="C47" i="130" s="1"/>
  <c r="F18" i="130"/>
  <c r="E19" i="130"/>
  <c r="Z28" i="128"/>
  <c r="E36" i="128"/>
  <c r="Y28" i="128"/>
  <c r="L33" i="128"/>
  <c r="G36" i="128"/>
  <c r="O36" i="128"/>
  <c r="K10" i="128"/>
  <c r="F28" i="128"/>
  <c r="T16" i="128"/>
  <c r="R15" i="128"/>
  <c r="U15" i="128" s="1"/>
  <c r="L15" i="128"/>
  <c r="N15" i="128"/>
  <c r="M16" i="128"/>
  <c r="E18" i="128"/>
  <c r="H17" i="128"/>
  <c r="C52" i="128" s="1"/>
  <c r="F17" i="128"/>
  <c r="R15" i="127"/>
  <c r="U15" i="127" s="1"/>
  <c r="L15" i="127"/>
  <c r="N15" i="127"/>
  <c r="M16" i="127"/>
  <c r="Z28" i="127"/>
  <c r="E36" i="127"/>
  <c r="Y28" i="127"/>
  <c r="L33" i="127"/>
  <c r="G36" i="127"/>
  <c r="O36" i="127"/>
  <c r="K10" i="127"/>
  <c r="F28" i="127"/>
  <c r="T16" i="127"/>
  <c r="E18" i="127"/>
  <c r="H17" i="127"/>
  <c r="C52" i="127" s="1"/>
  <c r="F17" i="127"/>
  <c r="Z35" i="126"/>
  <c r="F35" i="126"/>
  <c r="Y35" i="126"/>
  <c r="G31" i="126"/>
  <c r="E31" i="126"/>
  <c r="K17" i="126"/>
  <c r="L28" i="126"/>
  <c r="O31" i="126"/>
  <c r="T17" i="126"/>
  <c r="R10" i="126"/>
  <c r="U16" i="126" s="1"/>
  <c r="M10" i="126"/>
  <c r="L10" i="126"/>
  <c r="N10" i="126"/>
  <c r="M11" i="126"/>
  <c r="H18" i="126"/>
  <c r="C47" i="126" s="1"/>
  <c r="F18" i="126"/>
  <c r="E19" i="126"/>
  <c r="H18" i="131" l="1"/>
  <c r="C47" i="131" s="1"/>
  <c r="E19" i="131"/>
  <c r="F18" i="131"/>
  <c r="Z35" i="131"/>
  <c r="Y35" i="131"/>
  <c r="G31" i="131"/>
  <c r="T17" i="131"/>
  <c r="E31" i="131"/>
  <c r="L28" i="131"/>
  <c r="K17" i="131"/>
  <c r="F35" i="131"/>
  <c r="O31" i="131"/>
  <c r="R10" i="131"/>
  <c r="U16" i="131" s="1"/>
  <c r="L10" i="131"/>
  <c r="M10" i="131"/>
  <c r="N10" i="131"/>
  <c r="M11" i="131"/>
  <c r="R17" i="130"/>
  <c r="U17" i="130" s="1"/>
  <c r="L17" i="130"/>
  <c r="M17" i="130"/>
  <c r="N17" i="130"/>
  <c r="M18" i="130"/>
  <c r="E20" i="130"/>
  <c r="H19" i="130"/>
  <c r="C54" i="130" s="1"/>
  <c r="F19" i="130"/>
  <c r="F30" i="130"/>
  <c r="G30" i="130" s="1"/>
  <c r="K12" i="130"/>
  <c r="G38" i="130"/>
  <c r="Y30" i="130"/>
  <c r="E38" i="130"/>
  <c r="Z30" i="130"/>
  <c r="L35" i="130"/>
  <c r="O38" i="130"/>
  <c r="T18" i="130"/>
  <c r="E30" i="130"/>
  <c r="O30" i="130"/>
  <c r="M10" i="128"/>
  <c r="R10" i="128"/>
  <c r="U16" i="128" s="1"/>
  <c r="L10" i="128"/>
  <c r="N10" i="128"/>
  <c r="M11" i="128"/>
  <c r="Z35" i="128"/>
  <c r="O31" i="128"/>
  <c r="Y35" i="128"/>
  <c r="G31" i="128"/>
  <c r="E31" i="128"/>
  <c r="L28" i="128"/>
  <c r="K17" i="128"/>
  <c r="F35" i="128"/>
  <c r="T17" i="128"/>
  <c r="H18" i="128"/>
  <c r="C47" i="128" s="1"/>
  <c r="F18" i="128"/>
  <c r="E19" i="128"/>
  <c r="M10" i="127"/>
  <c r="R10" i="127"/>
  <c r="U16" i="127" s="1"/>
  <c r="L10" i="127"/>
  <c r="N10" i="127"/>
  <c r="M11" i="127"/>
  <c r="H18" i="127"/>
  <c r="C47" i="127" s="1"/>
  <c r="F18" i="127"/>
  <c r="E19" i="127"/>
  <c r="Z35" i="127"/>
  <c r="Y35" i="127"/>
  <c r="G31" i="127"/>
  <c r="O31" i="127"/>
  <c r="F35" i="127"/>
  <c r="E31" i="127"/>
  <c r="L28" i="127"/>
  <c r="K17" i="127"/>
  <c r="T17" i="127"/>
  <c r="R17" i="126"/>
  <c r="U17" i="126" s="1"/>
  <c r="M17" i="126"/>
  <c r="L17" i="126"/>
  <c r="N17" i="126"/>
  <c r="M18" i="126"/>
  <c r="F19" i="126"/>
  <c r="H19" i="126"/>
  <c r="C54" i="126" s="1"/>
  <c r="E20" i="126"/>
  <c r="F30" i="126"/>
  <c r="G30" i="126" s="1"/>
  <c r="G38" i="126"/>
  <c r="E38" i="126"/>
  <c r="Z30" i="126"/>
  <c r="Y30" i="126"/>
  <c r="K12" i="126"/>
  <c r="L35" i="126"/>
  <c r="O38" i="126"/>
  <c r="T18" i="126"/>
  <c r="O30" i="126"/>
  <c r="E30" i="126"/>
  <c r="R17" i="131" l="1"/>
  <c r="U17" i="131" s="1"/>
  <c r="M17" i="131"/>
  <c r="L17" i="131"/>
  <c r="N17" i="131"/>
  <c r="M18" i="131"/>
  <c r="H19" i="131"/>
  <c r="C54" i="131" s="1"/>
  <c r="F19" i="131"/>
  <c r="E20" i="131"/>
  <c r="F30" i="131"/>
  <c r="G30" i="131" s="1"/>
  <c r="G38" i="131"/>
  <c r="T18" i="131"/>
  <c r="Y30" i="131"/>
  <c r="E38" i="131"/>
  <c r="Z30" i="131"/>
  <c r="L35" i="131"/>
  <c r="K12" i="131"/>
  <c r="O38" i="131"/>
  <c r="E30" i="131"/>
  <c r="O30" i="131"/>
  <c r="F20" i="130"/>
  <c r="H20" i="130"/>
  <c r="C49" i="130" s="1"/>
  <c r="E21" i="130"/>
  <c r="L12" i="130"/>
  <c r="R12" i="130"/>
  <c r="U18" i="130" s="1"/>
  <c r="M12" i="130"/>
  <c r="N12" i="130"/>
  <c r="M13" i="130"/>
  <c r="F37" i="130"/>
  <c r="G37" i="130" s="1"/>
  <c r="Z37" i="130"/>
  <c r="G33" i="130"/>
  <c r="K19" i="130"/>
  <c r="O33" i="130"/>
  <c r="Y37" i="130"/>
  <c r="E33" i="130"/>
  <c r="L30" i="130"/>
  <c r="T19" i="130"/>
  <c r="E37" i="130"/>
  <c r="O37" i="130"/>
  <c r="M17" i="128"/>
  <c r="R17" i="128"/>
  <c r="U17" i="128" s="1"/>
  <c r="L17" i="128"/>
  <c r="N17" i="128"/>
  <c r="M18" i="128"/>
  <c r="E20" i="128"/>
  <c r="H19" i="128"/>
  <c r="C54" i="128" s="1"/>
  <c r="F19" i="128"/>
  <c r="F30" i="128"/>
  <c r="G30" i="128" s="1"/>
  <c r="Z30" i="128"/>
  <c r="Y30" i="128"/>
  <c r="G38" i="128"/>
  <c r="O38" i="128"/>
  <c r="E38" i="128"/>
  <c r="L35" i="128"/>
  <c r="K12" i="128"/>
  <c r="T18" i="128"/>
  <c r="O30" i="128"/>
  <c r="E30" i="128"/>
  <c r="H19" i="127"/>
  <c r="C54" i="127" s="1"/>
  <c r="E20" i="127"/>
  <c r="F19" i="127"/>
  <c r="M17" i="127"/>
  <c r="R17" i="127"/>
  <c r="U17" i="127" s="1"/>
  <c r="L17" i="127"/>
  <c r="N17" i="127"/>
  <c r="M18" i="127"/>
  <c r="F30" i="127"/>
  <c r="G30" i="127" s="1"/>
  <c r="G38" i="127"/>
  <c r="Z30" i="127"/>
  <c r="Y30" i="127"/>
  <c r="O38" i="127"/>
  <c r="E38" i="127"/>
  <c r="L35" i="127"/>
  <c r="K12" i="127"/>
  <c r="T18" i="127"/>
  <c r="O30" i="127"/>
  <c r="E30" i="127"/>
  <c r="R12" i="126"/>
  <c r="U18" i="126" s="1"/>
  <c r="M12" i="126"/>
  <c r="L12" i="126"/>
  <c r="N12" i="126"/>
  <c r="M13" i="126"/>
  <c r="F37" i="126"/>
  <c r="G37" i="126" s="1"/>
  <c r="O33" i="126"/>
  <c r="Z37" i="126"/>
  <c r="Y37" i="126"/>
  <c r="G33" i="126"/>
  <c r="E33" i="126"/>
  <c r="K19" i="126"/>
  <c r="L30" i="126"/>
  <c r="T19" i="126"/>
  <c r="E37" i="126"/>
  <c r="O37" i="126"/>
  <c r="F20" i="126"/>
  <c r="H20" i="126"/>
  <c r="C49" i="126" s="1"/>
  <c r="E21" i="126"/>
  <c r="H20" i="131" l="1"/>
  <c r="C49" i="131" s="1"/>
  <c r="F20" i="131"/>
  <c r="E21" i="131"/>
  <c r="F37" i="131"/>
  <c r="G37" i="131" s="1"/>
  <c r="T19" i="131"/>
  <c r="Z37" i="131"/>
  <c r="Y37" i="131"/>
  <c r="G33" i="131"/>
  <c r="O33" i="131"/>
  <c r="E33" i="131"/>
  <c r="K19" i="131"/>
  <c r="L30" i="131"/>
  <c r="O37" i="131"/>
  <c r="E37" i="131"/>
  <c r="R12" i="131"/>
  <c r="U18" i="131" s="1"/>
  <c r="M12" i="131"/>
  <c r="L12" i="131"/>
  <c r="N12" i="131"/>
  <c r="M13" i="131"/>
  <c r="L19" i="130"/>
  <c r="M19" i="130"/>
  <c r="R19" i="130"/>
  <c r="U19" i="130" s="1"/>
  <c r="N19" i="130"/>
  <c r="M20" i="130"/>
  <c r="H21" i="130"/>
  <c r="C56" i="130" s="1"/>
  <c r="U33" i="130" s="1" a="1"/>
  <c r="U33" i="130" s="1"/>
  <c r="V33" i="130" s="1"/>
  <c r="F21" i="130"/>
  <c r="Y32" i="130"/>
  <c r="K14" i="130"/>
  <c r="E28" i="130"/>
  <c r="F32" i="130"/>
  <c r="G32" i="130" s="1"/>
  <c r="G28" i="130"/>
  <c r="O28" i="130"/>
  <c r="Z32" i="130"/>
  <c r="L37" i="130"/>
  <c r="T20" i="130"/>
  <c r="O32" i="130"/>
  <c r="E32" i="130"/>
  <c r="U35" i="130" a="1"/>
  <c r="U35" i="130" s="1"/>
  <c r="V35" i="130" s="1"/>
  <c r="U37" i="130" a="1"/>
  <c r="U37" i="130" s="1"/>
  <c r="V37" i="130" s="1"/>
  <c r="U29" i="130" a="1"/>
  <c r="U29" i="130" s="1"/>
  <c r="V29" i="130" s="1"/>
  <c r="U28" i="130" a="1"/>
  <c r="U28" i="130" s="1"/>
  <c r="V28" i="130" s="1"/>
  <c r="U36" i="130" a="1"/>
  <c r="U36" i="130" s="1"/>
  <c r="V36" i="130" s="1"/>
  <c r="U39" i="130" a="1"/>
  <c r="U39" i="130" s="1"/>
  <c r="V39" i="130" s="1"/>
  <c r="U32" i="130" a="1"/>
  <c r="U32" i="130" s="1"/>
  <c r="V32" i="130" s="1"/>
  <c r="U30" i="130" a="1"/>
  <c r="U30" i="130" s="1"/>
  <c r="V30" i="130" s="1"/>
  <c r="F37" i="128"/>
  <c r="G37" i="128" s="1"/>
  <c r="G33" i="128"/>
  <c r="E33" i="128"/>
  <c r="Z37" i="128"/>
  <c r="Y37" i="128"/>
  <c r="O33" i="128"/>
  <c r="L30" i="128"/>
  <c r="K19" i="128"/>
  <c r="T19" i="128"/>
  <c r="E37" i="128"/>
  <c r="O37" i="128"/>
  <c r="E21" i="128"/>
  <c r="H20" i="128"/>
  <c r="C49" i="128" s="1"/>
  <c r="F20" i="128"/>
  <c r="M12" i="128"/>
  <c r="R12" i="128"/>
  <c r="U18" i="128" s="1"/>
  <c r="L12" i="128"/>
  <c r="N12" i="128"/>
  <c r="M13" i="128"/>
  <c r="M12" i="127"/>
  <c r="R12" i="127"/>
  <c r="U18" i="127" s="1"/>
  <c r="L12" i="127"/>
  <c r="N12" i="127"/>
  <c r="M13" i="127"/>
  <c r="E21" i="127"/>
  <c r="F20" i="127"/>
  <c r="H20" i="127"/>
  <c r="C49" i="127" s="1"/>
  <c r="F37" i="127"/>
  <c r="G37" i="127" s="1"/>
  <c r="Y37" i="127"/>
  <c r="Z37" i="127"/>
  <c r="G33" i="127"/>
  <c r="E33" i="127"/>
  <c r="L30" i="127"/>
  <c r="O33" i="127"/>
  <c r="K19" i="127"/>
  <c r="T19" i="127"/>
  <c r="E37" i="127"/>
  <c r="O37" i="127"/>
  <c r="R19" i="126"/>
  <c r="U19" i="126" s="1"/>
  <c r="M19" i="126"/>
  <c r="L19" i="126"/>
  <c r="N19" i="126"/>
  <c r="M20" i="126"/>
  <c r="H21" i="126"/>
  <c r="C56" i="126" s="1"/>
  <c r="U31" i="126" s="1" a="1"/>
  <c r="U31" i="126" s="1"/>
  <c r="V31" i="126" s="1"/>
  <c r="F21" i="126"/>
  <c r="F32" i="126"/>
  <c r="G32" i="126" s="1"/>
  <c r="Y32" i="126"/>
  <c r="K14" i="126"/>
  <c r="E28" i="126"/>
  <c r="O28" i="126"/>
  <c r="G28" i="126"/>
  <c r="Z32" i="126"/>
  <c r="L37" i="126"/>
  <c r="T20" i="126"/>
  <c r="O32" i="126"/>
  <c r="E32" i="126"/>
  <c r="U32" i="126" a="1"/>
  <c r="U32" i="126" s="1"/>
  <c r="V32" i="126" s="1"/>
  <c r="U33" i="126" a="1"/>
  <c r="U33" i="126" s="1"/>
  <c r="V33" i="126" s="1"/>
  <c r="U37" i="126" a="1"/>
  <c r="U37" i="126" s="1"/>
  <c r="V37" i="126" s="1"/>
  <c r="U38" i="126" a="1"/>
  <c r="U38" i="126" s="1"/>
  <c r="V38" i="126" s="1"/>
  <c r="U39" i="126" a="1"/>
  <c r="U39" i="126" s="1"/>
  <c r="V39" i="126" s="1"/>
  <c r="U30" i="126" a="1"/>
  <c r="U30" i="126" s="1"/>
  <c r="V30" i="126" s="1"/>
  <c r="U29" i="126" a="1"/>
  <c r="U29" i="126" s="1"/>
  <c r="V29" i="126" s="1"/>
  <c r="R19" i="131" l="1"/>
  <c r="U19" i="131" s="1"/>
  <c r="M19" i="131"/>
  <c r="L19" i="131"/>
  <c r="N19" i="131"/>
  <c r="M20" i="131"/>
  <c r="H21" i="131"/>
  <c r="C56" i="131" s="1"/>
  <c r="U37" i="131" s="1" a="1"/>
  <c r="U37" i="131" s="1"/>
  <c r="V37" i="131" s="1"/>
  <c r="F21" i="131"/>
  <c r="T20" i="131"/>
  <c r="F32" i="131"/>
  <c r="G32" i="131" s="1"/>
  <c r="O28" i="131"/>
  <c r="Z32" i="131"/>
  <c r="Y32" i="131"/>
  <c r="G28" i="131"/>
  <c r="K14" i="131"/>
  <c r="E28" i="131"/>
  <c r="L37" i="131"/>
  <c r="O32" i="131"/>
  <c r="E32" i="131"/>
  <c r="U32" i="131" a="1"/>
  <c r="U32" i="131" s="1"/>
  <c r="V32" i="131" s="1"/>
  <c r="U38" i="131" a="1"/>
  <c r="U38" i="131" s="1"/>
  <c r="V38" i="131" s="1"/>
  <c r="U35" i="131" a="1"/>
  <c r="U35" i="131" s="1"/>
  <c r="V35" i="131" s="1"/>
  <c r="U39" i="131" a="1"/>
  <c r="U39" i="131" s="1"/>
  <c r="V39" i="131" s="1"/>
  <c r="R14" i="130"/>
  <c r="U20" i="130" s="1"/>
  <c r="M14" i="130"/>
  <c r="L14" i="130"/>
  <c r="N14" i="130"/>
  <c r="M15" i="130"/>
  <c r="Y39" i="130"/>
  <c r="K21" i="130"/>
  <c r="L32" i="130"/>
  <c r="G35" i="130"/>
  <c r="O35" i="130"/>
  <c r="Z39" i="130"/>
  <c r="E35" i="130"/>
  <c r="T21" i="130"/>
  <c r="U38" i="130" a="1"/>
  <c r="U38" i="130" s="1"/>
  <c r="V38" i="130" s="1"/>
  <c r="U31" i="130" a="1"/>
  <c r="U31" i="130" s="1"/>
  <c r="V31" i="130" s="1"/>
  <c r="E28" i="128"/>
  <c r="O28" i="128"/>
  <c r="L37" i="128"/>
  <c r="F32" i="128"/>
  <c r="G32" i="128" s="1"/>
  <c r="Z32" i="128"/>
  <c r="Y32" i="128"/>
  <c r="G28" i="128"/>
  <c r="K14" i="128"/>
  <c r="T20" i="128"/>
  <c r="O32" i="128"/>
  <c r="E32" i="128"/>
  <c r="U36" i="128" a="1"/>
  <c r="U36" i="128" s="1"/>
  <c r="V36" i="128" s="1"/>
  <c r="U31" i="128" a="1"/>
  <c r="U31" i="128" s="1"/>
  <c r="V31" i="128" s="1"/>
  <c r="U28" i="128" a="1"/>
  <c r="U28" i="128" s="1"/>
  <c r="V28" i="128" s="1"/>
  <c r="F21" i="128"/>
  <c r="H21" i="128"/>
  <c r="C56" i="128" s="1"/>
  <c r="U39" i="128" s="1" a="1"/>
  <c r="U39" i="128" s="1"/>
  <c r="V39" i="128" s="1"/>
  <c r="M19" i="128"/>
  <c r="R19" i="128"/>
  <c r="U19" i="128" s="1"/>
  <c r="L19" i="128"/>
  <c r="N19" i="128"/>
  <c r="M20" i="128"/>
  <c r="L37" i="127"/>
  <c r="E28" i="127"/>
  <c r="F32" i="127"/>
  <c r="G32" i="127" s="1"/>
  <c r="O28" i="127"/>
  <c r="Z32" i="127"/>
  <c r="Y32" i="127"/>
  <c r="G28" i="127"/>
  <c r="K14" i="127"/>
  <c r="T20" i="127"/>
  <c r="O32" i="127"/>
  <c r="E32" i="127"/>
  <c r="U33" i="127" a="1"/>
  <c r="U33" i="127" s="1"/>
  <c r="V33" i="127" s="1"/>
  <c r="R19" i="127"/>
  <c r="U19" i="127" s="1"/>
  <c r="M19" i="127"/>
  <c r="L19" i="127"/>
  <c r="N19" i="127"/>
  <c r="M20" i="127"/>
  <c r="F21" i="127"/>
  <c r="H21" i="127"/>
  <c r="C56" i="127" s="1"/>
  <c r="U39" i="127" s="1" a="1"/>
  <c r="U39" i="127" s="1"/>
  <c r="V39" i="127" s="1"/>
  <c r="U35" i="126" a="1"/>
  <c r="U35" i="126" s="1"/>
  <c r="V35" i="126" s="1"/>
  <c r="R14" i="126"/>
  <c r="U20" i="126" s="1"/>
  <c r="M14" i="126"/>
  <c r="L14" i="126"/>
  <c r="N14" i="126"/>
  <c r="M15" i="126"/>
  <c r="Y39" i="126"/>
  <c r="G35" i="126"/>
  <c r="L32" i="126"/>
  <c r="E35" i="126"/>
  <c r="K21" i="126"/>
  <c r="O35" i="126"/>
  <c r="Z39" i="126"/>
  <c r="T21" i="126"/>
  <c r="U36" i="126" a="1"/>
  <c r="U36" i="126" s="1"/>
  <c r="V36" i="126" s="1"/>
  <c r="U28" i="126" a="1"/>
  <c r="U28" i="126" s="1"/>
  <c r="V28" i="126" s="1"/>
  <c r="U33" i="131" l="1" a="1"/>
  <c r="U33" i="131" s="1"/>
  <c r="V33" i="131" s="1"/>
  <c r="U31" i="131" a="1"/>
  <c r="U31" i="131" s="1"/>
  <c r="V31" i="131" s="1"/>
  <c r="U36" i="131" a="1"/>
  <c r="U36" i="131" s="1"/>
  <c r="V36" i="131" s="1"/>
  <c r="U29" i="131" a="1"/>
  <c r="U29" i="131" s="1"/>
  <c r="V29" i="131" s="1"/>
  <c r="U30" i="131" a="1"/>
  <c r="U30" i="131" s="1"/>
  <c r="V30" i="131" s="1"/>
  <c r="R14" i="131"/>
  <c r="U20" i="131" s="1"/>
  <c r="M14" i="131"/>
  <c r="L14" i="131"/>
  <c r="N14" i="131"/>
  <c r="M15" i="131"/>
  <c r="Y39" i="131"/>
  <c r="T21" i="131"/>
  <c r="L32" i="131"/>
  <c r="O35" i="131"/>
  <c r="G35" i="131"/>
  <c r="K21" i="131"/>
  <c r="E35" i="131"/>
  <c r="Z39" i="131"/>
  <c r="U28" i="131" a="1"/>
  <c r="U28" i="131" s="1"/>
  <c r="V28" i="131" s="1"/>
  <c r="M21" i="130"/>
  <c r="L21" i="130"/>
  <c r="R21" i="130"/>
  <c r="U21" i="130" s="1"/>
  <c r="N21" i="130"/>
  <c r="U37" i="128" a="1"/>
  <c r="U37" i="128" s="1"/>
  <c r="V37" i="128" s="1"/>
  <c r="Y39" i="128"/>
  <c r="O35" i="128"/>
  <c r="E35" i="128"/>
  <c r="L32" i="128"/>
  <c r="Z39" i="128"/>
  <c r="G35" i="128"/>
  <c r="K21" i="128"/>
  <c r="T21" i="128"/>
  <c r="U33" i="128" a="1"/>
  <c r="U33" i="128" s="1"/>
  <c r="V33" i="128" s="1"/>
  <c r="U30" i="128" a="1"/>
  <c r="U30" i="128" s="1"/>
  <c r="V30" i="128" s="1"/>
  <c r="U35" i="128" a="1"/>
  <c r="U35" i="128" s="1"/>
  <c r="V35" i="128" s="1"/>
  <c r="U38" i="128" a="1"/>
  <c r="U38" i="128" s="1"/>
  <c r="V38" i="128" s="1"/>
  <c r="M14" i="128"/>
  <c r="R14" i="128"/>
  <c r="U20" i="128" s="1"/>
  <c r="L14" i="128"/>
  <c r="N14" i="128"/>
  <c r="M15" i="128"/>
  <c r="U32" i="128" a="1"/>
  <c r="U32" i="128" s="1"/>
  <c r="V32" i="128" s="1"/>
  <c r="U29" i="128" a="1"/>
  <c r="U29" i="128" s="1"/>
  <c r="V29" i="128" s="1"/>
  <c r="U30" i="127" a="1"/>
  <c r="U30" i="127" s="1"/>
  <c r="V30" i="127" s="1"/>
  <c r="U28" i="127" a="1"/>
  <c r="U28" i="127" s="1"/>
  <c r="V28" i="127" s="1"/>
  <c r="U37" i="127" a="1"/>
  <c r="U37" i="127" s="1"/>
  <c r="V37" i="127" s="1"/>
  <c r="M14" i="127"/>
  <c r="R14" i="127"/>
  <c r="U20" i="127" s="1"/>
  <c r="L14" i="127"/>
  <c r="N14" i="127"/>
  <c r="M15" i="127"/>
  <c r="U31" i="127" a="1"/>
  <c r="U31" i="127" s="1"/>
  <c r="V31" i="127" s="1"/>
  <c r="U29" i="127" a="1"/>
  <c r="U29" i="127" s="1"/>
  <c r="V29" i="127" s="1"/>
  <c r="U32" i="127" a="1"/>
  <c r="U32" i="127" s="1"/>
  <c r="V32" i="127" s="1"/>
  <c r="U35" i="127" a="1"/>
  <c r="U35" i="127" s="1"/>
  <c r="V35" i="127" s="1"/>
  <c r="U38" i="127" a="1"/>
  <c r="U38" i="127" s="1"/>
  <c r="V38" i="127" s="1"/>
  <c r="Y39" i="127"/>
  <c r="E35" i="127"/>
  <c r="L32" i="127"/>
  <c r="O35" i="127"/>
  <c r="G35" i="127"/>
  <c r="K21" i="127"/>
  <c r="Z39" i="127"/>
  <c r="T21" i="127"/>
  <c r="U36" i="127" a="1"/>
  <c r="U36" i="127" s="1"/>
  <c r="V36" i="127" s="1"/>
  <c r="R21" i="126"/>
  <c r="U21" i="126" s="1"/>
  <c r="M21" i="126"/>
  <c r="L21" i="126"/>
  <c r="N21" i="126"/>
  <c r="R21" i="131" l="1"/>
  <c r="U21" i="131" s="1"/>
  <c r="M21" i="131"/>
  <c r="L21" i="131"/>
  <c r="N21" i="131"/>
  <c r="M21" i="128"/>
  <c r="R21" i="128"/>
  <c r="U21" i="128" s="1"/>
  <c r="L21" i="128"/>
  <c r="N21" i="128"/>
  <c r="M21" i="127"/>
  <c r="R21" i="127"/>
  <c r="U21" i="127" s="1"/>
  <c r="L21" i="127"/>
  <c r="N21" i="127"/>
  <c r="E26" i="124" l="1" a="1"/>
  <c r="E26" i="124" s="1"/>
  <c r="E25" i="124"/>
  <c r="S21" i="124"/>
  <c r="P21" i="124"/>
  <c r="S20" i="124"/>
  <c r="P20" i="124"/>
  <c r="S19" i="124"/>
  <c r="P19" i="124"/>
  <c r="S18" i="124"/>
  <c r="P18" i="124"/>
  <c r="S17" i="124"/>
  <c r="P17" i="124"/>
  <c r="S16" i="124"/>
  <c r="P16" i="124"/>
  <c r="S15" i="124"/>
  <c r="P15" i="124"/>
  <c r="S14" i="124"/>
  <c r="P14" i="124"/>
  <c r="S13" i="124"/>
  <c r="P13" i="124"/>
  <c r="S12" i="124"/>
  <c r="P12" i="124"/>
  <c r="S11" i="124"/>
  <c r="P11" i="124"/>
  <c r="S10" i="124"/>
  <c r="P10" i="124"/>
  <c r="S9" i="124"/>
  <c r="P9" i="124"/>
  <c r="L9" i="124"/>
  <c r="E3" i="124"/>
  <c r="F3" i="124" s="1"/>
  <c r="K2" i="124" s="1"/>
  <c r="D9" i="124" s="1"/>
  <c r="J2" i="124"/>
  <c r="F2" i="124"/>
  <c r="G26" i="124" s="1"/>
  <c r="E2" i="124"/>
  <c r="L8" i="124" s="1"/>
  <c r="E26" i="123" a="1"/>
  <c r="E26" i="123" s="1"/>
  <c r="E25" i="123"/>
  <c r="S21" i="123"/>
  <c r="P21" i="123"/>
  <c r="S20" i="123"/>
  <c r="P20" i="123"/>
  <c r="S19" i="123"/>
  <c r="P19" i="123"/>
  <c r="S18" i="123"/>
  <c r="P18" i="123"/>
  <c r="S17" i="123"/>
  <c r="P17" i="123"/>
  <c r="S16" i="123"/>
  <c r="P16" i="123"/>
  <c r="S15" i="123"/>
  <c r="P15" i="123"/>
  <c r="S14" i="123"/>
  <c r="P14" i="123"/>
  <c r="S13" i="123"/>
  <c r="P13" i="123"/>
  <c r="S12" i="123"/>
  <c r="P12" i="123"/>
  <c r="S11" i="123"/>
  <c r="P11" i="123"/>
  <c r="S10" i="123"/>
  <c r="P10" i="123"/>
  <c r="S9" i="123"/>
  <c r="P9" i="123"/>
  <c r="L9" i="123"/>
  <c r="E3" i="123"/>
  <c r="F3" i="123" s="1"/>
  <c r="K2" i="123" s="1"/>
  <c r="D9" i="123" s="1"/>
  <c r="J2" i="123"/>
  <c r="F2" i="123"/>
  <c r="G26" i="123" s="1"/>
  <c r="E2" i="123"/>
  <c r="L8" i="123" s="1"/>
  <c r="E26" i="122" a="1"/>
  <c r="E26" i="122" s="1"/>
  <c r="E25" i="122"/>
  <c r="S21" i="122"/>
  <c r="P21" i="122"/>
  <c r="S20" i="122"/>
  <c r="P20" i="122"/>
  <c r="S19" i="122"/>
  <c r="P19" i="122"/>
  <c r="S18" i="122"/>
  <c r="P18" i="122"/>
  <c r="S17" i="122"/>
  <c r="P17" i="122"/>
  <c r="S16" i="122"/>
  <c r="P16" i="122"/>
  <c r="S15" i="122"/>
  <c r="P15" i="122"/>
  <c r="S14" i="122"/>
  <c r="P14" i="122"/>
  <c r="S13" i="122"/>
  <c r="P13" i="122"/>
  <c r="S12" i="122"/>
  <c r="P12" i="122"/>
  <c r="S11" i="122"/>
  <c r="P11" i="122"/>
  <c r="S10" i="122"/>
  <c r="P10" i="122"/>
  <c r="S9" i="122"/>
  <c r="P9" i="122"/>
  <c r="D9" i="122"/>
  <c r="D10" i="122" s="1"/>
  <c r="D11" i="122" s="1"/>
  <c r="D12" i="122" s="1"/>
  <c r="D13" i="122" s="1"/>
  <c r="D14" i="122" s="1"/>
  <c r="D15" i="122" s="1"/>
  <c r="D16" i="122" s="1"/>
  <c r="D17" i="122" s="1"/>
  <c r="D18" i="122" s="1"/>
  <c r="D19" i="122" s="1"/>
  <c r="D20" i="122" s="1"/>
  <c r="D21" i="122" s="1"/>
  <c r="D8" i="122"/>
  <c r="C8" i="122"/>
  <c r="F3" i="122"/>
  <c r="K2" i="122" s="1"/>
  <c r="E9" i="122" s="1"/>
  <c r="E3" i="122"/>
  <c r="J2" i="122"/>
  <c r="F2" i="122"/>
  <c r="G26" i="122" s="1"/>
  <c r="E2" i="122"/>
  <c r="E26" i="121" a="1"/>
  <c r="E26" i="121" s="1"/>
  <c r="E25" i="121"/>
  <c r="S21" i="121"/>
  <c r="P21" i="121"/>
  <c r="S20" i="121"/>
  <c r="P20" i="121"/>
  <c r="S19" i="121"/>
  <c r="P19" i="121"/>
  <c r="S18" i="121"/>
  <c r="P18" i="121"/>
  <c r="S17" i="121"/>
  <c r="P17" i="121"/>
  <c r="S16" i="121"/>
  <c r="P16" i="121"/>
  <c r="S15" i="121"/>
  <c r="P15" i="121"/>
  <c r="S14" i="121"/>
  <c r="P14" i="121"/>
  <c r="S13" i="121"/>
  <c r="P13" i="121"/>
  <c r="S12" i="121"/>
  <c r="P12" i="121"/>
  <c r="S11" i="121"/>
  <c r="P11" i="121"/>
  <c r="S10" i="121"/>
  <c r="P10" i="121"/>
  <c r="D10" i="121"/>
  <c r="D11" i="121" s="1"/>
  <c r="D12" i="121" s="1"/>
  <c r="D13" i="121" s="1"/>
  <c r="D14" i="121" s="1"/>
  <c r="D15" i="121" s="1"/>
  <c r="D16" i="121" s="1"/>
  <c r="D17" i="121" s="1"/>
  <c r="D18" i="121" s="1"/>
  <c r="D19" i="121" s="1"/>
  <c r="D20" i="121" s="1"/>
  <c r="D21" i="121" s="1"/>
  <c r="S9" i="121"/>
  <c r="P9" i="121"/>
  <c r="D9" i="121"/>
  <c r="D8" i="121"/>
  <c r="C8" i="121"/>
  <c r="F3" i="121"/>
  <c r="E3" i="121"/>
  <c r="J2" i="121"/>
  <c r="F2" i="121"/>
  <c r="G26" i="121" s="1"/>
  <c r="E2" i="121"/>
  <c r="E26" i="120" a="1"/>
  <c r="E26" i="120" s="1"/>
  <c r="E25" i="120"/>
  <c r="S21" i="120"/>
  <c r="P21" i="120"/>
  <c r="S20" i="120"/>
  <c r="P20" i="120"/>
  <c r="S19" i="120"/>
  <c r="P19" i="120"/>
  <c r="S18" i="120"/>
  <c r="P18" i="120"/>
  <c r="S17" i="120"/>
  <c r="P17" i="120"/>
  <c r="S16" i="120"/>
  <c r="P16" i="120"/>
  <c r="S15" i="120"/>
  <c r="P15" i="120"/>
  <c r="S14" i="120"/>
  <c r="P14" i="120"/>
  <c r="S13" i="120"/>
  <c r="P13" i="120"/>
  <c r="S12" i="120"/>
  <c r="P12" i="120"/>
  <c r="S11" i="120"/>
  <c r="P11" i="120"/>
  <c r="S10" i="120"/>
  <c r="P10" i="120"/>
  <c r="D10" i="120"/>
  <c r="D11" i="120" s="1"/>
  <c r="D12" i="120" s="1"/>
  <c r="D13" i="120" s="1"/>
  <c r="D14" i="120" s="1"/>
  <c r="D15" i="120" s="1"/>
  <c r="D16" i="120" s="1"/>
  <c r="D17" i="120" s="1"/>
  <c r="D18" i="120" s="1"/>
  <c r="D19" i="120" s="1"/>
  <c r="D20" i="120" s="1"/>
  <c r="D21" i="120" s="1"/>
  <c r="S9" i="120"/>
  <c r="P9" i="120"/>
  <c r="D9" i="120"/>
  <c r="D8" i="120"/>
  <c r="C8" i="120"/>
  <c r="F3" i="120"/>
  <c r="E3" i="120"/>
  <c r="J2" i="120"/>
  <c r="F2" i="120"/>
  <c r="G26" i="120" s="1"/>
  <c r="E2" i="120"/>
  <c r="E26" i="119" a="1"/>
  <c r="E26" i="119" s="1"/>
  <c r="E25" i="119"/>
  <c r="S21" i="119"/>
  <c r="P21" i="119"/>
  <c r="S20" i="119"/>
  <c r="P20" i="119"/>
  <c r="S19" i="119"/>
  <c r="P19" i="119"/>
  <c r="S18" i="119"/>
  <c r="P18" i="119"/>
  <c r="S17" i="119"/>
  <c r="P17" i="119"/>
  <c r="S16" i="119"/>
  <c r="P16" i="119"/>
  <c r="S15" i="119"/>
  <c r="P15" i="119"/>
  <c r="S14" i="119"/>
  <c r="P14" i="119"/>
  <c r="S13" i="119"/>
  <c r="P13" i="119"/>
  <c r="S12" i="119"/>
  <c r="P12" i="119"/>
  <c r="S11" i="119"/>
  <c r="P11" i="119"/>
  <c r="S10" i="119"/>
  <c r="P10" i="119"/>
  <c r="D10" i="119"/>
  <c r="D11" i="119" s="1"/>
  <c r="D12" i="119" s="1"/>
  <c r="D13" i="119" s="1"/>
  <c r="D14" i="119" s="1"/>
  <c r="D15" i="119" s="1"/>
  <c r="D16" i="119" s="1"/>
  <c r="D17" i="119" s="1"/>
  <c r="D18" i="119" s="1"/>
  <c r="D19" i="119" s="1"/>
  <c r="D20" i="119" s="1"/>
  <c r="D21" i="119" s="1"/>
  <c r="S9" i="119"/>
  <c r="P9" i="119"/>
  <c r="D9" i="119"/>
  <c r="D8" i="119"/>
  <c r="C8" i="119"/>
  <c r="E3" i="119"/>
  <c r="F3" i="119" s="1"/>
  <c r="J2" i="119"/>
  <c r="F2" i="119"/>
  <c r="G26" i="119" s="1"/>
  <c r="E2" i="119"/>
  <c r="E26" i="118" a="1"/>
  <c r="E26" i="118" s="1"/>
  <c r="E25" i="118"/>
  <c r="S21" i="118"/>
  <c r="P21" i="118"/>
  <c r="S20" i="118"/>
  <c r="P20" i="118"/>
  <c r="S19" i="118"/>
  <c r="P19" i="118"/>
  <c r="S18" i="118"/>
  <c r="P18" i="118"/>
  <c r="S17" i="118"/>
  <c r="P17" i="118"/>
  <c r="S16" i="118"/>
  <c r="P16" i="118"/>
  <c r="S15" i="118"/>
  <c r="P15" i="118"/>
  <c r="S14" i="118"/>
  <c r="P14" i="118"/>
  <c r="S13" i="118"/>
  <c r="P13" i="118"/>
  <c r="S12" i="118"/>
  <c r="P12" i="118"/>
  <c r="S11" i="118"/>
  <c r="P11" i="118"/>
  <c r="S10" i="118"/>
  <c r="P10" i="118"/>
  <c r="D10" i="118"/>
  <c r="D11" i="118" s="1"/>
  <c r="D12" i="118" s="1"/>
  <c r="D13" i="118" s="1"/>
  <c r="D14" i="118" s="1"/>
  <c r="D15" i="118" s="1"/>
  <c r="D16" i="118" s="1"/>
  <c r="D17" i="118" s="1"/>
  <c r="D18" i="118" s="1"/>
  <c r="D19" i="118" s="1"/>
  <c r="D20" i="118" s="1"/>
  <c r="D21" i="118" s="1"/>
  <c r="S9" i="118"/>
  <c r="P9" i="118"/>
  <c r="D9" i="118"/>
  <c r="D8" i="118"/>
  <c r="C8" i="118"/>
  <c r="E3" i="118"/>
  <c r="F3" i="118" s="1"/>
  <c r="J2" i="118"/>
  <c r="F2" i="118"/>
  <c r="G26" i="118" s="1"/>
  <c r="E2" i="118"/>
  <c r="E26" i="117" a="1"/>
  <c r="E26" i="117" s="1"/>
  <c r="E25" i="117"/>
  <c r="S21" i="117"/>
  <c r="P21" i="117"/>
  <c r="S20" i="117"/>
  <c r="P20" i="117"/>
  <c r="S19" i="117"/>
  <c r="P19" i="117"/>
  <c r="S18" i="117"/>
  <c r="P18" i="117"/>
  <c r="S17" i="117"/>
  <c r="P17" i="117"/>
  <c r="S16" i="117"/>
  <c r="P16" i="117"/>
  <c r="S15" i="117"/>
  <c r="P15" i="117"/>
  <c r="S14" i="117"/>
  <c r="P14" i="117"/>
  <c r="S13" i="117"/>
  <c r="P13" i="117"/>
  <c r="S12" i="117"/>
  <c r="P12" i="117"/>
  <c r="S11" i="117"/>
  <c r="P11" i="117"/>
  <c r="S10" i="117"/>
  <c r="P10" i="117"/>
  <c r="D10" i="117"/>
  <c r="D11" i="117" s="1"/>
  <c r="D12" i="117" s="1"/>
  <c r="D13" i="117" s="1"/>
  <c r="D14" i="117" s="1"/>
  <c r="D15" i="117" s="1"/>
  <c r="D16" i="117" s="1"/>
  <c r="D17" i="117" s="1"/>
  <c r="D18" i="117" s="1"/>
  <c r="D19" i="117" s="1"/>
  <c r="D20" i="117" s="1"/>
  <c r="D21" i="117" s="1"/>
  <c r="S9" i="117"/>
  <c r="P9" i="117"/>
  <c r="D9" i="117"/>
  <c r="D8" i="117"/>
  <c r="C8" i="117"/>
  <c r="F3" i="117"/>
  <c r="E3" i="117"/>
  <c r="J2" i="117"/>
  <c r="F2" i="117"/>
  <c r="G26" i="117" s="1"/>
  <c r="E2" i="117"/>
  <c r="E26" i="115" a="1"/>
  <c r="E26" i="115" s="1"/>
  <c r="E25" i="115"/>
  <c r="S21" i="115"/>
  <c r="P21" i="115"/>
  <c r="S20" i="115"/>
  <c r="P20" i="115"/>
  <c r="S19" i="115"/>
  <c r="P19" i="115"/>
  <c r="S18" i="115"/>
  <c r="P18" i="115"/>
  <c r="S17" i="115"/>
  <c r="P17" i="115"/>
  <c r="S16" i="115"/>
  <c r="P16" i="115"/>
  <c r="S15" i="115"/>
  <c r="P15" i="115"/>
  <c r="S14" i="115"/>
  <c r="P14" i="115"/>
  <c r="S13" i="115"/>
  <c r="P13" i="115"/>
  <c r="S12" i="115"/>
  <c r="P12" i="115"/>
  <c r="S11" i="115"/>
  <c r="P11" i="115"/>
  <c r="S10" i="115"/>
  <c r="P10" i="115"/>
  <c r="S9" i="115"/>
  <c r="P9" i="115"/>
  <c r="D9" i="115"/>
  <c r="D10" i="115" s="1"/>
  <c r="D11" i="115" s="1"/>
  <c r="D12" i="115" s="1"/>
  <c r="D13" i="115" s="1"/>
  <c r="D14" i="115" s="1"/>
  <c r="D15" i="115" s="1"/>
  <c r="D16" i="115" s="1"/>
  <c r="D17" i="115" s="1"/>
  <c r="D18" i="115" s="1"/>
  <c r="D19" i="115" s="1"/>
  <c r="D20" i="115" s="1"/>
  <c r="D21" i="115" s="1"/>
  <c r="D8" i="115"/>
  <c r="C8" i="115"/>
  <c r="F3" i="115"/>
  <c r="E3" i="115"/>
  <c r="J2" i="115"/>
  <c r="F2" i="115"/>
  <c r="G26" i="115" s="1"/>
  <c r="E2" i="115"/>
  <c r="C8" i="124" l="1"/>
  <c r="K8" i="124"/>
  <c r="R32" i="124"/>
  <c r="T32" i="124" s="1"/>
  <c r="R39" i="124"/>
  <c r="T39" i="124" s="1"/>
  <c r="R28" i="124"/>
  <c r="T28" i="124" s="1"/>
  <c r="D17" i="124"/>
  <c r="D10" i="124"/>
  <c r="D13" i="124"/>
  <c r="F13" i="124" s="1"/>
  <c r="D14" i="124"/>
  <c r="F14" i="124" s="1"/>
  <c r="D15" i="124"/>
  <c r="F15" i="124" s="1"/>
  <c r="Q9" i="124"/>
  <c r="Q10" i="124" s="1"/>
  <c r="F21" i="124"/>
  <c r="R33" i="124"/>
  <c r="T33" i="124" s="1"/>
  <c r="D11" i="124"/>
  <c r="R34" i="124"/>
  <c r="T34" i="124" s="1"/>
  <c r="R27" i="124"/>
  <c r="T27" i="124" s="1"/>
  <c r="R35" i="124"/>
  <c r="T35" i="124" s="1"/>
  <c r="D19" i="124"/>
  <c r="D12" i="124"/>
  <c r="F12" i="124" s="1"/>
  <c r="R29" i="124"/>
  <c r="T29" i="124" s="1"/>
  <c r="D16" i="124"/>
  <c r="F16" i="124" s="1"/>
  <c r="R36" i="124"/>
  <c r="T36" i="124" s="1"/>
  <c r="R30" i="124"/>
  <c r="T30" i="124" s="1"/>
  <c r="D18" i="124"/>
  <c r="F18" i="124" s="1"/>
  <c r="J9" i="124"/>
  <c r="R37" i="124"/>
  <c r="T37" i="124" s="1"/>
  <c r="D20" i="124"/>
  <c r="F20" i="124" s="1"/>
  <c r="C43" i="124"/>
  <c r="R38" i="124"/>
  <c r="T38" i="124" s="1"/>
  <c r="R31" i="124"/>
  <c r="T31" i="124" s="1"/>
  <c r="D21" i="124"/>
  <c r="K8" i="123"/>
  <c r="C8" i="123"/>
  <c r="R32" i="123"/>
  <c r="T32" i="123" s="1"/>
  <c r="R35" i="123"/>
  <c r="T35" i="123" s="1"/>
  <c r="D15" i="123"/>
  <c r="F15" i="123" s="1"/>
  <c r="D10" i="123"/>
  <c r="D16" i="123"/>
  <c r="F16" i="123" s="1"/>
  <c r="R33" i="123"/>
  <c r="T33" i="123" s="1"/>
  <c r="D11" i="123"/>
  <c r="F11" i="123" s="1"/>
  <c r="R27" i="123"/>
  <c r="T27" i="123" s="1"/>
  <c r="D13" i="123"/>
  <c r="J9" i="123"/>
  <c r="F14" i="123"/>
  <c r="D12" i="123"/>
  <c r="F12" i="123" s="1"/>
  <c r="R34" i="123"/>
  <c r="T34" i="123" s="1"/>
  <c r="R39" i="123"/>
  <c r="T39" i="123" s="1"/>
  <c r="D14" i="123"/>
  <c r="R28" i="123"/>
  <c r="T28" i="123" s="1"/>
  <c r="Q9" i="123"/>
  <c r="Q10" i="123" s="1"/>
  <c r="Q11" i="123" s="1"/>
  <c r="Q12" i="123" s="1"/>
  <c r="Q13" i="123" s="1"/>
  <c r="Q14" i="123" s="1"/>
  <c r="Q15" i="123" s="1"/>
  <c r="Q16" i="123" s="1"/>
  <c r="Q17" i="123" s="1"/>
  <c r="Q18" i="123" s="1"/>
  <c r="Q19" i="123" s="1"/>
  <c r="Q20" i="123" s="1"/>
  <c r="Q21" i="123" s="1"/>
  <c r="T21" i="123" s="1"/>
  <c r="D18" i="123"/>
  <c r="R36" i="123"/>
  <c r="T36" i="123" s="1"/>
  <c r="R29" i="123"/>
  <c r="T29" i="123" s="1"/>
  <c r="D17" i="123"/>
  <c r="F17" i="123" s="1"/>
  <c r="F20" i="123"/>
  <c r="R37" i="123"/>
  <c r="T37" i="123" s="1"/>
  <c r="R30" i="123"/>
  <c r="T30" i="123" s="1"/>
  <c r="D19" i="123"/>
  <c r="F19" i="123" s="1"/>
  <c r="D21" i="123"/>
  <c r="F21" i="123" s="1"/>
  <c r="D20" i="123"/>
  <c r="R31" i="123"/>
  <c r="T31" i="123" s="1"/>
  <c r="C43" i="123"/>
  <c r="R38" i="123"/>
  <c r="T38" i="123" s="1"/>
  <c r="T13" i="123"/>
  <c r="T19" i="123"/>
  <c r="T16" i="123"/>
  <c r="T14" i="123"/>
  <c r="T11" i="123"/>
  <c r="T10" i="123"/>
  <c r="R32" i="122"/>
  <c r="T32" i="122" s="1"/>
  <c r="R38" i="122"/>
  <c r="T38" i="122" s="1"/>
  <c r="R34" i="122"/>
  <c r="T34" i="122" s="1"/>
  <c r="R27" i="122"/>
  <c r="T27" i="122" s="1"/>
  <c r="R33" i="122"/>
  <c r="T33" i="122" s="1"/>
  <c r="Q9" i="122"/>
  <c r="Q10" i="122" s="1"/>
  <c r="Q11" i="122" s="1"/>
  <c r="Q12" i="122" s="1"/>
  <c r="Q13" i="122" s="1"/>
  <c r="Q14" i="122" s="1"/>
  <c r="Q15" i="122" s="1"/>
  <c r="Q16" i="122" s="1"/>
  <c r="Q17" i="122" s="1"/>
  <c r="Q18" i="122" s="1"/>
  <c r="Q19" i="122" s="1"/>
  <c r="Q20" i="122" s="1"/>
  <c r="Q21" i="122" s="1"/>
  <c r="R39" i="122"/>
  <c r="T39" i="122" s="1"/>
  <c r="R35" i="122"/>
  <c r="T35" i="122" s="1"/>
  <c r="R28" i="122"/>
  <c r="T28" i="122" s="1"/>
  <c r="E10" i="122"/>
  <c r="R36" i="122"/>
  <c r="T36" i="122" s="1"/>
  <c r="R29" i="122"/>
  <c r="T29" i="122" s="1"/>
  <c r="H9" i="122"/>
  <c r="C44" i="122" s="1"/>
  <c r="T9" i="122" s="1"/>
  <c r="R31" i="122"/>
  <c r="T31" i="122" s="1"/>
  <c r="R37" i="122"/>
  <c r="T37" i="122" s="1"/>
  <c r="R30" i="122"/>
  <c r="T30" i="122" s="1"/>
  <c r="K2" i="121"/>
  <c r="E9" i="121" s="1"/>
  <c r="K2" i="120"/>
  <c r="E9" i="120" s="1"/>
  <c r="K2" i="119"/>
  <c r="E9" i="119" s="1"/>
  <c r="K2" i="118"/>
  <c r="E9" i="118" s="1"/>
  <c r="K2" i="117"/>
  <c r="E9" i="117" s="1"/>
  <c r="K2" i="115"/>
  <c r="E9" i="115" s="1"/>
  <c r="AF8" i="60"/>
  <c r="AE9" i="72"/>
  <c r="AE8" i="78"/>
  <c r="AD20" i="72"/>
  <c r="H22" i="110"/>
  <c r="J22" i="110"/>
  <c r="K22" i="110"/>
  <c r="L22" i="110"/>
  <c r="H23" i="110"/>
  <c r="J23" i="110"/>
  <c r="K23" i="110"/>
  <c r="L23" i="110"/>
  <c r="H24" i="110"/>
  <c r="J24" i="110"/>
  <c r="K24" i="110"/>
  <c r="L24" i="110"/>
  <c r="H25" i="110"/>
  <c r="J25" i="110"/>
  <c r="K25" i="110"/>
  <c r="L25" i="110"/>
  <c r="H26" i="110"/>
  <c r="J26" i="110"/>
  <c r="K26" i="110"/>
  <c r="L26" i="110"/>
  <c r="AC24" i="23"/>
  <c r="AA24" i="23"/>
  <c r="Y24" i="23"/>
  <c r="W24" i="23"/>
  <c r="N23" i="23"/>
  <c r="L23" i="23"/>
  <c r="J23" i="23"/>
  <c r="H23" i="23"/>
  <c r="F23" i="23"/>
  <c r="I8" i="23"/>
  <c r="I9" i="23"/>
  <c r="I10" i="23"/>
  <c r="I11" i="23"/>
  <c r="I12" i="23"/>
  <c r="I13" i="23"/>
  <c r="I7" i="23"/>
  <c r="E8" i="23"/>
  <c r="E9" i="23"/>
  <c r="E10" i="23"/>
  <c r="E11" i="23"/>
  <c r="E7" i="23"/>
  <c r="X8" i="23"/>
  <c r="X9" i="23"/>
  <c r="X10" i="23"/>
  <c r="X11" i="23"/>
  <c r="X12" i="23"/>
  <c r="X13" i="23"/>
  <c r="X7" i="23"/>
  <c r="V12" i="23"/>
  <c r="V8" i="23"/>
  <c r="V9" i="23"/>
  <c r="V10" i="23"/>
  <c r="V11" i="23"/>
  <c r="V7" i="23"/>
  <c r="AB11" i="72"/>
  <c r="AD11" i="72" s="1"/>
  <c r="AB12" i="72"/>
  <c r="AD12" i="72" s="1"/>
  <c r="AB13" i="72"/>
  <c r="AD13" i="72" s="1"/>
  <c r="AB14" i="72"/>
  <c r="AD14" i="72" s="1"/>
  <c r="AB15" i="72"/>
  <c r="AD15" i="72" s="1"/>
  <c r="AB16" i="72"/>
  <c r="AD16" i="72" s="1"/>
  <c r="AB17" i="72"/>
  <c r="AD17" i="72" s="1"/>
  <c r="AB18" i="72"/>
  <c r="AD18" i="72" s="1"/>
  <c r="AB19" i="72"/>
  <c r="AD19" i="72" s="1"/>
  <c r="AB20" i="72"/>
  <c r="AB21" i="72"/>
  <c r="AD21" i="72" s="1"/>
  <c r="AB22" i="72"/>
  <c r="AD22" i="72" s="1"/>
  <c r="AB10" i="72"/>
  <c r="AD10" i="72" s="1"/>
  <c r="AB8" i="72"/>
  <c r="AF7" i="72"/>
  <c r="AF6" i="72"/>
  <c r="AB7" i="78"/>
  <c r="AF6" i="78"/>
  <c r="AF5" i="78"/>
  <c r="T9" i="124" l="1"/>
  <c r="R9" i="124"/>
  <c r="U9" i="124" s="1"/>
  <c r="J19" i="124"/>
  <c r="C53" i="124"/>
  <c r="E19" i="124"/>
  <c r="E10" i="124"/>
  <c r="J16" i="124"/>
  <c r="R10" i="124"/>
  <c r="U16" i="124" s="1"/>
  <c r="C44" i="124"/>
  <c r="J12" i="124"/>
  <c r="C52" i="124"/>
  <c r="E18" i="124"/>
  <c r="J17" i="124"/>
  <c r="E17" i="124"/>
  <c r="C51" i="124"/>
  <c r="Y27" i="124"/>
  <c r="F27" i="124"/>
  <c r="U34" i="124" a="1"/>
  <c r="U34" i="124" s="1"/>
  <c r="V34" i="124" s="1"/>
  <c r="U27" i="124" a="1"/>
  <c r="U27" i="124" s="1"/>
  <c r="V27" i="124" s="1"/>
  <c r="Z27" i="124"/>
  <c r="R11" i="124"/>
  <c r="U11" i="124" s="1"/>
  <c r="J11" i="124"/>
  <c r="E11" i="124"/>
  <c r="C45" i="124"/>
  <c r="F19" i="124"/>
  <c r="F11" i="124"/>
  <c r="C54" i="124"/>
  <c r="E20" i="124"/>
  <c r="J14" i="124"/>
  <c r="E16" i="124"/>
  <c r="C50" i="124"/>
  <c r="J10" i="124"/>
  <c r="Q11" i="124"/>
  <c r="T16" i="124"/>
  <c r="F10" i="124"/>
  <c r="E15" i="124"/>
  <c r="J15" i="124"/>
  <c r="C49" i="124"/>
  <c r="C55" i="124"/>
  <c r="J21" i="124"/>
  <c r="E21" i="124"/>
  <c r="J18" i="124"/>
  <c r="E12" i="124"/>
  <c r="C46" i="124"/>
  <c r="F17" i="124"/>
  <c r="J13" i="124"/>
  <c r="E13" i="124"/>
  <c r="C47" i="124"/>
  <c r="E14" i="124"/>
  <c r="C48" i="124"/>
  <c r="J20" i="124"/>
  <c r="T18" i="123"/>
  <c r="T9" i="123"/>
  <c r="R19" i="123"/>
  <c r="U19" i="123" s="1"/>
  <c r="C53" i="123"/>
  <c r="J19" i="123"/>
  <c r="E19" i="123"/>
  <c r="E10" i="123"/>
  <c r="R10" i="123"/>
  <c r="U16" i="123" s="1"/>
  <c r="J16" i="123"/>
  <c r="C44" i="123"/>
  <c r="E17" i="123"/>
  <c r="C51" i="123"/>
  <c r="J17" i="123"/>
  <c r="R17" i="123"/>
  <c r="U17" i="123" s="1"/>
  <c r="J13" i="123"/>
  <c r="R13" i="123"/>
  <c r="U13" i="123" s="1"/>
  <c r="E13" i="123"/>
  <c r="C47" i="123"/>
  <c r="E12" i="123"/>
  <c r="J18" i="123"/>
  <c r="R12" i="123"/>
  <c r="U18" i="123" s="1"/>
  <c r="C46" i="123"/>
  <c r="U34" i="123" a="1"/>
  <c r="U34" i="123" s="1"/>
  <c r="V34" i="123" s="1"/>
  <c r="U27" i="123" a="1"/>
  <c r="U27" i="123" s="1"/>
  <c r="V27" i="123" s="1"/>
  <c r="F27" i="123"/>
  <c r="Z27" i="123"/>
  <c r="Y27" i="123"/>
  <c r="R18" i="123"/>
  <c r="U12" i="123" s="1"/>
  <c r="J12" i="123"/>
  <c r="C52" i="123"/>
  <c r="E18" i="123"/>
  <c r="E11" i="123"/>
  <c r="R11" i="123"/>
  <c r="U11" i="123" s="1"/>
  <c r="C45" i="123"/>
  <c r="J11" i="123"/>
  <c r="F10" i="123"/>
  <c r="F13" i="123"/>
  <c r="T20" i="123"/>
  <c r="T12" i="123"/>
  <c r="J15" i="123"/>
  <c r="E15" i="123"/>
  <c r="C49" i="123"/>
  <c r="R15" i="123"/>
  <c r="U15" i="123" s="1"/>
  <c r="T17" i="123"/>
  <c r="C54" i="123"/>
  <c r="R20" i="123"/>
  <c r="U14" i="123" s="1"/>
  <c r="J14" i="123"/>
  <c r="E20" i="123"/>
  <c r="R9" i="123"/>
  <c r="U9" i="123" s="1"/>
  <c r="E16" i="123"/>
  <c r="C50" i="123"/>
  <c r="R16" i="123"/>
  <c r="U10" i="123" s="1"/>
  <c r="J10" i="123"/>
  <c r="T15" i="123"/>
  <c r="C55" i="123"/>
  <c r="J21" i="123"/>
  <c r="R21" i="123"/>
  <c r="U21" i="123" s="1"/>
  <c r="E21" i="123"/>
  <c r="E14" i="123"/>
  <c r="C48" i="123"/>
  <c r="J20" i="123"/>
  <c r="R14" i="123"/>
  <c r="U20" i="123" s="1"/>
  <c r="F18" i="123"/>
  <c r="U34" i="122" a="1"/>
  <c r="U34" i="122" s="1"/>
  <c r="V34" i="122" s="1"/>
  <c r="U27" i="122" a="1"/>
  <c r="U27" i="122" s="1"/>
  <c r="V27" i="122" s="1"/>
  <c r="K9" i="122"/>
  <c r="F27" i="122"/>
  <c r="Y27" i="122"/>
  <c r="Z27" i="122"/>
  <c r="E11" i="122"/>
  <c r="F10" i="122"/>
  <c r="H10" i="122"/>
  <c r="C51" i="122" s="1"/>
  <c r="R32" i="121"/>
  <c r="T32" i="121" s="1"/>
  <c r="Q9" i="121"/>
  <c r="Q10" i="121" s="1"/>
  <c r="Q11" i="121" s="1"/>
  <c r="Q12" i="121" s="1"/>
  <c r="Q13" i="121" s="1"/>
  <c r="Q14" i="121" s="1"/>
  <c r="Q15" i="121" s="1"/>
  <c r="Q16" i="121" s="1"/>
  <c r="Q17" i="121" s="1"/>
  <c r="Q18" i="121" s="1"/>
  <c r="Q19" i="121" s="1"/>
  <c r="Q20" i="121" s="1"/>
  <c r="Q21" i="121" s="1"/>
  <c r="R27" i="121"/>
  <c r="T27" i="121" s="1"/>
  <c r="R33" i="121"/>
  <c r="T33" i="121" s="1"/>
  <c r="R34" i="121"/>
  <c r="T34" i="121" s="1"/>
  <c r="R37" i="121"/>
  <c r="T37" i="121" s="1"/>
  <c r="R38" i="121"/>
  <c r="T38" i="121" s="1"/>
  <c r="R39" i="121"/>
  <c r="T39" i="121" s="1"/>
  <c r="R35" i="121"/>
  <c r="T35" i="121" s="1"/>
  <c r="R28" i="121"/>
  <c r="T28" i="121" s="1"/>
  <c r="R31" i="121"/>
  <c r="T31" i="121" s="1"/>
  <c r="E10" i="121"/>
  <c r="R36" i="121"/>
  <c r="T36" i="121" s="1"/>
  <c r="R29" i="121"/>
  <c r="T29" i="121" s="1"/>
  <c r="H9" i="121"/>
  <c r="C44" i="121" s="1"/>
  <c r="R30" i="121"/>
  <c r="T30" i="121" s="1"/>
  <c r="R32" i="120"/>
  <c r="T32" i="120" s="1"/>
  <c r="Q9" i="120"/>
  <c r="Q10" i="120" s="1"/>
  <c r="Q11" i="120" s="1"/>
  <c r="Q12" i="120" s="1"/>
  <c r="Q13" i="120" s="1"/>
  <c r="Q14" i="120" s="1"/>
  <c r="Q15" i="120" s="1"/>
  <c r="Q16" i="120" s="1"/>
  <c r="Q17" i="120" s="1"/>
  <c r="Q18" i="120" s="1"/>
  <c r="Q19" i="120" s="1"/>
  <c r="Q20" i="120" s="1"/>
  <c r="Q21" i="120" s="1"/>
  <c r="R39" i="120"/>
  <c r="T39" i="120" s="1"/>
  <c r="R34" i="120"/>
  <c r="T34" i="120" s="1"/>
  <c r="R27" i="120"/>
  <c r="T27" i="120" s="1"/>
  <c r="H9" i="120"/>
  <c r="C44" i="120" s="1"/>
  <c r="R30" i="120"/>
  <c r="T30" i="120" s="1"/>
  <c r="R33" i="120"/>
  <c r="T33" i="120" s="1"/>
  <c r="R37" i="120"/>
  <c r="T37" i="120" s="1"/>
  <c r="E10" i="120"/>
  <c r="R36" i="120"/>
  <c r="T36" i="120" s="1"/>
  <c r="R29" i="120"/>
  <c r="T29" i="120" s="1"/>
  <c r="R35" i="120"/>
  <c r="T35" i="120" s="1"/>
  <c r="R28" i="120"/>
  <c r="T28" i="120" s="1"/>
  <c r="R38" i="120"/>
  <c r="T38" i="120" s="1"/>
  <c r="R31" i="120"/>
  <c r="T31" i="120" s="1"/>
  <c r="R32" i="119"/>
  <c r="T32" i="119" s="1"/>
  <c r="R34" i="119"/>
  <c r="T34" i="119" s="1"/>
  <c r="R27" i="119"/>
  <c r="T27" i="119" s="1"/>
  <c r="E10" i="119"/>
  <c r="R31" i="119"/>
  <c r="T31" i="119" s="1"/>
  <c r="R33" i="119"/>
  <c r="T33" i="119" s="1"/>
  <c r="Q9" i="119"/>
  <c r="Q10" i="119" s="1"/>
  <c r="Q11" i="119" s="1"/>
  <c r="Q12" i="119" s="1"/>
  <c r="Q13" i="119" s="1"/>
  <c r="Q14" i="119" s="1"/>
  <c r="Q15" i="119" s="1"/>
  <c r="Q16" i="119" s="1"/>
  <c r="Q17" i="119" s="1"/>
  <c r="Q18" i="119" s="1"/>
  <c r="Q19" i="119" s="1"/>
  <c r="Q20" i="119" s="1"/>
  <c r="Q21" i="119" s="1"/>
  <c r="R35" i="119"/>
  <c r="T35" i="119" s="1"/>
  <c r="R39" i="119"/>
  <c r="T39" i="119" s="1"/>
  <c r="R28" i="119"/>
  <c r="T28" i="119" s="1"/>
  <c r="R38" i="119"/>
  <c r="T38" i="119" s="1"/>
  <c r="R36" i="119"/>
  <c r="T36" i="119" s="1"/>
  <c r="R29" i="119"/>
  <c r="T29" i="119" s="1"/>
  <c r="H9" i="119"/>
  <c r="C44" i="119" s="1"/>
  <c r="R37" i="119"/>
  <c r="T37" i="119" s="1"/>
  <c r="R30" i="119"/>
  <c r="T30" i="119" s="1"/>
  <c r="R32" i="118"/>
  <c r="T32" i="118" s="1"/>
  <c r="Q9" i="118"/>
  <c r="Q10" i="118" s="1"/>
  <c r="Q11" i="118" s="1"/>
  <c r="Q12" i="118" s="1"/>
  <c r="Q13" i="118" s="1"/>
  <c r="Q14" i="118" s="1"/>
  <c r="Q15" i="118" s="1"/>
  <c r="Q16" i="118" s="1"/>
  <c r="Q17" i="118" s="1"/>
  <c r="Q18" i="118" s="1"/>
  <c r="Q19" i="118" s="1"/>
  <c r="Q20" i="118" s="1"/>
  <c r="Q21" i="118" s="1"/>
  <c r="R30" i="118"/>
  <c r="T30" i="118" s="1"/>
  <c r="R34" i="118"/>
  <c r="T34" i="118" s="1"/>
  <c r="R37" i="118"/>
  <c r="T37" i="118" s="1"/>
  <c r="E10" i="118"/>
  <c r="R33" i="118"/>
  <c r="T33" i="118" s="1"/>
  <c r="R35" i="118"/>
  <c r="T35" i="118" s="1"/>
  <c r="R28" i="118"/>
  <c r="T28" i="118" s="1"/>
  <c r="R31" i="118"/>
  <c r="T31" i="118" s="1"/>
  <c r="R27" i="118"/>
  <c r="T27" i="118" s="1"/>
  <c r="R39" i="118"/>
  <c r="T39" i="118" s="1"/>
  <c r="R38" i="118"/>
  <c r="T38" i="118" s="1"/>
  <c r="R36" i="118"/>
  <c r="T36" i="118" s="1"/>
  <c r="R29" i="118"/>
  <c r="T29" i="118" s="1"/>
  <c r="H9" i="118"/>
  <c r="C44" i="118" s="1"/>
  <c r="R32" i="117"/>
  <c r="T32" i="117" s="1"/>
  <c r="R28" i="117"/>
  <c r="T28" i="117" s="1"/>
  <c r="R37" i="117"/>
  <c r="T37" i="117" s="1"/>
  <c r="R35" i="117"/>
  <c r="T35" i="117" s="1"/>
  <c r="R38" i="117"/>
  <c r="T38" i="117" s="1"/>
  <c r="R33" i="117"/>
  <c r="T33" i="117" s="1"/>
  <c r="R34" i="117"/>
  <c r="T34" i="117" s="1"/>
  <c r="R39" i="117"/>
  <c r="T39" i="117" s="1"/>
  <c r="E10" i="117"/>
  <c r="R27" i="117"/>
  <c r="T27" i="117" s="1"/>
  <c r="Q9" i="117"/>
  <c r="Q10" i="117" s="1"/>
  <c r="Q11" i="117" s="1"/>
  <c r="Q12" i="117" s="1"/>
  <c r="Q13" i="117" s="1"/>
  <c r="Q14" i="117" s="1"/>
  <c r="Q15" i="117" s="1"/>
  <c r="Q16" i="117" s="1"/>
  <c r="Q17" i="117" s="1"/>
  <c r="Q18" i="117" s="1"/>
  <c r="Q19" i="117" s="1"/>
  <c r="Q20" i="117" s="1"/>
  <c r="Q21" i="117" s="1"/>
  <c r="R36" i="117"/>
  <c r="T36" i="117" s="1"/>
  <c r="R29" i="117"/>
  <c r="T29" i="117" s="1"/>
  <c r="H9" i="117"/>
  <c r="C44" i="117" s="1"/>
  <c r="R30" i="117"/>
  <c r="T30" i="117" s="1"/>
  <c r="R31" i="117"/>
  <c r="T31" i="117" s="1"/>
  <c r="R32" i="115"/>
  <c r="T32" i="115" s="1"/>
  <c r="Q9" i="115"/>
  <c r="Q10" i="115" s="1"/>
  <c r="Q11" i="115" s="1"/>
  <c r="Q12" i="115" s="1"/>
  <c r="Q13" i="115" s="1"/>
  <c r="Q14" i="115" s="1"/>
  <c r="Q15" i="115" s="1"/>
  <c r="Q16" i="115" s="1"/>
  <c r="Q17" i="115" s="1"/>
  <c r="Q18" i="115" s="1"/>
  <c r="Q19" i="115" s="1"/>
  <c r="Q20" i="115" s="1"/>
  <c r="Q21" i="115" s="1"/>
  <c r="R35" i="115"/>
  <c r="T35" i="115" s="1"/>
  <c r="R34" i="115"/>
  <c r="T34" i="115" s="1"/>
  <c r="R27" i="115"/>
  <c r="T27" i="115" s="1"/>
  <c r="R37" i="115"/>
  <c r="T37" i="115" s="1"/>
  <c r="R33" i="115"/>
  <c r="T33" i="115" s="1"/>
  <c r="R28" i="115"/>
  <c r="T28" i="115" s="1"/>
  <c r="H9" i="115"/>
  <c r="C44" i="115" s="1"/>
  <c r="R30" i="115"/>
  <c r="T30" i="115" s="1"/>
  <c r="R29" i="115"/>
  <c r="T29" i="115" s="1"/>
  <c r="R38" i="115"/>
  <c r="T38" i="115" s="1"/>
  <c r="R39" i="115"/>
  <c r="T39" i="115" s="1"/>
  <c r="R36" i="115"/>
  <c r="T36" i="115" s="1"/>
  <c r="R31" i="115"/>
  <c r="T31" i="115" s="1"/>
  <c r="E10" i="115"/>
  <c r="AE14" i="72"/>
  <c r="AF14" i="72" s="1"/>
  <c r="AE11" i="72"/>
  <c r="AF11" i="72" s="1"/>
  <c r="AE13" i="72"/>
  <c r="AF13" i="72" s="1"/>
  <c r="AE12" i="72"/>
  <c r="AF12" i="72" s="1"/>
  <c r="AE20" i="72"/>
  <c r="AF20" i="72" s="1"/>
  <c r="AE17" i="72"/>
  <c r="AF17" i="72" s="1"/>
  <c r="AE15" i="72"/>
  <c r="AF15" i="72" s="1"/>
  <c r="AE22" i="72"/>
  <c r="AF22" i="72" s="1"/>
  <c r="AE21" i="72"/>
  <c r="AF21" i="72" s="1"/>
  <c r="AE19" i="72"/>
  <c r="AF19" i="72" s="1"/>
  <c r="AE18" i="72"/>
  <c r="AF18" i="72" s="1"/>
  <c r="AE16" i="72"/>
  <c r="AF16" i="72" s="1"/>
  <c r="U29" i="124" l="1" a="1"/>
  <c r="U29" i="124" s="1"/>
  <c r="V29" i="124" s="1"/>
  <c r="U39" i="124" a="1"/>
  <c r="U39" i="124" s="1"/>
  <c r="V39" i="124" s="1"/>
  <c r="K20" i="124"/>
  <c r="M20" i="124"/>
  <c r="E30" i="124"/>
  <c r="L27" i="124"/>
  <c r="F34" i="124"/>
  <c r="G34" i="124" s="1"/>
  <c r="O30" i="124"/>
  <c r="Z34" i="124"/>
  <c r="Y34" i="124"/>
  <c r="F32" i="124"/>
  <c r="G32" i="124" s="1"/>
  <c r="O28" i="124"/>
  <c r="Z32" i="124"/>
  <c r="Y32" i="124"/>
  <c r="E28" i="124"/>
  <c r="L37" i="124"/>
  <c r="M21" i="124"/>
  <c r="K21" i="124"/>
  <c r="E32" i="124"/>
  <c r="O32" i="124"/>
  <c r="Z36" i="124"/>
  <c r="Y36" i="124"/>
  <c r="L29" i="124"/>
  <c r="F36" i="124"/>
  <c r="G36" i="124" s="1"/>
  <c r="K12" i="124"/>
  <c r="M12" i="124"/>
  <c r="Y39" i="124"/>
  <c r="L32" i="124"/>
  <c r="O35" i="124"/>
  <c r="E35" i="124"/>
  <c r="Z39" i="124"/>
  <c r="K14" i="124"/>
  <c r="M14" i="124"/>
  <c r="Z28" i="124"/>
  <c r="Y28" i="124"/>
  <c r="L33" i="124"/>
  <c r="F28" i="124"/>
  <c r="G28" i="124" s="1"/>
  <c r="O36" i="124"/>
  <c r="E36" i="124"/>
  <c r="L38" i="124"/>
  <c r="Z33" i="124"/>
  <c r="F33" i="124"/>
  <c r="G33" i="124" s="1"/>
  <c r="E29" i="124"/>
  <c r="O29" i="124"/>
  <c r="Y33" i="124"/>
  <c r="U35" i="124" a="1"/>
  <c r="U35" i="124" s="1"/>
  <c r="V35" i="124" s="1"/>
  <c r="L31" i="124"/>
  <c r="O34" i="124"/>
  <c r="F38" i="124"/>
  <c r="G38" i="124" s="1"/>
  <c r="Z38" i="124"/>
  <c r="Y38" i="124"/>
  <c r="E34" i="124"/>
  <c r="E37" i="124"/>
  <c r="Z29" i="124"/>
  <c r="Y29" i="124"/>
  <c r="L34" i="124"/>
  <c r="O37" i="124"/>
  <c r="F29" i="124"/>
  <c r="G29" i="124" s="1"/>
  <c r="U28" i="124" a="1"/>
  <c r="U28" i="124" s="1"/>
  <c r="V28" i="124" s="1"/>
  <c r="U36" i="124" a="1"/>
  <c r="U36" i="124" s="1"/>
  <c r="V36" i="124" s="1"/>
  <c r="U33" i="124" a="1"/>
  <c r="U33" i="124" s="1"/>
  <c r="V33" i="124" s="1"/>
  <c r="M16" i="124"/>
  <c r="K16" i="124"/>
  <c r="K13" i="124"/>
  <c r="M13" i="124"/>
  <c r="U38" i="124" a="1"/>
  <c r="U38" i="124" s="1"/>
  <c r="V38" i="124" s="1"/>
  <c r="F37" i="124"/>
  <c r="G37" i="124" s="1"/>
  <c r="Z37" i="124"/>
  <c r="Y37" i="124"/>
  <c r="O33" i="124"/>
  <c r="E33" i="124"/>
  <c r="L30" i="124"/>
  <c r="F30" i="124"/>
  <c r="G30" i="124" s="1"/>
  <c r="Z30" i="124"/>
  <c r="Y30" i="124"/>
  <c r="E38" i="124"/>
  <c r="L35" i="124"/>
  <c r="O38" i="124"/>
  <c r="U30" i="124" a="1"/>
  <c r="U30" i="124" s="1"/>
  <c r="V30" i="124" s="1"/>
  <c r="Z35" i="124"/>
  <c r="Y35" i="124"/>
  <c r="L28" i="124"/>
  <c r="E31" i="124"/>
  <c r="F35" i="124"/>
  <c r="G35" i="124" s="1"/>
  <c r="O31" i="124"/>
  <c r="Q12" i="124"/>
  <c r="T11" i="124"/>
  <c r="U37" i="124" a="1"/>
  <c r="U37" i="124" s="1"/>
  <c r="V37" i="124" s="1"/>
  <c r="M19" i="124"/>
  <c r="K19" i="124"/>
  <c r="M11" i="124"/>
  <c r="K11" i="124"/>
  <c r="Y31" i="124"/>
  <c r="O27" i="124"/>
  <c r="F31" i="124"/>
  <c r="G31" i="124" s="1"/>
  <c r="Z31" i="124"/>
  <c r="G27" i="124"/>
  <c r="E27" i="124"/>
  <c r="L36" i="124"/>
  <c r="M15" i="124"/>
  <c r="K15" i="124"/>
  <c r="U32" i="124" a="1"/>
  <c r="U32" i="124" s="1"/>
  <c r="V32" i="124" s="1"/>
  <c r="K18" i="124"/>
  <c r="M18" i="124"/>
  <c r="M10" i="124"/>
  <c r="K10" i="124"/>
  <c r="L10" i="124" s="1"/>
  <c r="L11" i="124" s="1"/>
  <c r="U31" i="124" a="1"/>
  <c r="U31" i="124" s="1"/>
  <c r="V31" i="124" s="1"/>
  <c r="K17" i="124"/>
  <c r="M17" i="124"/>
  <c r="U29" i="123" a="1"/>
  <c r="U29" i="123" s="1"/>
  <c r="V29" i="123" s="1"/>
  <c r="U38" i="123" a="1"/>
  <c r="U38" i="123" s="1"/>
  <c r="V38" i="123" s="1"/>
  <c r="U30" i="123" a="1"/>
  <c r="U30" i="123" s="1"/>
  <c r="V30" i="123" s="1"/>
  <c r="K13" i="123"/>
  <c r="M13" i="123"/>
  <c r="K20" i="123"/>
  <c r="M20" i="123"/>
  <c r="U33" i="123" a="1"/>
  <c r="U33" i="123" s="1"/>
  <c r="V33" i="123" s="1"/>
  <c r="U32" i="123" a="1"/>
  <c r="U32" i="123" s="1"/>
  <c r="V32" i="123" s="1"/>
  <c r="M17" i="123"/>
  <c r="K17" i="123"/>
  <c r="U31" i="123" a="1"/>
  <c r="U31" i="123" s="1"/>
  <c r="V31" i="123" s="1"/>
  <c r="Z35" i="123"/>
  <c r="Y35" i="123"/>
  <c r="E31" i="123"/>
  <c r="L28" i="123"/>
  <c r="F35" i="123"/>
  <c r="G35" i="123" s="1"/>
  <c r="O31" i="123"/>
  <c r="F30" i="123"/>
  <c r="G30" i="123" s="1"/>
  <c r="Z30" i="123"/>
  <c r="E38" i="123"/>
  <c r="Y30" i="123"/>
  <c r="L35" i="123"/>
  <c r="O38" i="123"/>
  <c r="L31" i="123"/>
  <c r="Y38" i="123"/>
  <c r="F38" i="123"/>
  <c r="G38" i="123" s="1"/>
  <c r="O34" i="123"/>
  <c r="Z38" i="123"/>
  <c r="E34" i="123"/>
  <c r="M21" i="123"/>
  <c r="K21" i="123"/>
  <c r="M11" i="123"/>
  <c r="K11" i="123"/>
  <c r="Z28" i="123"/>
  <c r="Y28" i="123"/>
  <c r="L33" i="123"/>
  <c r="O36" i="123"/>
  <c r="F28" i="123"/>
  <c r="G28" i="123" s="1"/>
  <c r="E36" i="123"/>
  <c r="Y39" i="123"/>
  <c r="O35" i="123"/>
  <c r="L32" i="123"/>
  <c r="E35" i="123"/>
  <c r="Z39" i="123"/>
  <c r="L38" i="123"/>
  <c r="F33" i="123"/>
  <c r="G33" i="123" s="1"/>
  <c r="O29" i="123"/>
  <c r="Z33" i="123"/>
  <c r="E29" i="123"/>
  <c r="Y33" i="123"/>
  <c r="L34" i="123"/>
  <c r="E37" i="123"/>
  <c r="Z29" i="123"/>
  <c r="Y29" i="123"/>
  <c r="O37" i="123"/>
  <c r="F29" i="123"/>
  <c r="G29" i="123" s="1"/>
  <c r="U37" i="123" a="1"/>
  <c r="U37" i="123" s="1"/>
  <c r="V37" i="123" s="1"/>
  <c r="M18" i="123"/>
  <c r="K18" i="123"/>
  <c r="M16" i="123"/>
  <c r="K16" i="123"/>
  <c r="U36" i="123" a="1"/>
  <c r="U36" i="123" s="1"/>
  <c r="V36" i="123" s="1"/>
  <c r="M15" i="123"/>
  <c r="K15" i="123"/>
  <c r="U28" i="123" a="1"/>
  <c r="U28" i="123" s="1"/>
  <c r="V28" i="123" s="1"/>
  <c r="K14" i="123"/>
  <c r="M14" i="123"/>
  <c r="M10" i="123"/>
  <c r="K10" i="123"/>
  <c r="L10" i="123" s="1"/>
  <c r="U39" i="123" a="1"/>
  <c r="U39" i="123" s="1"/>
  <c r="V39" i="123" s="1"/>
  <c r="Y32" i="123"/>
  <c r="F32" i="123"/>
  <c r="G32" i="123" s="1"/>
  <c r="O28" i="123"/>
  <c r="Z32" i="123"/>
  <c r="E28" i="123"/>
  <c r="L37" i="123"/>
  <c r="O32" i="123"/>
  <c r="Z36" i="123"/>
  <c r="Y36" i="123"/>
  <c r="E32" i="123"/>
  <c r="L29" i="123"/>
  <c r="F36" i="123"/>
  <c r="G36" i="123" s="1"/>
  <c r="U35" i="123" a="1"/>
  <c r="U35" i="123" s="1"/>
  <c r="V35" i="123" s="1"/>
  <c r="Z31" i="123"/>
  <c r="G27" i="123"/>
  <c r="F31" i="123"/>
  <c r="G31" i="123" s="1"/>
  <c r="O27" i="123"/>
  <c r="E27" i="123"/>
  <c r="Y31" i="123"/>
  <c r="L36" i="123"/>
  <c r="K19" i="123"/>
  <c r="M19" i="123"/>
  <c r="E30" i="123"/>
  <c r="L27" i="123"/>
  <c r="F34" i="123"/>
  <c r="G34" i="123" s="1"/>
  <c r="Y34" i="123"/>
  <c r="O30" i="123"/>
  <c r="Z34" i="123"/>
  <c r="K12" i="123"/>
  <c r="M12" i="123"/>
  <c r="F37" i="123"/>
  <c r="G37" i="123" s="1"/>
  <c r="Z37" i="123"/>
  <c r="E33" i="123"/>
  <c r="O33" i="123"/>
  <c r="Y37" i="123"/>
  <c r="L30" i="123"/>
  <c r="Z34" i="122"/>
  <c r="L27" i="122"/>
  <c r="F34" i="122"/>
  <c r="Y34" i="122"/>
  <c r="K16" i="122"/>
  <c r="N16" i="122" s="1"/>
  <c r="T10" i="122"/>
  <c r="F11" i="122"/>
  <c r="E12" i="122"/>
  <c r="H11" i="122"/>
  <c r="C46" i="122" s="1"/>
  <c r="L9" i="122"/>
  <c r="R9" i="122"/>
  <c r="U9" i="122" s="1"/>
  <c r="F10" i="121"/>
  <c r="E11" i="121"/>
  <c r="H10" i="121"/>
  <c r="C51" i="121" s="1"/>
  <c r="T9" i="121"/>
  <c r="Y27" i="121"/>
  <c r="U34" i="121" a="1"/>
  <c r="U34" i="121" s="1"/>
  <c r="V34" i="121" s="1"/>
  <c r="U27" i="121" a="1"/>
  <c r="U27" i="121" s="1"/>
  <c r="V27" i="121" s="1"/>
  <c r="Z27" i="121"/>
  <c r="K9" i="121"/>
  <c r="F27" i="121"/>
  <c r="Z27" i="120"/>
  <c r="T9" i="120"/>
  <c r="U34" i="120" a="1"/>
  <c r="U34" i="120" s="1"/>
  <c r="V34" i="120" s="1"/>
  <c r="U27" i="120" a="1"/>
  <c r="U27" i="120" s="1"/>
  <c r="V27" i="120" s="1"/>
  <c r="K9" i="120"/>
  <c r="F27" i="120"/>
  <c r="Y27" i="120"/>
  <c r="E11" i="120"/>
  <c r="H10" i="120"/>
  <c r="C51" i="120" s="1"/>
  <c r="F10" i="120"/>
  <c r="T9" i="119"/>
  <c r="Z27" i="119"/>
  <c r="K9" i="119"/>
  <c r="Y27" i="119"/>
  <c r="U34" i="119" a="1"/>
  <c r="U34" i="119" s="1"/>
  <c r="V34" i="119" s="1"/>
  <c r="U27" i="119" a="1"/>
  <c r="U27" i="119" s="1"/>
  <c r="V27" i="119" s="1"/>
  <c r="F27" i="119"/>
  <c r="E11" i="119"/>
  <c r="F10" i="119"/>
  <c r="H10" i="119"/>
  <c r="C51" i="119" s="1"/>
  <c r="H10" i="118"/>
  <c r="C51" i="118" s="1"/>
  <c r="E11" i="118"/>
  <c r="F10" i="118"/>
  <c r="K9" i="118"/>
  <c r="T9" i="118"/>
  <c r="Y27" i="118"/>
  <c r="U34" i="118" a="1"/>
  <c r="U34" i="118" s="1"/>
  <c r="V34" i="118" s="1"/>
  <c r="U27" i="118" a="1"/>
  <c r="U27" i="118" s="1"/>
  <c r="V27" i="118" s="1"/>
  <c r="Z27" i="118"/>
  <c r="F27" i="118"/>
  <c r="T9" i="117"/>
  <c r="U34" i="117" a="1"/>
  <c r="U34" i="117" s="1"/>
  <c r="V34" i="117" s="1"/>
  <c r="U27" i="117" a="1"/>
  <c r="U27" i="117" s="1"/>
  <c r="V27" i="117" s="1"/>
  <c r="Y27" i="117"/>
  <c r="K9" i="117"/>
  <c r="Z27" i="117"/>
  <c r="F27" i="117"/>
  <c r="H10" i="117"/>
  <c r="C51" i="117" s="1"/>
  <c r="F10" i="117"/>
  <c r="E11" i="117"/>
  <c r="K9" i="115"/>
  <c r="Y27" i="115"/>
  <c r="U34" i="115" a="1"/>
  <c r="U34" i="115" s="1"/>
  <c r="V34" i="115" s="1"/>
  <c r="U27" i="115" a="1"/>
  <c r="U27" i="115" s="1"/>
  <c r="V27" i="115" s="1"/>
  <c r="Z27" i="115"/>
  <c r="F27" i="115"/>
  <c r="T9" i="115"/>
  <c r="F10" i="115"/>
  <c r="E11" i="115"/>
  <c r="H10" i="115"/>
  <c r="C51" i="115" s="1"/>
  <c r="AG5" i="60"/>
  <c r="Q13" i="124" l="1"/>
  <c r="T18" i="124"/>
  <c r="R12" i="124"/>
  <c r="U18" i="124" s="1"/>
  <c r="L12" i="124"/>
  <c r="L13" i="124" s="1"/>
  <c r="L14" i="124" s="1"/>
  <c r="L15" i="124" s="1"/>
  <c r="L16" i="124" s="1"/>
  <c r="L17" i="124" s="1"/>
  <c r="L18" i="124" s="1"/>
  <c r="L19" i="124" s="1"/>
  <c r="L20" i="124" s="1"/>
  <c r="L21" i="124" s="1"/>
  <c r="L11" i="123"/>
  <c r="L12" i="123" s="1"/>
  <c r="L13" i="123" s="1"/>
  <c r="L14" i="123" s="1"/>
  <c r="L15" i="123" s="1"/>
  <c r="L16" i="123" s="1"/>
  <c r="L17" i="123" s="1"/>
  <c r="L18" i="123" s="1"/>
  <c r="L19" i="123" s="1"/>
  <c r="L20" i="123" s="1"/>
  <c r="L21" i="123" s="1"/>
  <c r="L34" i="122"/>
  <c r="Z29" i="122"/>
  <c r="Y29" i="122"/>
  <c r="F29" i="122"/>
  <c r="K11" i="122"/>
  <c r="T11" i="122"/>
  <c r="F12" i="122"/>
  <c r="E13" i="122"/>
  <c r="H12" i="122"/>
  <c r="C53" i="122" s="1"/>
  <c r="R16" i="122"/>
  <c r="U10" i="122" s="1"/>
  <c r="L16" i="122"/>
  <c r="K16" i="121"/>
  <c r="N16" i="121" s="1"/>
  <c r="T10" i="121"/>
  <c r="Y34" i="121"/>
  <c r="L27" i="121"/>
  <c r="F34" i="121"/>
  <c r="Z34" i="121"/>
  <c r="E12" i="121"/>
  <c r="H11" i="121"/>
  <c r="C46" i="121" s="1"/>
  <c r="F11" i="121"/>
  <c r="L9" i="121"/>
  <c r="R9" i="121"/>
  <c r="U9" i="121" s="1"/>
  <c r="R9" i="120"/>
  <c r="U9" i="120" s="1"/>
  <c r="L9" i="120"/>
  <c r="E12" i="120"/>
  <c r="H11" i="120"/>
  <c r="C46" i="120" s="1"/>
  <c r="F11" i="120"/>
  <c r="Y34" i="120"/>
  <c r="T10" i="120"/>
  <c r="F34" i="120"/>
  <c r="K16" i="120"/>
  <c r="N16" i="120" s="1"/>
  <c r="Z34" i="120"/>
  <c r="L27" i="120"/>
  <c r="K16" i="119"/>
  <c r="N16" i="119" s="1"/>
  <c r="T10" i="119"/>
  <c r="L27" i="119"/>
  <c r="Z34" i="119"/>
  <c r="Y34" i="119"/>
  <c r="F34" i="119"/>
  <c r="F11" i="119"/>
  <c r="E12" i="119"/>
  <c r="H11" i="119"/>
  <c r="C46" i="119" s="1"/>
  <c r="L9" i="119"/>
  <c r="R9" i="119"/>
  <c r="U9" i="119" s="1"/>
  <c r="F11" i="118"/>
  <c r="E12" i="118"/>
  <c r="H11" i="118"/>
  <c r="C46" i="118" s="1"/>
  <c r="L27" i="118"/>
  <c r="T10" i="118"/>
  <c r="Y34" i="118"/>
  <c r="F34" i="118"/>
  <c r="K16" i="118"/>
  <c r="Z34" i="118"/>
  <c r="L9" i="118"/>
  <c r="R9" i="118"/>
  <c r="U9" i="118" s="1"/>
  <c r="R9" i="117"/>
  <c r="U9" i="117" s="1"/>
  <c r="L9" i="117"/>
  <c r="Z34" i="117"/>
  <c r="Y34" i="117"/>
  <c r="T10" i="117"/>
  <c r="L27" i="117"/>
  <c r="F34" i="117"/>
  <c r="K16" i="117"/>
  <c r="E12" i="117"/>
  <c r="H11" i="117"/>
  <c r="C46" i="117" s="1"/>
  <c r="F11" i="117"/>
  <c r="Y34" i="115"/>
  <c r="L27" i="115"/>
  <c r="K16" i="115"/>
  <c r="N16" i="115" s="1"/>
  <c r="Z34" i="115"/>
  <c r="F34" i="115"/>
  <c r="T10" i="115"/>
  <c r="H11" i="115"/>
  <c r="C46" i="115" s="1"/>
  <c r="F11" i="115"/>
  <c r="E12" i="115"/>
  <c r="L9" i="115"/>
  <c r="R9" i="115"/>
  <c r="U9" i="115" s="1"/>
  <c r="AC7" i="60"/>
  <c r="AG6" i="60"/>
  <c r="AC10" i="60"/>
  <c r="AC11" i="60"/>
  <c r="AC12" i="60"/>
  <c r="AC13" i="60"/>
  <c r="AC14" i="60"/>
  <c r="AC15" i="60"/>
  <c r="AC16" i="60"/>
  <c r="AC17" i="60"/>
  <c r="AC18" i="60"/>
  <c r="AC19" i="60"/>
  <c r="AC20" i="60"/>
  <c r="AC21" i="60"/>
  <c r="AC9" i="60"/>
  <c r="F12" i="41"/>
  <c r="F13" i="41"/>
  <c r="F14" i="41"/>
  <c r="F15" i="41"/>
  <c r="F16" i="41"/>
  <c r="F17" i="41"/>
  <c r="F18" i="41"/>
  <c r="F19" i="41"/>
  <c r="F20" i="41"/>
  <c r="F21" i="41"/>
  <c r="F22" i="41"/>
  <c r="F11" i="41"/>
  <c r="K10" i="110"/>
  <c r="K11" i="110"/>
  <c r="K12" i="110"/>
  <c r="K13" i="110"/>
  <c r="K14" i="110"/>
  <c r="K15" i="110"/>
  <c r="K16" i="110"/>
  <c r="K17" i="110"/>
  <c r="K18" i="110"/>
  <c r="K19" i="110"/>
  <c r="K20" i="110"/>
  <c r="K21" i="110"/>
  <c r="K9" i="110"/>
  <c r="J9" i="110"/>
  <c r="J10" i="110"/>
  <c r="J11" i="110"/>
  <c r="L11" i="110" s="1"/>
  <c r="J12" i="110"/>
  <c r="J13" i="110"/>
  <c r="J14" i="110"/>
  <c r="J15" i="110"/>
  <c r="J16" i="110"/>
  <c r="J17" i="110"/>
  <c r="J18" i="110"/>
  <c r="J19" i="110"/>
  <c r="J20" i="110"/>
  <c r="J21" i="110"/>
  <c r="H9" i="110"/>
  <c r="H10" i="110"/>
  <c r="H11" i="110"/>
  <c r="H12" i="110"/>
  <c r="H13" i="110"/>
  <c r="H14" i="110"/>
  <c r="H15" i="110"/>
  <c r="H16" i="110"/>
  <c r="H17" i="110"/>
  <c r="H18" i="110"/>
  <c r="H19" i="110"/>
  <c r="H20" i="110"/>
  <c r="H21" i="110"/>
  <c r="Q14" i="124" l="1"/>
  <c r="T13" i="124"/>
  <c r="R13" i="124"/>
  <c r="U13" i="124" s="1"/>
  <c r="Z36" i="122"/>
  <c r="K18" i="122"/>
  <c r="Y36" i="122"/>
  <c r="L29" i="122"/>
  <c r="F36" i="122"/>
  <c r="T12" i="122"/>
  <c r="F13" i="122"/>
  <c r="E14" i="122"/>
  <c r="H13" i="122"/>
  <c r="C48" i="122" s="1"/>
  <c r="R11" i="122"/>
  <c r="U11" i="122" s="1"/>
  <c r="L11" i="122"/>
  <c r="N11" i="122"/>
  <c r="T11" i="121"/>
  <c r="Y29" i="121"/>
  <c r="Z29" i="121"/>
  <c r="F29" i="121"/>
  <c r="L34" i="121"/>
  <c r="K11" i="121"/>
  <c r="H12" i="121"/>
  <c r="C53" i="121" s="1"/>
  <c r="F12" i="121"/>
  <c r="E13" i="121"/>
  <c r="R16" i="121"/>
  <c r="U10" i="121" s="1"/>
  <c r="L16" i="121"/>
  <c r="L16" i="120"/>
  <c r="R16" i="120"/>
  <c r="U10" i="120" s="1"/>
  <c r="K11" i="120"/>
  <c r="T11" i="120"/>
  <c r="Z29" i="120"/>
  <c r="F29" i="120"/>
  <c r="Y29" i="120"/>
  <c r="L34" i="120"/>
  <c r="F12" i="120"/>
  <c r="H12" i="120"/>
  <c r="C53" i="120" s="1"/>
  <c r="E13" i="120"/>
  <c r="H12" i="119"/>
  <c r="C53" i="119" s="1"/>
  <c r="F12" i="119"/>
  <c r="E13" i="119"/>
  <c r="K11" i="119"/>
  <c r="T11" i="119"/>
  <c r="Z29" i="119"/>
  <c r="L34" i="119"/>
  <c r="Y29" i="119"/>
  <c r="F29" i="119"/>
  <c r="R16" i="119"/>
  <c r="U10" i="119" s="1"/>
  <c r="L16" i="119"/>
  <c r="R16" i="118"/>
  <c r="U10" i="118" s="1"/>
  <c r="L16" i="118"/>
  <c r="F29" i="118"/>
  <c r="T11" i="118"/>
  <c r="Z29" i="118"/>
  <c r="L34" i="118"/>
  <c r="Y29" i="118"/>
  <c r="K11" i="118"/>
  <c r="H12" i="118"/>
  <c r="C53" i="118" s="1"/>
  <c r="E13" i="118"/>
  <c r="F12" i="118"/>
  <c r="N16" i="118"/>
  <c r="T11" i="117"/>
  <c r="L34" i="117"/>
  <c r="Z29" i="117"/>
  <c r="Y29" i="117"/>
  <c r="K11" i="117"/>
  <c r="F29" i="117"/>
  <c r="F12" i="117"/>
  <c r="H12" i="117"/>
  <c r="C53" i="117" s="1"/>
  <c r="E13" i="117"/>
  <c r="R16" i="117"/>
  <c r="U10" i="117" s="1"/>
  <c r="L16" i="117"/>
  <c r="N16" i="117"/>
  <c r="R16" i="115"/>
  <c r="U10" i="115" s="1"/>
  <c r="L16" i="115"/>
  <c r="F29" i="115"/>
  <c r="Z29" i="115"/>
  <c r="Y29" i="115"/>
  <c r="L34" i="115"/>
  <c r="K11" i="115"/>
  <c r="T11" i="115"/>
  <c r="H12" i="115"/>
  <c r="C53" i="115" s="1"/>
  <c r="F12" i="115"/>
  <c r="E13" i="115"/>
  <c r="L16" i="110"/>
  <c r="L13" i="110"/>
  <c r="L17" i="110"/>
  <c r="L15" i="110"/>
  <c r="L14" i="110"/>
  <c r="L10" i="110"/>
  <c r="L9" i="110"/>
  <c r="L12" i="110"/>
  <c r="L21" i="110"/>
  <c r="L20" i="110"/>
  <c r="L19" i="110"/>
  <c r="H27" i="110"/>
  <c r="L18" i="110"/>
  <c r="Q15" i="124" l="1"/>
  <c r="T20" i="124"/>
  <c r="R14" i="124"/>
  <c r="U20" i="124" s="1"/>
  <c r="Y31" i="122"/>
  <c r="K13" i="122"/>
  <c r="F31" i="122"/>
  <c r="O27" i="122"/>
  <c r="E27" i="122"/>
  <c r="Z31" i="122"/>
  <c r="G27" i="122"/>
  <c r="L36" i="122"/>
  <c r="T13" i="122"/>
  <c r="F14" i="122"/>
  <c r="H14" i="122"/>
  <c r="C55" i="122" s="1"/>
  <c r="E15" i="122"/>
  <c r="R18" i="122"/>
  <c r="U12" i="122" s="1"/>
  <c r="L18" i="122"/>
  <c r="N18" i="122"/>
  <c r="H13" i="121"/>
  <c r="C48" i="121" s="1"/>
  <c r="F13" i="121"/>
  <c r="E14" i="121"/>
  <c r="R11" i="121"/>
  <c r="U11" i="121" s="1"/>
  <c r="L11" i="121"/>
  <c r="N11" i="121"/>
  <c r="T12" i="121"/>
  <c r="Y36" i="121"/>
  <c r="F36" i="121"/>
  <c r="Z36" i="121"/>
  <c r="K18" i="121"/>
  <c r="L29" i="121"/>
  <c r="F36" i="120"/>
  <c r="T12" i="120"/>
  <c r="Z36" i="120"/>
  <c r="Y36" i="120"/>
  <c r="L29" i="120"/>
  <c r="K18" i="120"/>
  <c r="R11" i="120"/>
  <c r="U11" i="120" s="1"/>
  <c r="L11" i="120"/>
  <c r="N11" i="120"/>
  <c r="F13" i="120"/>
  <c r="E14" i="120"/>
  <c r="H13" i="120"/>
  <c r="C48" i="120" s="1"/>
  <c r="E14" i="119"/>
  <c r="F13" i="119"/>
  <c r="H13" i="119"/>
  <c r="C48" i="119" s="1"/>
  <c r="R11" i="119"/>
  <c r="U11" i="119" s="1"/>
  <c r="L11" i="119"/>
  <c r="N11" i="119"/>
  <c r="T12" i="119"/>
  <c r="L29" i="119"/>
  <c r="F36" i="119"/>
  <c r="K18" i="119"/>
  <c r="Z36" i="119"/>
  <c r="Y36" i="119"/>
  <c r="F13" i="118"/>
  <c r="H13" i="118"/>
  <c r="C48" i="118" s="1"/>
  <c r="E14" i="118"/>
  <c r="F36" i="118"/>
  <c r="T12" i="118"/>
  <c r="L29" i="118"/>
  <c r="Z36" i="118"/>
  <c r="Y36" i="118"/>
  <c r="K18" i="118"/>
  <c r="R11" i="118"/>
  <c r="U11" i="118" s="1"/>
  <c r="L11" i="118"/>
  <c r="N11" i="118"/>
  <c r="R11" i="117"/>
  <c r="U11" i="117" s="1"/>
  <c r="L11" i="117"/>
  <c r="N11" i="117"/>
  <c r="H13" i="117"/>
  <c r="C48" i="117" s="1"/>
  <c r="F13" i="117"/>
  <c r="E14" i="117"/>
  <c r="T12" i="117"/>
  <c r="Z36" i="117"/>
  <c r="F36" i="117"/>
  <c r="Y36" i="117"/>
  <c r="K18" i="117"/>
  <c r="L29" i="117"/>
  <c r="F36" i="115"/>
  <c r="Z36" i="115"/>
  <c r="Y36" i="115"/>
  <c r="K18" i="115"/>
  <c r="L29" i="115"/>
  <c r="T12" i="115"/>
  <c r="L11" i="115"/>
  <c r="R11" i="115"/>
  <c r="U11" i="115" s="1"/>
  <c r="N11" i="115"/>
  <c r="F13" i="115"/>
  <c r="E14" i="115"/>
  <c r="H13" i="115"/>
  <c r="C48" i="115" s="1"/>
  <c r="Q16" i="124" l="1"/>
  <c r="T15" i="124"/>
  <c r="R15" i="124"/>
  <c r="U15" i="124" s="1"/>
  <c r="F15" i="122"/>
  <c r="E16" i="122"/>
  <c r="H15" i="122"/>
  <c r="C50" i="122" s="1"/>
  <c r="L31" i="122"/>
  <c r="K20" i="122"/>
  <c r="F38" i="122"/>
  <c r="O34" i="122"/>
  <c r="E34" i="122"/>
  <c r="Z38" i="122"/>
  <c r="Y38" i="122"/>
  <c r="G34" i="122"/>
  <c r="T14" i="122"/>
  <c r="R13" i="122"/>
  <c r="U13" i="122" s="1"/>
  <c r="L13" i="122"/>
  <c r="N13" i="122"/>
  <c r="E15" i="121"/>
  <c r="F14" i="121"/>
  <c r="H14" i="121"/>
  <c r="C55" i="121" s="1"/>
  <c r="R18" i="121"/>
  <c r="U12" i="121" s="1"/>
  <c r="L18" i="121"/>
  <c r="N18" i="121"/>
  <c r="L36" i="121"/>
  <c r="T13" i="121"/>
  <c r="O27" i="121"/>
  <c r="E27" i="121"/>
  <c r="F31" i="121"/>
  <c r="K13" i="121"/>
  <c r="Z31" i="121"/>
  <c r="Y31" i="121"/>
  <c r="G27" i="121"/>
  <c r="L18" i="120"/>
  <c r="R18" i="120"/>
  <c r="U12" i="120" s="1"/>
  <c r="N18" i="120"/>
  <c r="Y31" i="120"/>
  <c r="G27" i="120"/>
  <c r="E27" i="120"/>
  <c r="T13" i="120"/>
  <c r="O27" i="120"/>
  <c r="F31" i="120"/>
  <c r="L36" i="120"/>
  <c r="Z31" i="120"/>
  <c r="K13" i="120"/>
  <c r="H14" i="120"/>
  <c r="C55" i="120" s="1"/>
  <c r="E15" i="120"/>
  <c r="F14" i="120"/>
  <c r="R18" i="119"/>
  <c r="U12" i="119" s="1"/>
  <c r="L18" i="119"/>
  <c r="N18" i="119"/>
  <c r="Y31" i="119"/>
  <c r="L36" i="119"/>
  <c r="T13" i="119"/>
  <c r="Z31" i="119"/>
  <c r="G27" i="119"/>
  <c r="K13" i="119"/>
  <c r="F31" i="119"/>
  <c r="O27" i="119"/>
  <c r="E27" i="119"/>
  <c r="E15" i="119"/>
  <c r="F14" i="119"/>
  <c r="H14" i="119"/>
  <c r="C55" i="119" s="1"/>
  <c r="H14" i="118"/>
  <c r="C55" i="118" s="1"/>
  <c r="E15" i="118"/>
  <c r="F14" i="118"/>
  <c r="T13" i="118"/>
  <c r="G27" i="118"/>
  <c r="F31" i="118"/>
  <c r="O27" i="118"/>
  <c r="Z31" i="118"/>
  <c r="Y31" i="118"/>
  <c r="E27" i="118"/>
  <c r="K13" i="118"/>
  <c r="L36" i="118"/>
  <c r="R18" i="118"/>
  <c r="U12" i="118" s="1"/>
  <c r="L18" i="118"/>
  <c r="N18" i="118"/>
  <c r="H14" i="117"/>
  <c r="C55" i="117" s="1"/>
  <c r="F14" i="117"/>
  <c r="E15" i="117"/>
  <c r="G27" i="117"/>
  <c r="T13" i="117"/>
  <c r="F31" i="117"/>
  <c r="O27" i="117"/>
  <c r="Y31" i="117"/>
  <c r="Z31" i="117"/>
  <c r="L36" i="117"/>
  <c r="E27" i="117"/>
  <c r="K13" i="117"/>
  <c r="R18" i="117"/>
  <c r="U12" i="117" s="1"/>
  <c r="L18" i="117"/>
  <c r="N18" i="117"/>
  <c r="R18" i="115"/>
  <c r="U12" i="115" s="1"/>
  <c r="L18" i="115"/>
  <c r="N18" i="115"/>
  <c r="O27" i="115"/>
  <c r="E27" i="115"/>
  <c r="F31" i="115"/>
  <c r="Z31" i="115"/>
  <c r="Y31" i="115"/>
  <c r="L36" i="115"/>
  <c r="G27" i="115"/>
  <c r="K13" i="115"/>
  <c r="T13" i="115"/>
  <c r="H14" i="115"/>
  <c r="C55" i="115" s="1"/>
  <c r="E15" i="115"/>
  <c r="F14" i="115"/>
  <c r="Q17" i="124" l="1"/>
  <c r="T10" i="124"/>
  <c r="R16" i="124"/>
  <c r="U10" i="124" s="1"/>
  <c r="R20" i="122"/>
  <c r="U14" i="122" s="1"/>
  <c r="L20" i="122"/>
  <c r="N20" i="122"/>
  <c r="L38" i="122"/>
  <c r="K15" i="122"/>
  <c r="F33" i="122"/>
  <c r="O29" i="122"/>
  <c r="G29" i="122"/>
  <c r="Z33" i="122"/>
  <c r="E29" i="122"/>
  <c r="Y33" i="122"/>
  <c r="T15" i="122"/>
  <c r="F16" i="122"/>
  <c r="H16" i="122"/>
  <c r="C45" i="122" s="1"/>
  <c r="E17" i="122"/>
  <c r="L31" i="121"/>
  <c r="K20" i="121"/>
  <c r="T14" i="121"/>
  <c r="F38" i="121"/>
  <c r="O34" i="121"/>
  <c r="E34" i="121"/>
  <c r="Z38" i="121"/>
  <c r="Y38" i="121"/>
  <c r="G34" i="121"/>
  <c r="R13" i="121"/>
  <c r="U13" i="121" s="1"/>
  <c r="L13" i="121"/>
  <c r="N13" i="121"/>
  <c r="F15" i="121"/>
  <c r="E16" i="121"/>
  <c r="H15" i="121"/>
  <c r="C50" i="121" s="1"/>
  <c r="L31" i="120"/>
  <c r="T14" i="120"/>
  <c r="E34" i="120"/>
  <c r="F38" i="120"/>
  <c r="O34" i="120"/>
  <c r="K20" i="120"/>
  <c r="Z38" i="120"/>
  <c r="Y38" i="120"/>
  <c r="G34" i="120"/>
  <c r="R13" i="120"/>
  <c r="U13" i="120" s="1"/>
  <c r="L13" i="120"/>
  <c r="N13" i="120"/>
  <c r="H15" i="120"/>
  <c r="C50" i="120" s="1"/>
  <c r="E16" i="120"/>
  <c r="F15" i="120"/>
  <c r="R13" i="119"/>
  <c r="U13" i="119" s="1"/>
  <c r="L13" i="119"/>
  <c r="N13" i="119"/>
  <c r="E16" i="119"/>
  <c r="H15" i="119"/>
  <c r="C50" i="119" s="1"/>
  <c r="F15" i="119"/>
  <c r="L31" i="119"/>
  <c r="T14" i="119"/>
  <c r="G34" i="119"/>
  <c r="F38" i="119"/>
  <c r="K20" i="119"/>
  <c r="O34" i="119"/>
  <c r="Z38" i="119"/>
  <c r="Y38" i="119"/>
  <c r="E34" i="119"/>
  <c r="E16" i="118"/>
  <c r="H15" i="118"/>
  <c r="C50" i="118" s="1"/>
  <c r="F15" i="118"/>
  <c r="R13" i="118"/>
  <c r="U13" i="118" s="1"/>
  <c r="L13" i="118"/>
  <c r="N13" i="118"/>
  <c r="L31" i="118"/>
  <c r="G34" i="118"/>
  <c r="T14" i="118"/>
  <c r="F38" i="118"/>
  <c r="O34" i="118"/>
  <c r="Z38" i="118"/>
  <c r="Y38" i="118"/>
  <c r="E34" i="118"/>
  <c r="K20" i="118"/>
  <c r="R13" i="117"/>
  <c r="U13" i="117" s="1"/>
  <c r="L13" i="117"/>
  <c r="N13" i="117"/>
  <c r="F15" i="117"/>
  <c r="H15" i="117"/>
  <c r="C50" i="117" s="1"/>
  <c r="E16" i="117"/>
  <c r="L31" i="117"/>
  <c r="T14" i="117"/>
  <c r="F38" i="117"/>
  <c r="O34" i="117"/>
  <c r="Z38" i="117"/>
  <c r="Y38" i="117"/>
  <c r="G34" i="117"/>
  <c r="E34" i="117"/>
  <c r="K20" i="117"/>
  <c r="R13" i="115"/>
  <c r="U13" i="115" s="1"/>
  <c r="L13" i="115"/>
  <c r="N13" i="115"/>
  <c r="L31" i="115"/>
  <c r="E34" i="115"/>
  <c r="F38" i="115"/>
  <c r="Y38" i="115"/>
  <c r="G34" i="115"/>
  <c r="K20" i="115"/>
  <c r="O34" i="115"/>
  <c r="Z38" i="115"/>
  <c r="T14" i="115"/>
  <c r="E16" i="115"/>
  <c r="F15" i="115"/>
  <c r="H15" i="115"/>
  <c r="C50" i="115" s="1"/>
  <c r="Q18" i="124" l="1"/>
  <c r="T17" i="124"/>
  <c r="R17" i="124"/>
  <c r="U17" i="124" s="1"/>
  <c r="R15" i="122"/>
  <c r="U15" i="122" s="1"/>
  <c r="L15" i="122"/>
  <c r="N15" i="122"/>
  <c r="M16" i="122"/>
  <c r="E18" i="122"/>
  <c r="H17" i="122"/>
  <c r="C52" i="122" s="1"/>
  <c r="F17" i="122"/>
  <c r="Z28" i="122"/>
  <c r="Y28" i="122"/>
  <c r="L33" i="122"/>
  <c r="O36" i="122"/>
  <c r="G36" i="122"/>
  <c r="F28" i="122"/>
  <c r="E36" i="122"/>
  <c r="K10" i="122"/>
  <c r="T16" i="122"/>
  <c r="L38" i="121"/>
  <c r="O29" i="121"/>
  <c r="T15" i="121"/>
  <c r="Z33" i="121"/>
  <c r="Y33" i="121"/>
  <c r="G29" i="121"/>
  <c r="F33" i="121"/>
  <c r="K15" i="121"/>
  <c r="E29" i="121"/>
  <c r="R20" i="121"/>
  <c r="U14" i="121" s="1"/>
  <c r="L20" i="121"/>
  <c r="N20" i="121"/>
  <c r="H16" i="121"/>
  <c r="C45" i="121" s="1"/>
  <c r="F16" i="121"/>
  <c r="E17" i="121"/>
  <c r="L38" i="120"/>
  <c r="G29" i="120"/>
  <c r="T15" i="120"/>
  <c r="Z33" i="120"/>
  <c r="K15" i="120"/>
  <c r="Y33" i="120"/>
  <c r="E29" i="120"/>
  <c r="F33" i="120"/>
  <c r="O29" i="120"/>
  <c r="R20" i="120"/>
  <c r="U14" i="120" s="1"/>
  <c r="L20" i="120"/>
  <c r="N20" i="120"/>
  <c r="H16" i="120"/>
  <c r="C45" i="120" s="1"/>
  <c r="F16" i="120"/>
  <c r="E17" i="120"/>
  <c r="F16" i="119"/>
  <c r="E17" i="119"/>
  <c r="H16" i="119"/>
  <c r="C45" i="119" s="1"/>
  <c r="R20" i="119"/>
  <c r="U14" i="119" s="1"/>
  <c r="L20" i="119"/>
  <c r="N20" i="119"/>
  <c r="L38" i="119"/>
  <c r="T15" i="119"/>
  <c r="E29" i="119"/>
  <c r="Z33" i="119"/>
  <c r="Y33" i="119"/>
  <c r="K15" i="119"/>
  <c r="F33" i="119"/>
  <c r="G29" i="119"/>
  <c r="O29" i="119"/>
  <c r="R20" i="118"/>
  <c r="U14" i="118" s="1"/>
  <c r="L20" i="118"/>
  <c r="N20" i="118"/>
  <c r="L38" i="118"/>
  <c r="F33" i="118"/>
  <c r="E29" i="118"/>
  <c r="T15" i="118"/>
  <c r="G29" i="118"/>
  <c r="Y33" i="118"/>
  <c r="O29" i="118"/>
  <c r="K15" i="118"/>
  <c r="Z33" i="118"/>
  <c r="H16" i="118"/>
  <c r="C45" i="118" s="1"/>
  <c r="E17" i="118"/>
  <c r="F16" i="118"/>
  <c r="H16" i="117"/>
  <c r="C45" i="117" s="1"/>
  <c r="F16" i="117"/>
  <c r="E17" i="117"/>
  <c r="L38" i="117"/>
  <c r="F33" i="117"/>
  <c r="G29" i="117"/>
  <c r="T15" i="117"/>
  <c r="Z33" i="117"/>
  <c r="O29" i="117"/>
  <c r="K15" i="117"/>
  <c r="Y33" i="117"/>
  <c r="E29" i="117"/>
  <c r="R20" i="117"/>
  <c r="U14" i="117" s="1"/>
  <c r="L20" i="117"/>
  <c r="N20" i="117"/>
  <c r="F16" i="115"/>
  <c r="H16" i="115"/>
  <c r="C45" i="115" s="1"/>
  <c r="E17" i="115"/>
  <c r="R20" i="115"/>
  <c r="U14" i="115" s="1"/>
  <c r="L20" i="115"/>
  <c r="N20" i="115"/>
  <c r="L38" i="115"/>
  <c r="K15" i="115"/>
  <c r="Y33" i="115"/>
  <c r="G29" i="115"/>
  <c r="E29" i="115"/>
  <c r="Z33" i="115"/>
  <c r="O29" i="115"/>
  <c r="F33" i="115"/>
  <c r="T15" i="115"/>
  <c r="Q19" i="124" l="1"/>
  <c r="T12" i="124"/>
  <c r="R18" i="124"/>
  <c r="U12" i="124" s="1"/>
  <c r="Z35" i="122"/>
  <c r="Y35" i="122"/>
  <c r="G31" i="122"/>
  <c r="E31" i="122"/>
  <c r="K17" i="122"/>
  <c r="L28" i="122"/>
  <c r="F35" i="122"/>
  <c r="O31" i="122"/>
  <c r="T17" i="122"/>
  <c r="E19" i="122"/>
  <c r="H18" i="122"/>
  <c r="C47" i="122" s="1"/>
  <c r="F18" i="122"/>
  <c r="M10" i="122"/>
  <c r="R10" i="122"/>
  <c r="U16" i="122" s="1"/>
  <c r="L10" i="122"/>
  <c r="N10" i="122"/>
  <c r="M11" i="122"/>
  <c r="Z28" i="121"/>
  <c r="Y28" i="121"/>
  <c r="T16" i="121"/>
  <c r="K10" i="121"/>
  <c r="L33" i="121"/>
  <c r="G36" i="121"/>
  <c r="O36" i="121"/>
  <c r="F28" i="121"/>
  <c r="E36" i="121"/>
  <c r="R15" i="121"/>
  <c r="U15" i="121" s="1"/>
  <c r="L15" i="121"/>
  <c r="N15" i="121"/>
  <c r="M16" i="121"/>
  <c r="F17" i="121"/>
  <c r="H17" i="121"/>
  <c r="C52" i="121" s="1"/>
  <c r="E18" i="121"/>
  <c r="Z28" i="120"/>
  <c r="Y28" i="120"/>
  <c r="T16" i="120"/>
  <c r="L33" i="120"/>
  <c r="O36" i="120"/>
  <c r="K10" i="120"/>
  <c r="G36" i="120"/>
  <c r="E36" i="120"/>
  <c r="F28" i="120"/>
  <c r="R15" i="120"/>
  <c r="U15" i="120" s="1"/>
  <c r="L15" i="120"/>
  <c r="N15" i="120"/>
  <c r="M16" i="120"/>
  <c r="F17" i="120"/>
  <c r="E18" i="120"/>
  <c r="H17" i="120"/>
  <c r="C52" i="120" s="1"/>
  <c r="R15" i="119"/>
  <c r="U15" i="119" s="1"/>
  <c r="L15" i="119"/>
  <c r="N15" i="119"/>
  <c r="M16" i="119"/>
  <c r="Z28" i="119"/>
  <c r="L33" i="119"/>
  <c r="Y28" i="119"/>
  <c r="T16" i="119"/>
  <c r="K10" i="119"/>
  <c r="G36" i="119"/>
  <c r="O36" i="119"/>
  <c r="F28" i="119"/>
  <c r="E36" i="119"/>
  <c r="F17" i="119"/>
  <c r="E18" i="119"/>
  <c r="H17" i="119"/>
  <c r="C52" i="119" s="1"/>
  <c r="R15" i="118"/>
  <c r="U15" i="118" s="1"/>
  <c r="L15" i="118"/>
  <c r="N15" i="118"/>
  <c r="M16" i="118"/>
  <c r="Z28" i="118"/>
  <c r="Y28" i="118"/>
  <c r="T16" i="118"/>
  <c r="L33" i="118"/>
  <c r="E36" i="118"/>
  <c r="G36" i="118"/>
  <c r="O36" i="118"/>
  <c r="K10" i="118"/>
  <c r="F28" i="118"/>
  <c r="F17" i="118"/>
  <c r="H17" i="118"/>
  <c r="C52" i="118" s="1"/>
  <c r="E18" i="118"/>
  <c r="H17" i="117"/>
  <c r="C52" i="117" s="1"/>
  <c r="F17" i="117"/>
  <c r="E18" i="117"/>
  <c r="R15" i="117"/>
  <c r="U15" i="117" s="1"/>
  <c r="L15" i="117"/>
  <c r="N15" i="117"/>
  <c r="M16" i="117"/>
  <c r="Z28" i="117"/>
  <c r="F28" i="117"/>
  <c r="G36" i="117"/>
  <c r="Y28" i="117"/>
  <c r="T16" i="117"/>
  <c r="L33" i="117"/>
  <c r="E36" i="117"/>
  <c r="O36" i="117"/>
  <c r="K10" i="117"/>
  <c r="L15" i="115"/>
  <c r="R15" i="115"/>
  <c r="U15" i="115" s="1"/>
  <c r="N15" i="115"/>
  <c r="M16" i="115"/>
  <c r="Z28" i="115"/>
  <c r="K10" i="115"/>
  <c r="Y28" i="115"/>
  <c r="E36" i="115"/>
  <c r="L33" i="115"/>
  <c r="F28" i="115"/>
  <c r="G36" i="115"/>
  <c r="O36" i="115"/>
  <c r="T16" i="115"/>
  <c r="H17" i="115"/>
  <c r="C52" i="115" s="1"/>
  <c r="F17" i="115"/>
  <c r="E18" i="115"/>
  <c r="Q20" i="124" l="1"/>
  <c r="T19" i="124"/>
  <c r="R19" i="124"/>
  <c r="U19" i="124" s="1"/>
  <c r="F30" i="122"/>
  <c r="G30" i="122" s="1"/>
  <c r="Y30" i="122"/>
  <c r="G38" i="122"/>
  <c r="Z30" i="122"/>
  <c r="K12" i="122"/>
  <c r="E38" i="122"/>
  <c r="L35" i="122"/>
  <c r="O38" i="122"/>
  <c r="T18" i="122"/>
  <c r="E30" i="122"/>
  <c r="O30" i="122"/>
  <c r="E20" i="122"/>
  <c r="F19" i="122"/>
  <c r="H19" i="122"/>
  <c r="C54" i="122" s="1"/>
  <c r="M17" i="122"/>
  <c r="R17" i="122"/>
  <c r="U17" i="122" s="1"/>
  <c r="L17" i="122"/>
  <c r="N17" i="122"/>
  <c r="M18" i="122"/>
  <c r="Z35" i="121"/>
  <c r="Y35" i="121"/>
  <c r="G31" i="121"/>
  <c r="T17" i="121"/>
  <c r="E31" i="121"/>
  <c r="F35" i="121"/>
  <c r="O31" i="121"/>
  <c r="L28" i="121"/>
  <c r="K17" i="121"/>
  <c r="F18" i="121"/>
  <c r="H18" i="121"/>
  <c r="C47" i="121" s="1"/>
  <c r="E19" i="121"/>
  <c r="R10" i="121"/>
  <c r="U16" i="121" s="1"/>
  <c r="M10" i="121"/>
  <c r="L10" i="121"/>
  <c r="N10" i="121"/>
  <c r="M11" i="121"/>
  <c r="Z35" i="120"/>
  <c r="K17" i="120"/>
  <c r="Y35" i="120"/>
  <c r="G31" i="120"/>
  <c r="T17" i="120"/>
  <c r="L28" i="120"/>
  <c r="O31" i="120"/>
  <c r="E31" i="120"/>
  <c r="F35" i="120"/>
  <c r="E19" i="120"/>
  <c r="H18" i="120"/>
  <c r="C47" i="120" s="1"/>
  <c r="F18" i="120"/>
  <c r="M10" i="120"/>
  <c r="R10" i="120"/>
  <c r="U16" i="120" s="1"/>
  <c r="L10" i="120"/>
  <c r="N10" i="120"/>
  <c r="M11" i="120"/>
  <c r="Z35" i="119"/>
  <c r="Y35" i="119"/>
  <c r="G31" i="119"/>
  <c r="T17" i="119"/>
  <c r="F35" i="119"/>
  <c r="O31" i="119"/>
  <c r="E31" i="119"/>
  <c r="L28" i="119"/>
  <c r="K17" i="119"/>
  <c r="E19" i="119"/>
  <c r="F18" i="119"/>
  <c r="H18" i="119"/>
  <c r="C47" i="119" s="1"/>
  <c r="M10" i="119"/>
  <c r="R10" i="119"/>
  <c r="U16" i="119" s="1"/>
  <c r="L10" i="119"/>
  <c r="N10" i="119"/>
  <c r="M11" i="119"/>
  <c r="H18" i="118"/>
  <c r="C47" i="118" s="1"/>
  <c r="F18" i="118"/>
  <c r="E19" i="118"/>
  <c r="Z35" i="118"/>
  <c r="Y35" i="118"/>
  <c r="G31" i="118"/>
  <c r="T17" i="118"/>
  <c r="F35" i="118"/>
  <c r="O31" i="118"/>
  <c r="E31" i="118"/>
  <c r="L28" i="118"/>
  <c r="K17" i="118"/>
  <c r="M10" i="118"/>
  <c r="R10" i="118"/>
  <c r="U16" i="118" s="1"/>
  <c r="L10" i="118"/>
  <c r="N10" i="118"/>
  <c r="M11" i="118"/>
  <c r="M10" i="117"/>
  <c r="R10" i="117"/>
  <c r="U16" i="117" s="1"/>
  <c r="L10" i="117"/>
  <c r="N10" i="117"/>
  <c r="M11" i="117"/>
  <c r="H18" i="117"/>
  <c r="C47" i="117" s="1"/>
  <c r="F18" i="117"/>
  <c r="E19" i="117"/>
  <c r="Z35" i="117"/>
  <c r="Y35" i="117"/>
  <c r="G31" i="117"/>
  <c r="T17" i="117"/>
  <c r="E31" i="117"/>
  <c r="O31" i="117"/>
  <c r="L28" i="117"/>
  <c r="K17" i="117"/>
  <c r="F35" i="117"/>
  <c r="Z35" i="115"/>
  <c r="Y35" i="115"/>
  <c r="G31" i="115"/>
  <c r="K17" i="115"/>
  <c r="L28" i="115"/>
  <c r="E31" i="115"/>
  <c r="F35" i="115"/>
  <c r="O31" i="115"/>
  <c r="T17" i="115"/>
  <c r="H18" i="115"/>
  <c r="C47" i="115" s="1"/>
  <c r="E19" i="115"/>
  <c r="F18" i="115"/>
  <c r="M10" i="115"/>
  <c r="R10" i="115"/>
  <c r="U16" i="115" s="1"/>
  <c r="L10" i="115"/>
  <c r="N10" i="115"/>
  <c r="M11" i="115"/>
  <c r="Q21" i="124" l="1"/>
  <c r="T14" i="124"/>
  <c r="R20" i="124"/>
  <c r="U14" i="124" s="1"/>
  <c r="F37" i="122"/>
  <c r="G37" i="122" s="1"/>
  <c r="K19" i="122"/>
  <c r="Y37" i="122"/>
  <c r="Z37" i="122"/>
  <c r="G33" i="122"/>
  <c r="O33" i="122"/>
  <c r="E33" i="122"/>
  <c r="L30" i="122"/>
  <c r="T19" i="122"/>
  <c r="E37" i="122"/>
  <c r="O37" i="122"/>
  <c r="F20" i="122"/>
  <c r="E21" i="122"/>
  <c r="H20" i="122"/>
  <c r="C49" i="122" s="1"/>
  <c r="M12" i="122"/>
  <c r="R12" i="122"/>
  <c r="U18" i="122" s="1"/>
  <c r="L12" i="122"/>
  <c r="N12" i="122"/>
  <c r="M13" i="122"/>
  <c r="F30" i="121"/>
  <c r="G30" i="121" s="1"/>
  <c r="Z30" i="121"/>
  <c r="Y30" i="121"/>
  <c r="K12" i="121"/>
  <c r="G38" i="121"/>
  <c r="T18" i="121"/>
  <c r="E38" i="121"/>
  <c r="O38" i="121"/>
  <c r="L35" i="121"/>
  <c r="E30" i="121"/>
  <c r="O30" i="121"/>
  <c r="R17" i="121"/>
  <c r="U17" i="121" s="1"/>
  <c r="M17" i="121"/>
  <c r="L17" i="121"/>
  <c r="N17" i="121"/>
  <c r="M18" i="121"/>
  <c r="E20" i="121"/>
  <c r="H19" i="121"/>
  <c r="C54" i="121" s="1"/>
  <c r="F19" i="121"/>
  <c r="H19" i="120"/>
  <c r="C54" i="120" s="1"/>
  <c r="E20" i="120"/>
  <c r="F19" i="120"/>
  <c r="F30" i="120"/>
  <c r="G30" i="120" s="1"/>
  <c r="Z30" i="120"/>
  <c r="L35" i="120"/>
  <c r="G38" i="120"/>
  <c r="T18" i="120"/>
  <c r="Y30" i="120"/>
  <c r="O38" i="120"/>
  <c r="E38" i="120"/>
  <c r="K12" i="120"/>
  <c r="E30" i="120"/>
  <c r="O30" i="120"/>
  <c r="R17" i="120"/>
  <c r="U17" i="120" s="1"/>
  <c r="L17" i="120"/>
  <c r="M17" i="120"/>
  <c r="N17" i="120"/>
  <c r="M18" i="120"/>
  <c r="M17" i="119"/>
  <c r="R17" i="119"/>
  <c r="U17" i="119" s="1"/>
  <c r="L17" i="119"/>
  <c r="N17" i="119"/>
  <c r="M18" i="119"/>
  <c r="F30" i="119"/>
  <c r="G30" i="119" s="1"/>
  <c r="Y30" i="119"/>
  <c r="O38" i="119"/>
  <c r="G38" i="119"/>
  <c r="T18" i="119"/>
  <c r="Z30" i="119"/>
  <c r="E38" i="119"/>
  <c r="L35" i="119"/>
  <c r="K12" i="119"/>
  <c r="O30" i="119"/>
  <c r="E30" i="119"/>
  <c r="H19" i="119"/>
  <c r="C54" i="119" s="1"/>
  <c r="F19" i="119"/>
  <c r="E20" i="119"/>
  <c r="R17" i="118"/>
  <c r="U17" i="118" s="1"/>
  <c r="M17" i="118"/>
  <c r="L17" i="118"/>
  <c r="N17" i="118"/>
  <c r="M18" i="118"/>
  <c r="H19" i="118"/>
  <c r="C54" i="118" s="1"/>
  <c r="E20" i="118"/>
  <c r="F19" i="118"/>
  <c r="F30" i="118"/>
  <c r="G30" i="118" s="1"/>
  <c r="Y30" i="118"/>
  <c r="G38" i="118"/>
  <c r="T18" i="118"/>
  <c r="O38" i="118"/>
  <c r="Z30" i="118"/>
  <c r="E38" i="118"/>
  <c r="L35" i="118"/>
  <c r="K12" i="118"/>
  <c r="O30" i="118"/>
  <c r="E30" i="118"/>
  <c r="H19" i="117"/>
  <c r="C54" i="117" s="1"/>
  <c r="F19" i="117"/>
  <c r="E20" i="117"/>
  <c r="F30" i="117"/>
  <c r="G30" i="117" s="1"/>
  <c r="G38" i="117"/>
  <c r="T18" i="117"/>
  <c r="Y30" i="117"/>
  <c r="Z30" i="117"/>
  <c r="O38" i="117"/>
  <c r="E38" i="117"/>
  <c r="L35" i="117"/>
  <c r="K12" i="117"/>
  <c r="E30" i="117"/>
  <c r="O30" i="117"/>
  <c r="R17" i="117"/>
  <c r="U17" i="117" s="1"/>
  <c r="M17" i="117"/>
  <c r="L17" i="117"/>
  <c r="N17" i="117"/>
  <c r="M18" i="117"/>
  <c r="F30" i="115"/>
  <c r="G30" i="115" s="1"/>
  <c r="L35" i="115"/>
  <c r="O38" i="115"/>
  <c r="G38" i="115"/>
  <c r="K12" i="115"/>
  <c r="E38" i="115"/>
  <c r="Z30" i="115"/>
  <c r="Y30" i="115"/>
  <c r="T18" i="115"/>
  <c r="E30" i="115"/>
  <c r="O30" i="115"/>
  <c r="M17" i="115"/>
  <c r="L17" i="115"/>
  <c r="R17" i="115"/>
  <c r="U17" i="115" s="1"/>
  <c r="N17" i="115"/>
  <c r="M18" i="115"/>
  <c r="E20" i="115"/>
  <c r="F19" i="115"/>
  <c r="H19" i="115"/>
  <c r="C54" i="115" s="1"/>
  <c r="T21" i="124" l="1"/>
  <c r="R21" i="124"/>
  <c r="U21" i="124" s="1"/>
  <c r="F32" i="122"/>
  <c r="G32" i="122" s="1"/>
  <c r="Y32" i="122"/>
  <c r="E28" i="122"/>
  <c r="O28" i="122"/>
  <c r="G28" i="122"/>
  <c r="K14" i="122"/>
  <c r="L37" i="122"/>
  <c r="Z32" i="122"/>
  <c r="T20" i="122"/>
  <c r="O32" i="122"/>
  <c r="E32" i="122"/>
  <c r="U35" i="122" a="1"/>
  <c r="U35" i="122" s="1"/>
  <c r="V35" i="122" s="1"/>
  <c r="U28" i="122" a="1"/>
  <c r="U28" i="122" s="1"/>
  <c r="V28" i="122" s="1"/>
  <c r="U36" i="122" a="1"/>
  <c r="U36" i="122" s="1"/>
  <c r="V36" i="122" s="1"/>
  <c r="F21" i="122"/>
  <c r="H21" i="122"/>
  <c r="C56" i="122" s="1"/>
  <c r="U32" i="122" s="1" a="1"/>
  <c r="U32" i="122" s="1"/>
  <c r="V32" i="122" s="1"/>
  <c r="R19" i="122"/>
  <c r="U19" i="122" s="1"/>
  <c r="M19" i="122"/>
  <c r="L19" i="122"/>
  <c r="N19" i="122"/>
  <c r="M20" i="122"/>
  <c r="H20" i="121"/>
  <c r="C49" i="121" s="1"/>
  <c r="F20" i="121"/>
  <c r="E21" i="121"/>
  <c r="R12" i="121"/>
  <c r="U18" i="121" s="1"/>
  <c r="M12" i="121"/>
  <c r="L12" i="121"/>
  <c r="N12" i="121"/>
  <c r="M13" i="121"/>
  <c r="F37" i="121"/>
  <c r="G37" i="121" s="1"/>
  <c r="T19" i="121"/>
  <c r="O33" i="121"/>
  <c r="Z37" i="121"/>
  <c r="Y37" i="121"/>
  <c r="G33" i="121"/>
  <c r="K19" i="121"/>
  <c r="E33" i="121"/>
  <c r="L30" i="121"/>
  <c r="E37" i="121"/>
  <c r="O37" i="121"/>
  <c r="M12" i="120"/>
  <c r="L12" i="120"/>
  <c r="R12" i="120"/>
  <c r="U18" i="120" s="1"/>
  <c r="N12" i="120"/>
  <c r="M13" i="120"/>
  <c r="H20" i="120"/>
  <c r="C49" i="120" s="1"/>
  <c r="F20" i="120"/>
  <c r="E21" i="120"/>
  <c r="F37" i="120"/>
  <c r="G37" i="120" s="1"/>
  <c r="Z37" i="120"/>
  <c r="G33" i="120"/>
  <c r="T19" i="120"/>
  <c r="E33" i="120"/>
  <c r="K19" i="120"/>
  <c r="Y37" i="120"/>
  <c r="O33" i="120"/>
  <c r="L30" i="120"/>
  <c r="O37" i="120"/>
  <c r="E37" i="120"/>
  <c r="F37" i="119"/>
  <c r="G37" i="119" s="1"/>
  <c r="Z37" i="119"/>
  <c r="K19" i="119"/>
  <c r="T19" i="119"/>
  <c r="G33" i="119"/>
  <c r="L30" i="119"/>
  <c r="Y37" i="119"/>
  <c r="O33" i="119"/>
  <c r="E33" i="119"/>
  <c r="E37" i="119"/>
  <c r="O37" i="119"/>
  <c r="R12" i="119"/>
  <c r="U18" i="119" s="1"/>
  <c r="M12" i="119"/>
  <c r="L12" i="119"/>
  <c r="N12" i="119"/>
  <c r="M13" i="119"/>
  <c r="F20" i="119"/>
  <c r="E21" i="119"/>
  <c r="H20" i="119"/>
  <c r="C49" i="119" s="1"/>
  <c r="F37" i="118"/>
  <c r="G37" i="118" s="1"/>
  <c r="Z37" i="118"/>
  <c r="T19" i="118"/>
  <c r="Y37" i="118"/>
  <c r="L30" i="118"/>
  <c r="O33" i="118"/>
  <c r="G33" i="118"/>
  <c r="E33" i="118"/>
  <c r="K19" i="118"/>
  <c r="O37" i="118"/>
  <c r="E37" i="118"/>
  <c r="F20" i="118"/>
  <c r="H20" i="118"/>
  <c r="C49" i="118" s="1"/>
  <c r="E21" i="118"/>
  <c r="R12" i="118"/>
  <c r="U18" i="118" s="1"/>
  <c r="M12" i="118"/>
  <c r="L12" i="118"/>
  <c r="N12" i="118"/>
  <c r="M13" i="118"/>
  <c r="H20" i="117"/>
  <c r="C49" i="117" s="1"/>
  <c r="E21" i="117"/>
  <c r="F20" i="117"/>
  <c r="M12" i="117"/>
  <c r="R12" i="117"/>
  <c r="U18" i="117" s="1"/>
  <c r="L12" i="117"/>
  <c r="N12" i="117"/>
  <c r="M13" i="117"/>
  <c r="F37" i="117"/>
  <c r="G37" i="117" s="1"/>
  <c r="Z37" i="117"/>
  <c r="G33" i="117"/>
  <c r="T19" i="117"/>
  <c r="E33" i="117"/>
  <c r="L30" i="117"/>
  <c r="O33" i="117"/>
  <c r="Y37" i="117"/>
  <c r="K19" i="117"/>
  <c r="E37" i="117"/>
  <c r="O37" i="117"/>
  <c r="L12" i="115"/>
  <c r="R12" i="115"/>
  <c r="U18" i="115" s="1"/>
  <c r="M12" i="115"/>
  <c r="N12" i="115"/>
  <c r="M13" i="115"/>
  <c r="H20" i="115"/>
  <c r="C49" i="115" s="1"/>
  <c r="F20" i="115"/>
  <c r="E21" i="115"/>
  <c r="F37" i="115"/>
  <c r="G37" i="115" s="1"/>
  <c r="E33" i="115"/>
  <c r="Z37" i="115"/>
  <c r="L30" i="115"/>
  <c r="K19" i="115"/>
  <c r="O33" i="115"/>
  <c r="Y37" i="115"/>
  <c r="G33" i="115"/>
  <c r="T19" i="115"/>
  <c r="E37" i="115"/>
  <c r="O37" i="115"/>
  <c r="Y39" i="122" l="1"/>
  <c r="G35" i="122"/>
  <c r="L32" i="122"/>
  <c r="K21" i="122"/>
  <c r="E35" i="122"/>
  <c r="O35" i="122"/>
  <c r="Z39" i="122"/>
  <c r="T21" i="122"/>
  <c r="U33" i="122" a="1"/>
  <c r="U33" i="122" s="1"/>
  <c r="V33" i="122" s="1"/>
  <c r="U38" i="122" a="1"/>
  <c r="U38" i="122" s="1"/>
  <c r="V38" i="122" s="1"/>
  <c r="U31" i="122" a="1"/>
  <c r="U31" i="122" s="1"/>
  <c r="V31" i="122" s="1"/>
  <c r="R14" i="122"/>
  <c r="U20" i="122" s="1"/>
  <c r="M14" i="122"/>
  <c r="L14" i="122"/>
  <c r="N14" i="122"/>
  <c r="M15" i="122"/>
  <c r="U30" i="122" a="1"/>
  <c r="U30" i="122" s="1"/>
  <c r="V30" i="122" s="1"/>
  <c r="U39" i="122" a="1"/>
  <c r="U39" i="122" s="1"/>
  <c r="V39" i="122" s="1"/>
  <c r="U29" i="122" a="1"/>
  <c r="U29" i="122" s="1"/>
  <c r="V29" i="122" s="1"/>
  <c r="U37" i="122" a="1"/>
  <c r="U37" i="122" s="1"/>
  <c r="V37" i="122" s="1"/>
  <c r="H21" i="121"/>
  <c r="C56" i="121" s="1"/>
  <c r="F21" i="121"/>
  <c r="R19" i="121"/>
  <c r="U19" i="121" s="1"/>
  <c r="M19" i="121"/>
  <c r="L19" i="121"/>
  <c r="N19" i="121"/>
  <c r="M20" i="121"/>
  <c r="F32" i="121"/>
  <c r="G32" i="121" s="1"/>
  <c r="E28" i="121"/>
  <c r="T20" i="121"/>
  <c r="G28" i="121"/>
  <c r="K14" i="121"/>
  <c r="L37" i="121"/>
  <c r="O28" i="121"/>
  <c r="Z32" i="121"/>
  <c r="Y32" i="121"/>
  <c r="O32" i="121"/>
  <c r="E32" i="121"/>
  <c r="U32" i="121" a="1"/>
  <c r="U32" i="121" s="1"/>
  <c r="V32" i="121" s="1"/>
  <c r="U36" i="121" a="1"/>
  <c r="U36" i="121" s="1"/>
  <c r="V36" i="121" s="1"/>
  <c r="U29" i="121" a="1"/>
  <c r="U29" i="121" s="1"/>
  <c r="V29" i="121" s="1"/>
  <c r="U37" i="121" a="1"/>
  <c r="U37" i="121" s="1"/>
  <c r="V37" i="121" s="1"/>
  <c r="U33" i="121" a="1"/>
  <c r="U33" i="121" s="1"/>
  <c r="V33" i="121" s="1"/>
  <c r="U30" i="121" a="1"/>
  <c r="U30" i="121" s="1"/>
  <c r="V30" i="121" s="1"/>
  <c r="U39" i="121" a="1"/>
  <c r="U39" i="121" s="1"/>
  <c r="V39" i="121" s="1"/>
  <c r="U35" i="121" a="1"/>
  <c r="U35" i="121" s="1"/>
  <c r="V35" i="121" s="1"/>
  <c r="U31" i="121" a="1"/>
  <c r="U31" i="121" s="1"/>
  <c r="V31" i="121" s="1"/>
  <c r="U38" i="121" a="1"/>
  <c r="U38" i="121" s="1"/>
  <c r="V38" i="121" s="1"/>
  <c r="U28" i="121" a="1"/>
  <c r="U28" i="121" s="1"/>
  <c r="V28" i="121" s="1"/>
  <c r="H21" i="120"/>
  <c r="C56" i="120" s="1"/>
  <c r="F21" i="120"/>
  <c r="M19" i="120"/>
  <c r="R19" i="120"/>
  <c r="U19" i="120" s="1"/>
  <c r="L19" i="120"/>
  <c r="N19" i="120"/>
  <c r="M20" i="120"/>
  <c r="Y32" i="120"/>
  <c r="T20" i="120"/>
  <c r="G28" i="120"/>
  <c r="K14" i="120"/>
  <c r="L37" i="120"/>
  <c r="F32" i="120"/>
  <c r="G32" i="120" s="1"/>
  <c r="E28" i="120"/>
  <c r="O28" i="120"/>
  <c r="Z32" i="120"/>
  <c r="O32" i="120"/>
  <c r="E32" i="120"/>
  <c r="U29" i="120" a="1"/>
  <c r="U29" i="120" s="1"/>
  <c r="V29" i="120" s="1"/>
  <c r="U35" i="120" a="1"/>
  <c r="U35" i="120" s="1"/>
  <c r="V35" i="120" s="1"/>
  <c r="U31" i="120" a="1"/>
  <c r="U31" i="120" s="1"/>
  <c r="V31" i="120" s="1"/>
  <c r="U28" i="120" a="1"/>
  <c r="U28" i="120" s="1"/>
  <c r="V28" i="120" s="1"/>
  <c r="U33" i="120" a="1"/>
  <c r="U33" i="120" s="1"/>
  <c r="V33" i="120" s="1"/>
  <c r="U30" i="120" a="1"/>
  <c r="U30" i="120" s="1"/>
  <c r="V30" i="120" s="1"/>
  <c r="U37" i="120" a="1"/>
  <c r="U37" i="120" s="1"/>
  <c r="V37" i="120" s="1"/>
  <c r="U32" i="120" a="1"/>
  <c r="U32" i="120" s="1"/>
  <c r="V32" i="120" s="1"/>
  <c r="U39" i="120" a="1"/>
  <c r="U39" i="120" s="1"/>
  <c r="V39" i="120" s="1"/>
  <c r="U36" i="120" a="1"/>
  <c r="U36" i="120" s="1"/>
  <c r="V36" i="120" s="1"/>
  <c r="U38" i="120" a="1"/>
  <c r="U38" i="120" s="1"/>
  <c r="V38" i="120" s="1"/>
  <c r="T20" i="119"/>
  <c r="O28" i="119"/>
  <c r="L37" i="119"/>
  <c r="F32" i="119"/>
  <c r="G32" i="119" s="1"/>
  <c r="K14" i="119"/>
  <c r="Z32" i="119"/>
  <c r="Y32" i="119"/>
  <c r="G28" i="119"/>
  <c r="E28" i="119"/>
  <c r="O32" i="119"/>
  <c r="E32" i="119"/>
  <c r="M19" i="119"/>
  <c r="R19" i="119"/>
  <c r="U19" i="119" s="1"/>
  <c r="L19" i="119"/>
  <c r="N19" i="119"/>
  <c r="M20" i="119"/>
  <c r="H21" i="119"/>
  <c r="C56" i="119" s="1"/>
  <c r="F21" i="119"/>
  <c r="H21" i="118"/>
  <c r="C56" i="118" s="1"/>
  <c r="F21" i="118"/>
  <c r="O28" i="118"/>
  <c r="T20" i="118"/>
  <c r="E28" i="118"/>
  <c r="L37" i="118"/>
  <c r="F32" i="118"/>
  <c r="G32" i="118" s="1"/>
  <c r="Z32" i="118"/>
  <c r="Y32" i="118"/>
  <c r="G28" i="118"/>
  <c r="K14" i="118"/>
  <c r="O32" i="118"/>
  <c r="E32" i="118"/>
  <c r="U31" i="118" a="1"/>
  <c r="U31" i="118" s="1"/>
  <c r="V31" i="118" s="1"/>
  <c r="U37" i="118" a="1"/>
  <c r="U37" i="118" s="1"/>
  <c r="V37" i="118" s="1"/>
  <c r="U35" i="118" a="1"/>
  <c r="U35" i="118" s="1"/>
  <c r="V35" i="118" s="1"/>
  <c r="U33" i="118" a="1"/>
  <c r="U33" i="118" s="1"/>
  <c r="V33" i="118" s="1"/>
  <c r="U30" i="118" a="1"/>
  <c r="U30" i="118" s="1"/>
  <c r="V30" i="118" s="1"/>
  <c r="U32" i="118" a="1"/>
  <c r="U32" i="118" s="1"/>
  <c r="V32" i="118" s="1"/>
  <c r="U28" i="118" a="1"/>
  <c r="U28" i="118" s="1"/>
  <c r="V28" i="118" s="1"/>
  <c r="U38" i="118" a="1"/>
  <c r="U38" i="118" s="1"/>
  <c r="V38" i="118" s="1"/>
  <c r="U39" i="118" a="1"/>
  <c r="U39" i="118" s="1"/>
  <c r="V39" i="118" s="1"/>
  <c r="U29" i="118" a="1"/>
  <c r="U29" i="118" s="1"/>
  <c r="V29" i="118" s="1"/>
  <c r="U36" i="118" a="1"/>
  <c r="U36" i="118" s="1"/>
  <c r="V36" i="118" s="1"/>
  <c r="R19" i="118"/>
  <c r="U19" i="118" s="1"/>
  <c r="M19" i="118"/>
  <c r="L19" i="118"/>
  <c r="N19" i="118"/>
  <c r="M20" i="118"/>
  <c r="F21" i="117"/>
  <c r="H21" i="117"/>
  <c r="C56" i="117" s="1"/>
  <c r="M19" i="117"/>
  <c r="R19" i="117"/>
  <c r="U19" i="117" s="1"/>
  <c r="L19" i="117"/>
  <c r="N19" i="117"/>
  <c r="M20" i="117"/>
  <c r="F32" i="117"/>
  <c r="G32" i="117" s="1"/>
  <c r="T20" i="117"/>
  <c r="O28" i="117"/>
  <c r="E28" i="117"/>
  <c r="Z32" i="117"/>
  <c r="Y32" i="117"/>
  <c r="G28" i="117"/>
  <c r="K14" i="117"/>
  <c r="L37" i="117"/>
  <c r="O32" i="117"/>
  <c r="E32" i="117"/>
  <c r="U32" i="117" a="1"/>
  <c r="U32" i="117" s="1"/>
  <c r="V32" i="117" s="1"/>
  <c r="U38" i="117" a="1"/>
  <c r="U38" i="117" s="1"/>
  <c r="V38" i="117" s="1"/>
  <c r="U37" i="117" a="1"/>
  <c r="U37" i="117" s="1"/>
  <c r="V37" i="117" s="1"/>
  <c r="U35" i="117" a="1"/>
  <c r="U35" i="117" s="1"/>
  <c r="V35" i="117" s="1"/>
  <c r="U29" i="117" a="1"/>
  <c r="U29" i="117" s="1"/>
  <c r="V29" i="117" s="1"/>
  <c r="U36" i="117" a="1"/>
  <c r="U36" i="117" s="1"/>
  <c r="V36" i="117" s="1"/>
  <c r="U28" i="117" a="1"/>
  <c r="U28" i="117" s="1"/>
  <c r="V28" i="117" s="1"/>
  <c r="U39" i="117" a="1"/>
  <c r="U39" i="117" s="1"/>
  <c r="V39" i="117" s="1"/>
  <c r="U33" i="117" a="1"/>
  <c r="U33" i="117" s="1"/>
  <c r="V33" i="117" s="1"/>
  <c r="U31" i="117" a="1"/>
  <c r="U31" i="117" s="1"/>
  <c r="V31" i="117" s="1"/>
  <c r="Y32" i="115"/>
  <c r="F32" i="115"/>
  <c r="G32" i="115" s="1"/>
  <c r="O28" i="115"/>
  <c r="Z32" i="115"/>
  <c r="K14" i="115"/>
  <c r="E28" i="115"/>
  <c r="L37" i="115"/>
  <c r="G28" i="115"/>
  <c r="T20" i="115"/>
  <c r="O32" i="115"/>
  <c r="E32" i="115"/>
  <c r="U31" i="115" a="1"/>
  <c r="U31" i="115" s="1"/>
  <c r="V31" i="115" s="1"/>
  <c r="M19" i="115"/>
  <c r="L19" i="115"/>
  <c r="R19" i="115"/>
  <c r="U19" i="115" s="1"/>
  <c r="N19" i="115"/>
  <c r="M20" i="115"/>
  <c r="F21" i="115"/>
  <c r="H21" i="115"/>
  <c r="C56" i="115" s="1"/>
  <c r="U39" i="115" s="1" a="1"/>
  <c r="U39" i="115" s="1"/>
  <c r="V39" i="115" s="1"/>
  <c r="M21" i="122" l="1"/>
  <c r="R21" i="122"/>
  <c r="U21" i="122" s="1"/>
  <c r="L21" i="122"/>
  <c r="N21" i="122"/>
  <c r="R14" i="121"/>
  <c r="U20" i="121" s="1"/>
  <c r="M14" i="121"/>
  <c r="L14" i="121"/>
  <c r="N14" i="121"/>
  <c r="M15" i="121"/>
  <c r="Y39" i="121"/>
  <c r="T21" i="121"/>
  <c r="L32" i="121"/>
  <c r="E35" i="121"/>
  <c r="G35" i="121"/>
  <c r="K21" i="121"/>
  <c r="Z39" i="121"/>
  <c r="O35" i="121"/>
  <c r="M14" i="120"/>
  <c r="R14" i="120"/>
  <c r="U20" i="120" s="1"/>
  <c r="L14" i="120"/>
  <c r="N14" i="120"/>
  <c r="M15" i="120"/>
  <c r="Y39" i="120"/>
  <c r="T21" i="120"/>
  <c r="L32" i="120"/>
  <c r="K21" i="120"/>
  <c r="O35" i="120"/>
  <c r="G35" i="120"/>
  <c r="E35" i="120"/>
  <c r="Z39" i="120"/>
  <c r="Y39" i="119"/>
  <c r="E35" i="119"/>
  <c r="T21" i="119"/>
  <c r="Z39" i="119"/>
  <c r="L32" i="119"/>
  <c r="O35" i="119"/>
  <c r="G35" i="119"/>
  <c r="K21" i="119"/>
  <c r="U30" i="119" a="1"/>
  <c r="U30" i="119" s="1"/>
  <c r="V30" i="119" s="1"/>
  <c r="U38" i="119" a="1"/>
  <c r="U38" i="119" s="1"/>
  <c r="V38" i="119" s="1"/>
  <c r="U35" i="119" a="1"/>
  <c r="U35" i="119" s="1"/>
  <c r="V35" i="119" s="1"/>
  <c r="U31" i="119" a="1"/>
  <c r="U31" i="119" s="1"/>
  <c r="V31" i="119" s="1"/>
  <c r="U36" i="119" a="1"/>
  <c r="U36" i="119" s="1"/>
  <c r="V36" i="119" s="1"/>
  <c r="U33" i="119" a="1"/>
  <c r="U33" i="119" s="1"/>
  <c r="V33" i="119" s="1"/>
  <c r="U39" i="119" a="1"/>
  <c r="U39" i="119" s="1"/>
  <c r="V39" i="119" s="1"/>
  <c r="U28" i="119" a="1"/>
  <c r="U28" i="119" s="1"/>
  <c r="V28" i="119" s="1"/>
  <c r="U32" i="119" a="1"/>
  <c r="U32" i="119" s="1"/>
  <c r="V32" i="119" s="1"/>
  <c r="R14" i="119"/>
  <c r="U20" i="119" s="1"/>
  <c r="M14" i="119"/>
  <c r="L14" i="119"/>
  <c r="N14" i="119"/>
  <c r="M15" i="119"/>
  <c r="U29" i="119" a="1"/>
  <c r="U29" i="119" s="1"/>
  <c r="V29" i="119" s="1"/>
  <c r="U37" i="119" a="1"/>
  <c r="U37" i="119" s="1"/>
  <c r="V37" i="119" s="1"/>
  <c r="M14" i="118"/>
  <c r="R14" i="118"/>
  <c r="U20" i="118" s="1"/>
  <c r="L14" i="118"/>
  <c r="N14" i="118"/>
  <c r="M15" i="118"/>
  <c r="Y39" i="118"/>
  <c r="Z39" i="118"/>
  <c r="T21" i="118"/>
  <c r="L32" i="118"/>
  <c r="O35" i="118"/>
  <c r="E35" i="118"/>
  <c r="G35" i="118"/>
  <c r="K21" i="118"/>
  <c r="Y39" i="117"/>
  <c r="O35" i="117"/>
  <c r="Z39" i="117"/>
  <c r="T21" i="117"/>
  <c r="L32" i="117"/>
  <c r="E35" i="117"/>
  <c r="G35" i="117"/>
  <c r="K21" i="117"/>
  <c r="U30" i="117" a="1"/>
  <c r="U30" i="117" s="1"/>
  <c r="V30" i="117" s="1"/>
  <c r="M14" i="117"/>
  <c r="R14" i="117"/>
  <c r="U20" i="117" s="1"/>
  <c r="L14" i="117"/>
  <c r="N14" i="117"/>
  <c r="M15" i="117"/>
  <c r="U32" i="115" a="1"/>
  <c r="U32" i="115" s="1"/>
  <c r="V32" i="115" s="1"/>
  <c r="U29" i="115" a="1"/>
  <c r="U29" i="115" s="1"/>
  <c r="V29" i="115" s="1"/>
  <c r="U28" i="115" a="1"/>
  <c r="U28" i="115" s="1"/>
  <c r="V28" i="115" s="1"/>
  <c r="U33" i="115" a="1"/>
  <c r="U33" i="115" s="1"/>
  <c r="V33" i="115" s="1"/>
  <c r="U30" i="115" a="1"/>
  <c r="U30" i="115" s="1"/>
  <c r="V30" i="115" s="1"/>
  <c r="U37" i="115" a="1"/>
  <c r="U37" i="115" s="1"/>
  <c r="V37" i="115" s="1"/>
  <c r="U38" i="115" a="1"/>
  <c r="U38" i="115" s="1"/>
  <c r="V38" i="115" s="1"/>
  <c r="M14" i="115"/>
  <c r="R14" i="115"/>
  <c r="U20" i="115" s="1"/>
  <c r="L14" i="115"/>
  <c r="N14" i="115"/>
  <c r="M15" i="115"/>
  <c r="U36" i="115" a="1"/>
  <c r="U36" i="115" s="1"/>
  <c r="V36" i="115" s="1"/>
  <c r="Y39" i="115"/>
  <c r="K21" i="115"/>
  <c r="O35" i="115"/>
  <c r="E35" i="115"/>
  <c r="L32" i="115"/>
  <c r="G35" i="115"/>
  <c r="Z39" i="115"/>
  <c r="T21" i="115"/>
  <c r="U35" i="115" a="1"/>
  <c r="U35" i="115" s="1"/>
  <c r="V35" i="115" s="1"/>
  <c r="R21" i="121" l="1"/>
  <c r="U21" i="121" s="1"/>
  <c r="M21" i="121"/>
  <c r="L21" i="121"/>
  <c r="N21" i="121"/>
  <c r="M21" i="120"/>
  <c r="R21" i="120"/>
  <c r="U21" i="120" s="1"/>
  <c r="L21" i="120"/>
  <c r="N21" i="120"/>
  <c r="R21" i="119"/>
  <c r="U21" i="119" s="1"/>
  <c r="M21" i="119"/>
  <c r="L21" i="119"/>
  <c r="N21" i="119"/>
  <c r="R21" i="118"/>
  <c r="U21" i="118" s="1"/>
  <c r="M21" i="118"/>
  <c r="L21" i="118"/>
  <c r="N21" i="118"/>
  <c r="M21" i="117"/>
  <c r="R21" i="117"/>
  <c r="U21" i="117" s="1"/>
  <c r="L21" i="117"/>
  <c r="N21" i="117"/>
  <c r="M21" i="115"/>
  <c r="R21" i="115"/>
  <c r="U21" i="115" s="1"/>
  <c r="L21" i="115"/>
  <c r="N21" i="115"/>
  <c r="G27" i="72" l="1"/>
  <c r="U35" i="80" l="1" a="1"/>
  <c r="U35" i="80" s="1"/>
  <c r="U36" i="80" a="1"/>
  <c r="U36" i="80" s="1"/>
  <c r="U37" i="80" a="1"/>
  <c r="U37" i="80"/>
  <c r="U38" i="80" a="1"/>
  <c r="U38" i="80" s="1"/>
  <c r="U39" i="80" a="1"/>
  <c r="U39" i="80" s="1"/>
  <c r="U40" i="80" a="1"/>
  <c r="U40" i="80"/>
  <c r="U41" i="80" a="1"/>
  <c r="U41" i="80"/>
  <c r="U42" i="80" a="1"/>
  <c r="U42" i="80" s="1"/>
  <c r="U43" i="80" a="1"/>
  <c r="U43" i="80" s="1"/>
  <c r="U44" i="80" a="1"/>
  <c r="U44" i="80"/>
  <c r="U45" i="80" a="1"/>
  <c r="U45" i="80" s="1"/>
  <c r="U46" i="80" a="1"/>
  <c r="U46" i="80" s="1"/>
  <c r="U34" i="80" a="1"/>
  <c r="U34" i="80" s="1"/>
  <c r="Y35" i="80"/>
  <c r="Z35" i="80"/>
  <c r="Y36" i="80"/>
  <c r="Z36" i="80"/>
  <c r="Y37" i="80"/>
  <c r="Z37" i="80"/>
  <c r="Y38" i="80"/>
  <c r="Z38" i="80"/>
  <c r="Y39" i="80"/>
  <c r="Z39" i="80"/>
  <c r="Y40" i="80"/>
  <c r="Z40" i="80"/>
  <c r="Y41" i="80"/>
  <c r="Z41" i="80"/>
  <c r="Y42" i="80"/>
  <c r="Z42" i="80"/>
  <c r="Y43" i="80"/>
  <c r="Z43" i="80"/>
  <c r="Y44" i="80"/>
  <c r="Z44" i="80"/>
  <c r="Y45" i="80"/>
  <c r="Z45" i="80"/>
  <c r="Y46" i="80"/>
  <c r="Z46" i="80"/>
  <c r="Z34" i="80"/>
  <c r="Y34" i="80"/>
  <c r="Y29" i="59"/>
  <c r="Z29" i="59"/>
  <c r="Y30" i="59"/>
  <c r="Z30" i="59"/>
  <c r="Y31" i="59"/>
  <c r="Z31" i="59"/>
  <c r="Y32" i="59"/>
  <c r="Z32" i="59"/>
  <c r="Y33" i="59"/>
  <c r="Z33" i="59"/>
  <c r="Y34" i="59"/>
  <c r="Z34" i="59"/>
  <c r="Y35" i="59"/>
  <c r="Z35" i="59"/>
  <c r="Y36" i="59"/>
  <c r="Z36" i="59"/>
  <c r="Y37" i="59"/>
  <c r="Z37" i="59"/>
  <c r="Y38" i="59"/>
  <c r="Z38" i="59"/>
  <c r="Y39" i="59"/>
  <c r="Z39" i="59"/>
  <c r="Y40" i="59"/>
  <c r="Z40" i="59"/>
  <c r="Y29" i="102"/>
  <c r="Z29" i="102"/>
  <c r="Y30" i="102"/>
  <c r="Z30" i="102"/>
  <c r="Y31" i="102"/>
  <c r="Z31" i="102"/>
  <c r="Y32" i="102"/>
  <c r="Z32" i="102"/>
  <c r="Y33" i="102"/>
  <c r="Z33" i="102"/>
  <c r="Y34" i="102"/>
  <c r="Z34" i="102"/>
  <c r="Y35" i="102"/>
  <c r="Z35" i="102"/>
  <c r="Y36" i="102"/>
  <c r="Z36" i="102"/>
  <c r="Y37" i="102"/>
  <c r="Z37" i="102"/>
  <c r="Y38" i="102"/>
  <c r="Z38" i="102"/>
  <c r="Y39" i="102"/>
  <c r="Z39" i="102"/>
  <c r="Y40" i="102"/>
  <c r="Z40" i="102"/>
  <c r="Y29" i="103"/>
  <c r="Z29" i="103"/>
  <c r="Y30" i="103"/>
  <c r="Z30" i="103"/>
  <c r="Y31" i="103"/>
  <c r="Z31" i="103"/>
  <c r="Y32" i="103"/>
  <c r="Z32" i="103"/>
  <c r="Y33" i="103"/>
  <c r="Z33" i="103"/>
  <c r="Y34" i="103"/>
  <c r="Z34" i="103"/>
  <c r="Y35" i="103"/>
  <c r="Z35" i="103"/>
  <c r="Y36" i="103"/>
  <c r="Z36" i="103"/>
  <c r="Y37" i="103"/>
  <c r="Z37" i="103"/>
  <c r="Y38" i="103"/>
  <c r="Z38" i="103"/>
  <c r="Y39" i="103"/>
  <c r="Z39" i="103"/>
  <c r="Y40" i="103"/>
  <c r="Z40" i="103"/>
  <c r="Y29" i="58"/>
  <c r="Z29" i="58"/>
  <c r="Y30" i="58"/>
  <c r="Z30" i="58"/>
  <c r="Y31" i="58"/>
  <c r="Z31" i="58"/>
  <c r="Y32" i="58"/>
  <c r="Z32" i="58"/>
  <c r="Y33" i="58"/>
  <c r="Z33" i="58"/>
  <c r="Y34" i="58"/>
  <c r="Z34" i="58"/>
  <c r="Y35" i="58"/>
  <c r="Z35" i="58"/>
  <c r="Y36" i="58"/>
  <c r="Z36" i="58"/>
  <c r="Y37" i="58"/>
  <c r="Z37" i="58"/>
  <c r="Y38" i="58"/>
  <c r="Z38" i="58"/>
  <c r="Y39" i="58"/>
  <c r="Z39" i="58"/>
  <c r="Y40" i="58"/>
  <c r="Z40" i="58"/>
  <c r="Y29" i="57"/>
  <c r="Z29" i="57"/>
  <c r="Y30" i="57"/>
  <c r="Z30" i="57"/>
  <c r="Y31" i="57"/>
  <c r="Z31" i="57"/>
  <c r="Y32" i="57"/>
  <c r="Z32" i="57"/>
  <c r="Y33" i="57"/>
  <c r="Z33" i="57"/>
  <c r="Y34" i="57"/>
  <c r="Z34" i="57"/>
  <c r="Y35" i="57"/>
  <c r="Z35" i="57"/>
  <c r="Y36" i="57"/>
  <c r="Z36" i="57"/>
  <c r="Y37" i="57"/>
  <c r="Z37" i="57"/>
  <c r="Y38" i="57"/>
  <c r="Z38" i="57"/>
  <c r="Y39" i="57"/>
  <c r="Z39" i="57"/>
  <c r="Y40" i="57"/>
  <c r="Z40" i="57"/>
  <c r="Y29" i="56"/>
  <c r="Z29" i="56"/>
  <c r="Y30" i="56"/>
  <c r="Z30" i="56"/>
  <c r="Y31" i="56"/>
  <c r="Z31" i="56"/>
  <c r="Y32" i="56"/>
  <c r="Z32" i="56"/>
  <c r="Y33" i="56"/>
  <c r="Z33" i="56"/>
  <c r="Y34" i="56"/>
  <c r="Z34" i="56"/>
  <c r="Y35" i="56"/>
  <c r="Z35" i="56"/>
  <c r="Y36" i="56"/>
  <c r="Z36" i="56"/>
  <c r="Y37" i="56"/>
  <c r="Z37" i="56"/>
  <c r="Y38" i="56"/>
  <c r="Z38" i="56"/>
  <c r="Y39" i="56"/>
  <c r="Z39" i="56"/>
  <c r="Y40" i="56"/>
  <c r="Z40" i="56"/>
  <c r="Y29" i="53"/>
  <c r="Z29" i="53"/>
  <c r="Y30" i="53"/>
  <c r="Z30" i="53"/>
  <c r="Y31" i="53"/>
  <c r="Z31" i="53"/>
  <c r="Y32" i="53"/>
  <c r="Z32" i="53"/>
  <c r="Y33" i="53"/>
  <c r="Z33" i="53"/>
  <c r="Y34" i="53"/>
  <c r="Z34" i="53"/>
  <c r="Y35" i="53"/>
  <c r="Z35" i="53"/>
  <c r="Y36" i="53"/>
  <c r="Z36" i="53"/>
  <c r="Y37" i="53"/>
  <c r="Z37" i="53"/>
  <c r="Y38" i="53"/>
  <c r="Z38" i="53"/>
  <c r="Y39" i="53"/>
  <c r="Z39" i="53"/>
  <c r="Y40" i="53"/>
  <c r="Z40" i="53"/>
  <c r="Y29" i="51"/>
  <c r="Z29" i="51"/>
  <c r="Y30" i="51"/>
  <c r="Z30" i="51"/>
  <c r="Y31" i="51"/>
  <c r="Z31" i="51"/>
  <c r="Y32" i="51"/>
  <c r="Z32" i="51"/>
  <c r="Y33" i="51"/>
  <c r="Z33" i="51"/>
  <c r="Y34" i="51"/>
  <c r="Z34" i="51"/>
  <c r="Y35" i="51"/>
  <c r="Z35" i="51"/>
  <c r="Y36" i="51"/>
  <c r="Z36" i="51"/>
  <c r="Y37" i="51"/>
  <c r="Z37" i="51"/>
  <c r="Y38" i="51"/>
  <c r="Z38" i="51"/>
  <c r="Y39" i="51"/>
  <c r="Z39" i="51"/>
  <c r="Y40" i="51"/>
  <c r="Z40" i="51"/>
  <c r="Y29" i="50"/>
  <c r="Z29" i="50"/>
  <c r="Y30" i="50"/>
  <c r="Z30" i="50"/>
  <c r="Y31" i="50"/>
  <c r="Z31" i="50"/>
  <c r="Y32" i="50"/>
  <c r="Z32" i="50"/>
  <c r="Y33" i="50"/>
  <c r="Z33" i="50"/>
  <c r="Y34" i="50"/>
  <c r="Z34" i="50"/>
  <c r="Y35" i="50"/>
  <c r="Z35" i="50"/>
  <c r="Y36" i="50"/>
  <c r="Z36" i="50"/>
  <c r="Y37" i="50"/>
  <c r="Z37" i="50"/>
  <c r="Y38" i="50"/>
  <c r="Z38" i="50"/>
  <c r="Y39" i="50"/>
  <c r="Z39" i="50"/>
  <c r="Y40" i="50"/>
  <c r="Z40" i="50"/>
  <c r="Z28" i="59"/>
  <c r="Z28" i="102"/>
  <c r="Z28" i="103"/>
  <c r="Z28" i="58"/>
  <c r="Z28" i="57"/>
  <c r="Z28" i="56"/>
  <c r="Z28" i="53"/>
  <c r="Z28" i="51"/>
  <c r="Z28" i="50"/>
  <c r="Y28" i="59"/>
  <c r="Y28" i="102"/>
  <c r="Y28" i="103"/>
  <c r="Y28" i="58"/>
  <c r="Y28" i="57"/>
  <c r="Y28" i="56"/>
  <c r="Y28" i="53"/>
  <c r="Y28" i="51"/>
  <c r="Y28" i="50"/>
  <c r="Y29" i="72"/>
  <c r="Z29" i="72"/>
  <c r="Y30" i="72"/>
  <c r="Z30" i="72"/>
  <c r="Y31" i="72"/>
  <c r="Z31" i="72"/>
  <c r="Y32" i="72"/>
  <c r="Z32" i="72"/>
  <c r="Y33" i="72"/>
  <c r="Z33" i="72"/>
  <c r="Y34" i="72"/>
  <c r="Z34" i="72"/>
  <c r="Y35" i="72"/>
  <c r="Z35" i="72"/>
  <c r="Y36" i="72"/>
  <c r="Z36" i="72"/>
  <c r="Y37" i="72"/>
  <c r="Z37" i="72"/>
  <c r="Y38" i="72"/>
  <c r="Z38" i="72"/>
  <c r="Y39" i="72"/>
  <c r="Z39" i="72"/>
  <c r="Y40" i="72"/>
  <c r="Z40" i="72"/>
  <c r="Z28" i="72"/>
  <c r="Y28" i="72"/>
  <c r="L29" i="72"/>
  <c r="L30" i="72"/>
  <c r="L31" i="72"/>
  <c r="L32" i="72"/>
  <c r="L33" i="72"/>
  <c r="L34" i="72"/>
  <c r="L35" i="72"/>
  <c r="L36" i="72"/>
  <c r="L37" i="72"/>
  <c r="L38" i="72"/>
  <c r="L39" i="72"/>
  <c r="L28" i="72"/>
  <c r="L35" i="80"/>
  <c r="L36" i="80"/>
  <c r="L37" i="80"/>
  <c r="L40" i="80"/>
  <c r="L41" i="80"/>
  <c r="L42" i="80"/>
  <c r="L43" i="80"/>
  <c r="L44" i="80"/>
  <c r="L34" i="80"/>
  <c r="L29" i="59"/>
  <c r="L30" i="59"/>
  <c r="L31" i="59"/>
  <c r="L32" i="59"/>
  <c r="L33" i="59"/>
  <c r="L34" i="59"/>
  <c r="L35" i="59"/>
  <c r="L36" i="59"/>
  <c r="L37" i="59"/>
  <c r="L38" i="59"/>
  <c r="L39" i="59"/>
  <c r="L29" i="102"/>
  <c r="L30" i="102"/>
  <c r="L31" i="102"/>
  <c r="L32" i="102"/>
  <c r="L33" i="102"/>
  <c r="L34" i="102"/>
  <c r="L35" i="102"/>
  <c r="L36" i="102"/>
  <c r="L37" i="102"/>
  <c r="L38" i="102"/>
  <c r="L39" i="102"/>
  <c r="L29" i="103"/>
  <c r="L30" i="103"/>
  <c r="L31" i="103"/>
  <c r="L32" i="103"/>
  <c r="L33" i="103"/>
  <c r="L34" i="103"/>
  <c r="L35" i="103"/>
  <c r="L36" i="103"/>
  <c r="L37" i="103"/>
  <c r="L38" i="103"/>
  <c r="L39" i="103"/>
  <c r="L29" i="58"/>
  <c r="L30" i="58"/>
  <c r="L31" i="58"/>
  <c r="L32" i="58"/>
  <c r="L33" i="58"/>
  <c r="L34" i="58"/>
  <c r="L35" i="58"/>
  <c r="L36" i="58"/>
  <c r="L37" i="58"/>
  <c r="L38" i="58"/>
  <c r="L39" i="58"/>
  <c r="L29" i="57"/>
  <c r="L30" i="57"/>
  <c r="L31" i="57"/>
  <c r="L32" i="57"/>
  <c r="L33" i="57"/>
  <c r="L34" i="57"/>
  <c r="L35" i="57"/>
  <c r="L36" i="57"/>
  <c r="L37" i="57"/>
  <c r="L38" i="57"/>
  <c r="L39" i="57"/>
  <c r="L29" i="56"/>
  <c r="L30" i="56"/>
  <c r="L31" i="56"/>
  <c r="L32" i="56"/>
  <c r="L33" i="56"/>
  <c r="L34" i="56"/>
  <c r="L35" i="56"/>
  <c r="L36" i="56"/>
  <c r="L37" i="56"/>
  <c r="L38" i="56"/>
  <c r="L39" i="56"/>
  <c r="L29" i="53"/>
  <c r="L30" i="53"/>
  <c r="L31" i="53"/>
  <c r="L32" i="53"/>
  <c r="L33" i="53"/>
  <c r="L34" i="53"/>
  <c r="L35" i="53"/>
  <c r="L36" i="53"/>
  <c r="L37" i="53"/>
  <c r="L38" i="53"/>
  <c r="L39" i="53"/>
  <c r="L29" i="51"/>
  <c r="L30" i="51"/>
  <c r="L31" i="51"/>
  <c r="L32" i="51"/>
  <c r="L33" i="51"/>
  <c r="L34" i="51"/>
  <c r="L35" i="51"/>
  <c r="L36" i="51"/>
  <c r="L37" i="51"/>
  <c r="L38" i="51"/>
  <c r="L39" i="51"/>
  <c r="L29" i="50"/>
  <c r="L30" i="50"/>
  <c r="L31" i="50"/>
  <c r="L32" i="50"/>
  <c r="L33" i="50"/>
  <c r="L34" i="50"/>
  <c r="L35" i="50"/>
  <c r="L36" i="50"/>
  <c r="L37" i="50"/>
  <c r="L38" i="50"/>
  <c r="L39" i="50"/>
  <c r="L28" i="59"/>
  <c r="L28" i="102"/>
  <c r="L28" i="103"/>
  <c r="L28" i="58"/>
  <c r="L28" i="57"/>
  <c r="L28" i="56"/>
  <c r="L28" i="53"/>
  <c r="L28" i="51"/>
  <c r="L28" i="50"/>
  <c r="E27" i="103" a="1"/>
  <c r="E27" i="103" s="1"/>
  <c r="E26" i="103"/>
  <c r="S22" i="103"/>
  <c r="P22" i="103"/>
  <c r="S21" i="103"/>
  <c r="P21" i="103"/>
  <c r="S20" i="103"/>
  <c r="P20" i="103"/>
  <c r="S19" i="103"/>
  <c r="P19" i="103"/>
  <c r="S18" i="103"/>
  <c r="P18" i="103"/>
  <c r="S17" i="103"/>
  <c r="P17" i="103"/>
  <c r="S16" i="103"/>
  <c r="P16" i="103"/>
  <c r="S15" i="103"/>
  <c r="P15" i="103"/>
  <c r="S14" i="103"/>
  <c r="P14" i="103"/>
  <c r="S13" i="103"/>
  <c r="P13" i="103"/>
  <c r="S12" i="103"/>
  <c r="P12" i="103"/>
  <c r="S11" i="103"/>
  <c r="P11" i="103"/>
  <c r="D11" i="103"/>
  <c r="D12" i="103" s="1"/>
  <c r="D13" i="103" s="1"/>
  <c r="D14" i="103" s="1"/>
  <c r="D15" i="103" s="1"/>
  <c r="D16" i="103" s="1"/>
  <c r="D17" i="103" s="1"/>
  <c r="D18" i="103" s="1"/>
  <c r="D19" i="103" s="1"/>
  <c r="D20" i="103" s="1"/>
  <c r="D21" i="103" s="1"/>
  <c r="D22" i="103" s="1"/>
  <c r="S10" i="103"/>
  <c r="P10" i="103"/>
  <c r="D10" i="103"/>
  <c r="D9" i="103"/>
  <c r="C9" i="103"/>
  <c r="E3" i="103"/>
  <c r="F3" i="103" s="1"/>
  <c r="J2" i="103"/>
  <c r="F2" i="103"/>
  <c r="G27" i="103" s="1"/>
  <c r="E2" i="103"/>
  <c r="G27" i="102"/>
  <c r="E27" i="102" a="1"/>
  <c r="E27" i="102" s="1"/>
  <c r="E26" i="102"/>
  <c r="S22" i="102"/>
  <c r="P22" i="102"/>
  <c r="S21" i="102"/>
  <c r="P21" i="102"/>
  <c r="S20" i="102"/>
  <c r="P20" i="102"/>
  <c r="S19" i="102"/>
  <c r="P19" i="102"/>
  <c r="S18" i="102"/>
  <c r="P18" i="102"/>
  <c r="S17" i="102"/>
  <c r="P17" i="102"/>
  <c r="S16" i="102"/>
  <c r="P16" i="102"/>
  <c r="S15" i="102"/>
  <c r="P15" i="102"/>
  <c r="S14" i="102"/>
  <c r="P14" i="102"/>
  <c r="S13" i="102"/>
  <c r="P13" i="102"/>
  <c r="S12" i="102"/>
  <c r="P12" i="102"/>
  <c r="S11" i="102"/>
  <c r="P11" i="102"/>
  <c r="S10" i="102"/>
  <c r="P10" i="102"/>
  <c r="D10" i="102"/>
  <c r="D11" i="102" s="1"/>
  <c r="D12" i="102" s="1"/>
  <c r="D13" i="102" s="1"/>
  <c r="D14" i="102" s="1"/>
  <c r="D15" i="102" s="1"/>
  <c r="D16" i="102" s="1"/>
  <c r="D17" i="102" s="1"/>
  <c r="D18" i="102" s="1"/>
  <c r="D19" i="102" s="1"/>
  <c r="D20" i="102" s="1"/>
  <c r="D21" i="102" s="1"/>
  <c r="D22" i="102" s="1"/>
  <c r="D9" i="102"/>
  <c r="C9" i="102"/>
  <c r="E3" i="102"/>
  <c r="F3" i="102" s="1"/>
  <c r="K2" i="102" s="1"/>
  <c r="E10" i="102" s="1"/>
  <c r="J2" i="102"/>
  <c r="F2" i="102"/>
  <c r="E2" i="102"/>
  <c r="K2" i="103" l="1"/>
  <c r="E10" i="103" s="1"/>
  <c r="R33" i="102"/>
  <c r="T33" i="102" s="1"/>
  <c r="R37" i="102"/>
  <c r="T37" i="102" s="1"/>
  <c r="R31" i="102"/>
  <c r="T31" i="102" s="1"/>
  <c r="R36" i="102"/>
  <c r="T36" i="102" s="1"/>
  <c r="R29" i="102"/>
  <c r="T29" i="102" s="1"/>
  <c r="R34" i="102"/>
  <c r="T34" i="102" s="1"/>
  <c r="R28" i="102"/>
  <c r="T28" i="102" s="1"/>
  <c r="R40" i="102"/>
  <c r="T40" i="102" s="1"/>
  <c r="R35" i="102"/>
  <c r="T35" i="102" s="1"/>
  <c r="Q10" i="102"/>
  <c r="Q11" i="102" s="1"/>
  <c r="Q12" i="102" s="1"/>
  <c r="Q13" i="102" s="1"/>
  <c r="Q14" i="102" s="1"/>
  <c r="Q15" i="102" s="1"/>
  <c r="Q16" i="102" s="1"/>
  <c r="Q17" i="102" s="1"/>
  <c r="Q18" i="102" s="1"/>
  <c r="Q19" i="102" s="1"/>
  <c r="Q20" i="102" s="1"/>
  <c r="Q21" i="102" s="1"/>
  <c r="Q22" i="102" s="1"/>
  <c r="R32" i="102"/>
  <c r="T32" i="102" s="1"/>
  <c r="R30" i="102"/>
  <c r="T30" i="102" s="1"/>
  <c r="E11" i="102"/>
  <c r="H10" i="102"/>
  <c r="C45" i="102" s="1"/>
  <c r="R38" i="102"/>
  <c r="T38" i="102" s="1"/>
  <c r="R39" i="102"/>
  <c r="T39" i="102" s="1"/>
  <c r="R33" i="103" l="1"/>
  <c r="T33" i="103" s="1"/>
  <c r="R35" i="103"/>
  <c r="T35" i="103" s="1"/>
  <c r="R29" i="103"/>
  <c r="T29" i="103" s="1"/>
  <c r="R40" i="103"/>
  <c r="T40" i="103" s="1"/>
  <c r="R38" i="103"/>
  <c r="T38" i="103" s="1"/>
  <c r="R32" i="103"/>
  <c r="T32" i="103" s="1"/>
  <c r="R34" i="103"/>
  <c r="T34" i="103" s="1"/>
  <c r="R31" i="103"/>
  <c r="T31" i="103" s="1"/>
  <c r="R39" i="103"/>
  <c r="T39" i="103" s="1"/>
  <c r="E11" i="103"/>
  <c r="R28" i="103"/>
  <c r="T28" i="103" s="1"/>
  <c r="Q10" i="103"/>
  <c r="Q11" i="103" s="1"/>
  <c r="Q12" i="103" s="1"/>
  <c r="Q13" i="103" s="1"/>
  <c r="Q14" i="103" s="1"/>
  <c r="Q15" i="103" s="1"/>
  <c r="Q16" i="103" s="1"/>
  <c r="Q17" i="103" s="1"/>
  <c r="Q18" i="103" s="1"/>
  <c r="Q19" i="103" s="1"/>
  <c r="Q20" i="103" s="1"/>
  <c r="Q21" i="103" s="1"/>
  <c r="Q22" i="103" s="1"/>
  <c r="R36" i="103"/>
  <c r="T36" i="103" s="1"/>
  <c r="R37" i="103"/>
  <c r="T37" i="103" s="1"/>
  <c r="R30" i="103"/>
  <c r="T30" i="103" s="1"/>
  <c r="H10" i="103"/>
  <c r="C45" i="103" s="1"/>
  <c r="K10" i="102"/>
  <c r="U35" i="102" a="1"/>
  <c r="U35" i="102" s="1"/>
  <c r="V35" i="102" s="1"/>
  <c r="U28" i="102" a="1"/>
  <c r="U28" i="102" s="1"/>
  <c r="V28" i="102" s="1"/>
  <c r="F28" i="102"/>
  <c r="H11" i="102"/>
  <c r="C52" i="102" s="1"/>
  <c r="F11" i="102"/>
  <c r="E12" i="102"/>
  <c r="T10" i="102"/>
  <c r="E12" i="103" l="1"/>
  <c r="F11" i="103"/>
  <c r="H11" i="103"/>
  <c r="C52" i="103" s="1"/>
  <c r="K10" i="103"/>
  <c r="T10" i="103"/>
  <c r="U35" i="103" a="1"/>
  <c r="U35" i="103" s="1"/>
  <c r="V35" i="103" s="1"/>
  <c r="U28" i="103" a="1"/>
  <c r="U28" i="103" s="1"/>
  <c r="V28" i="103" s="1"/>
  <c r="F28" i="103"/>
  <c r="E13" i="102"/>
  <c r="F12" i="102"/>
  <c r="H12" i="102"/>
  <c r="C47" i="102" s="1"/>
  <c r="F35" i="102"/>
  <c r="K17" i="102"/>
  <c r="N17" i="102" s="1"/>
  <c r="T11" i="102"/>
  <c r="L10" i="102"/>
  <c r="R10" i="102"/>
  <c r="U10" i="102" s="1"/>
  <c r="T11" i="103" l="1"/>
  <c r="F35" i="103"/>
  <c r="K17" i="103"/>
  <c r="H12" i="103"/>
  <c r="C47" i="103" s="1"/>
  <c r="F12" i="103"/>
  <c r="E13" i="103"/>
  <c r="L10" i="103"/>
  <c r="R10" i="103"/>
  <c r="U10" i="103" s="1"/>
  <c r="R17" i="102"/>
  <c r="U11" i="102" s="1"/>
  <c r="L17" i="102"/>
  <c r="K12" i="102"/>
  <c r="F30" i="102"/>
  <c r="T12" i="102"/>
  <c r="H13" i="102"/>
  <c r="C54" i="102" s="1"/>
  <c r="E14" i="102"/>
  <c r="F13" i="102"/>
  <c r="H13" i="103" l="1"/>
  <c r="C54" i="103" s="1"/>
  <c r="F13" i="103"/>
  <c r="E14" i="103"/>
  <c r="T12" i="103"/>
  <c r="F30" i="103"/>
  <c r="K12" i="103"/>
  <c r="R17" i="103"/>
  <c r="U11" i="103" s="1"/>
  <c r="L17" i="103"/>
  <c r="N17" i="103"/>
  <c r="H14" i="102"/>
  <c r="C49" i="102" s="1"/>
  <c r="F14" i="102"/>
  <c r="E15" i="102"/>
  <c r="R12" i="102"/>
  <c r="U12" i="102" s="1"/>
  <c r="L12" i="102"/>
  <c r="N12" i="102"/>
  <c r="K19" i="102"/>
  <c r="F37" i="102"/>
  <c r="T13" i="102"/>
  <c r="R12" i="103" l="1"/>
  <c r="U12" i="103" s="1"/>
  <c r="L12" i="103"/>
  <c r="N12" i="103"/>
  <c r="E15" i="103"/>
  <c r="F14" i="103"/>
  <c r="H14" i="103"/>
  <c r="C49" i="103" s="1"/>
  <c r="T13" i="103"/>
  <c r="K19" i="103"/>
  <c r="F37" i="103"/>
  <c r="R19" i="102"/>
  <c r="U13" i="102" s="1"/>
  <c r="L19" i="102"/>
  <c r="N19" i="102"/>
  <c r="E16" i="102"/>
  <c r="F15" i="102"/>
  <c r="H15" i="102"/>
  <c r="C56" i="102" s="1"/>
  <c r="O28" i="102"/>
  <c r="K14" i="102"/>
  <c r="F32" i="102"/>
  <c r="G28" i="102"/>
  <c r="E28" i="102"/>
  <c r="T14" i="102"/>
  <c r="R19" i="103" l="1"/>
  <c r="U13" i="103" s="1"/>
  <c r="L19" i="103"/>
  <c r="N19" i="103"/>
  <c r="T14" i="103"/>
  <c r="G28" i="103"/>
  <c r="F32" i="103"/>
  <c r="O28" i="103"/>
  <c r="E28" i="103"/>
  <c r="K14" i="103"/>
  <c r="E16" i="103"/>
  <c r="F15" i="103"/>
  <c r="H15" i="103"/>
  <c r="C56" i="103" s="1"/>
  <c r="L14" i="102"/>
  <c r="R14" i="102"/>
  <c r="U14" i="102" s="1"/>
  <c r="N14" i="102"/>
  <c r="H16" i="102"/>
  <c r="C51" i="102" s="1"/>
  <c r="E17" i="102"/>
  <c r="F16" i="102"/>
  <c r="O35" i="102"/>
  <c r="F39" i="102"/>
  <c r="K21" i="102"/>
  <c r="E35" i="102"/>
  <c r="G35" i="102"/>
  <c r="T15" i="102"/>
  <c r="R14" i="103" l="1"/>
  <c r="U14" i="103" s="1"/>
  <c r="L14" i="103"/>
  <c r="N14" i="103"/>
  <c r="T15" i="103"/>
  <c r="G35" i="103"/>
  <c r="F39" i="103"/>
  <c r="O35" i="103"/>
  <c r="E35" i="103"/>
  <c r="K21" i="103"/>
  <c r="F16" i="103"/>
  <c r="E17" i="103"/>
  <c r="H16" i="103"/>
  <c r="C51" i="103" s="1"/>
  <c r="O30" i="102"/>
  <c r="G30" i="102"/>
  <c r="F34" i="102"/>
  <c r="K16" i="102"/>
  <c r="E30" i="102"/>
  <c r="T16" i="102"/>
  <c r="L21" i="102"/>
  <c r="R21" i="102"/>
  <c r="U15" i="102" s="1"/>
  <c r="N21" i="102"/>
  <c r="F17" i="102"/>
  <c r="H17" i="102"/>
  <c r="C46" i="102" s="1"/>
  <c r="E18" i="102"/>
  <c r="R21" i="103" l="1"/>
  <c r="U15" i="103" s="1"/>
  <c r="L21" i="103"/>
  <c r="N21" i="103"/>
  <c r="T16" i="103"/>
  <c r="G30" i="103"/>
  <c r="F34" i="103"/>
  <c r="E30" i="103"/>
  <c r="O30" i="103"/>
  <c r="K16" i="103"/>
  <c r="F17" i="103"/>
  <c r="E18" i="103"/>
  <c r="H17" i="103"/>
  <c r="C46" i="103" s="1"/>
  <c r="R16" i="102"/>
  <c r="U16" i="102" s="1"/>
  <c r="L16" i="102"/>
  <c r="N16" i="102"/>
  <c r="M17" i="102"/>
  <c r="F18" i="102"/>
  <c r="E19" i="102"/>
  <c r="H18" i="102"/>
  <c r="C53" i="102" s="1"/>
  <c r="G37" i="102"/>
  <c r="O37" i="102"/>
  <c r="K11" i="102"/>
  <c r="E37" i="102"/>
  <c r="F29" i="102"/>
  <c r="T17" i="102"/>
  <c r="R16" i="103" l="1"/>
  <c r="U16" i="103" s="1"/>
  <c r="L16" i="103"/>
  <c r="N16" i="103"/>
  <c r="M17" i="103"/>
  <c r="T17" i="103"/>
  <c r="E37" i="103"/>
  <c r="F29" i="103"/>
  <c r="O37" i="103"/>
  <c r="K11" i="103"/>
  <c r="G37" i="103"/>
  <c r="H18" i="103"/>
  <c r="C53" i="103" s="1"/>
  <c r="F18" i="103"/>
  <c r="E19" i="103"/>
  <c r="R11" i="102"/>
  <c r="U17" i="102" s="1"/>
  <c r="M11" i="102"/>
  <c r="L11" i="102"/>
  <c r="N11" i="102"/>
  <c r="M12" i="102"/>
  <c r="F36" i="102"/>
  <c r="G32" i="102"/>
  <c r="K18" i="102"/>
  <c r="E32" i="102"/>
  <c r="O32" i="102"/>
  <c r="T18" i="102"/>
  <c r="H19" i="102"/>
  <c r="C48" i="102" s="1"/>
  <c r="E20" i="102"/>
  <c r="F19" i="102"/>
  <c r="E20" i="103" l="1"/>
  <c r="F19" i="103"/>
  <c r="H19" i="103"/>
  <c r="C48" i="103" s="1"/>
  <c r="M11" i="103"/>
  <c r="R11" i="103"/>
  <c r="U17" i="103" s="1"/>
  <c r="L11" i="103"/>
  <c r="N11" i="103"/>
  <c r="M12" i="103"/>
  <c r="F36" i="103"/>
  <c r="O32" i="103"/>
  <c r="G32" i="103"/>
  <c r="T18" i="103"/>
  <c r="E32" i="103"/>
  <c r="K18" i="103"/>
  <c r="M18" i="102"/>
  <c r="R18" i="102"/>
  <c r="U18" i="102" s="1"/>
  <c r="L18" i="102"/>
  <c r="N18" i="102"/>
  <c r="M19" i="102"/>
  <c r="H20" i="102"/>
  <c r="C55" i="102" s="1"/>
  <c r="F20" i="102"/>
  <c r="E21" i="102"/>
  <c r="F31" i="102"/>
  <c r="G31" i="102" s="1"/>
  <c r="K13" i="102"/>
  <c r="G39" i="102"/>
  <c r="E39" i="102"/>
  <c r="O39" i="102"/>
  <c r="T19" i="102"/>
  <c r="E31" i="102"/>
  <c r="O31" i="102"/>
  <c r="R18" i="103" l="1"/>
  <c r="U18" i="103" s="1"/>
  <c r="M18" i="103"/>
  <c r="L18" i="103"/>
  <c r="N18" i="103"/>
  <c r="M19" i="103"/>
  <c r="F31" i="103"/>
  <c r="G31" i="103" s="1"/>
  <c r="G39" i="103"/>
  <c r="T19" i="103"/>
  <c r="O39" i="103"/>
  <c r="E39" i="103"/>
  <c r="K13" i="103"/>
  <c r="E31" i="103"/>
  <c r="O31" i="103"/>
  <c r="H20" i="103"/>
  <c r="C55" i="103" s="1"/>
  <c r="F20" i="103"/>
  <c r="E21" i="103"/>
  <c r="M13" i="102"/>
  <c r="R13" i="102"/>
  <c r="U19" i="102" s="1"/>
  <c r="L13" i="102"/>
  <c r="N13" i="102"/>
  <c r="M14" i="102"/>
  <c r="F38" i="102"/>
  <c r="G38" i="102" s="1"/>
  <c r="E34" i="102"/>
  <c r="G34" i="102"/>
  <c r="O34" i="102"/>
  <c r="K20" i="102"/>
  <c r="T20" i="102"/>
  <c r="O38" i="102"/>
  <c r="E38" i="102"/>
  <c r="F21" i="102"/>
  <c r="E22" i="102"/>
  <c r="H21" i="102"/>
  <c r="C50" i="102" s="1"/>
  <c r="F38" i="103" l="1"/>
  <c r="G38" i="103" s="1"/>
  <c r="G34" i="103"/>
  <c r="T20" i="103"/>
  <c r="O34" i="103"/>
  <c r="E34" i="103"/>
  <c r="K20" i="103"/>
  <c r="E38" i="103"/>
  <c r="O38" i="103"/>
  <c r="M13" i="103"/>
  <c r="R13" i="103"/>
  <c r="U19" i="103" s="1"/>
  <c r="L13" i="103"/>
  <c r="N13" i="103"/>
  <c r="M14" i="103"/>
  <c r="H21" i="103"/>
  <c r="C50" i="103" s="1"/>
  <c r="F21" i="103"/>
  <c r="E22" i="103"/>
  <c r="H22" i="102"/>
  <c r="C57" i="102" s="1"/>
  <c r="U33" i="102" s="1" a="1"/>
  <c r="U33" i="102" s="1"/>
  <c r="V33" i="102" s="1"/>
  <c r="F22" i="102"/>
  <c r="F33" i="102"/>
  <c r="G33" i="102" s="1"/>
  <c r="E29" i="102"/>
  <c r="G29" i="102"/>
  <c r="O29" i="102"/>
  <c r="K15" i="102"/>
  <c r="T21" i="102"/>
  <c r="E33" i="102"/>
  <c r="O33" i="102"/>
  <c r="U30" i="102" a="1"/>
  <c r="U30" i="102" s="1"/>
  <c r="V30" i="102" s="1"/>
  <c r="U32" i="102" a="1"/>
  <c r="U32" i="102" s="1"/>
  <c r="V32" i="102" s="1"/>
  <c r="U34" i="102" a="1"/>
  <c r="U34" i="102" s="1"/>
  <c r="V34" i="102" s="1"/>
  <c r="U40" i="102" a="1"/>
  <c r="U40" i="102" s="1"/>
  <c r="V40" i="102" s="1"/>
  <c r="U38" i="102" a="1"/>
  <c r="U38" i="102" s="1"/>
  <c r="V38" i="102" s="1"/>
  <c r="U37" i="102" a="1"/>
  <c r="U37" i="102" s="1"/>
  <c r="V37" i="102" s="1"/>
  <c r="U39" i="102" a="1"/>
  <c r="U39" i="102" s="1"/>
  <c r="V39" i="102" s="1"/>
  <c r="U31" i="102" a="1"/>
  <c r="U31" i="102" s="1"/>
  <c r="V31" i="102" s="1"/>
  <c r="U29" i="102" a="1"/>
  <c r="U29" i="102" s="1"/>
  <c r="V29" i="102" s="1"/>
  <c r="M20" i="102"/>
  <c r="R20" i="102"/>
  <c r="U20" i="102" s="1"/>
  <c r="L20" i="102"/>
  <c r="N20" i="102"/>
  <c r="M21" i="102"/>
  <c r="U36" i="102" l="1" a="1"/>
  <c r="U36" i="102" s="1"/>
  <c r="V36" i="102" s="1"/>
  <c r="M20" i="103"/>
  <c r="R20" i="103"/>
  <c r="U20" i="103" s="1"/>
  <c r="L20" i="103"/>
  <c r="N20" i="103"/>
  <c r="M21" i="103"/>
  <c r="H22" i="103"/>
  <c r="C57" i="103" s="1"/>
  <c r="U34" i="103" s="1" a="1"/>
  <c r="U34" i="103" s="1"/>
  <c r="V34" i="103" s="1"/>
  <c r="F22" i="103"/>
  <c r="F33" i="103"/>
  <c r="G33" i="103" s="1"/>
  <c r="E29" i="103"/>
  <c r="T21" i="103"/>
  <c r="O29" i="103"/>
  <c r="G29" i="103"/>
  <c r="K15" i="103"/>
  <c r="O33" i="103"/>
  <c r="E33" i="103"/>
  <c r="U38" i="103" a="1"/>
  <c r="U38" i="103" s="1"/>
  <c r="V38" i="103" s="1"/>
  <c r="U40" i="103" a="1"/>
  <c r="U40" i="103" s="1"/>
  <c r="V40" i="103" s="1"/>
  <c r="U39" i="103" a="1"/>
  <c r="U39" i="103" s="1"/>
  <c r="V39" i="103" s="1"/>
  <c r="U33" i="103" a="1"/>
  <c r="U33" i="103" s="1"/>
  <c r="V33" i="103" s="1"/>
  <c r="R15" i="102"/>
  <c r="U21" i="102" s="1"/>
  <c r="M15" i="102"/>
  <c r="L15" i="102"/>
  <c r="N15" i="102"/>
  <c r="M16" i="102"/>
  <c r="E36" i="102"/>
  <c r="O36" i="102"/>
  <c r="G36" i="102"/>
  <c r="K22" i="102"/>
  <c r="T22" i="102"/>
  <c r="U37" i="103" l="1" a="1"/>
  <c r="U37" i="103" s="1"/>
  <c r="V37" i="103" s="1"/>
  <c r="U30" i="103" a="1"/>
  <c r="U30" i="103" s="1"/>
  <c r="V30" i="103" s="1"/>
  <c r="O36" i="103"/>
  <c r="T22" i="103"/>
  <c r="E36" i="103"/>
  <c r="G36" i="103"/>
  <c r="K22" i="103"/>
  <c r="U29" i="103" a="1"/>
  <c r="U29" i="103" s="1"/>
  <c r="V29" i="103" s="1"/>
  <c r="U32" i="103" a="1"/>
  <c r="U32" i="103" s="1"/>
  <c r="V32" i="103" s="1"/>
  <c r="U36" i="103" a="1"/>
  <c r="U36" i="103" s="1"/>
  <c r="V36" i="103" s="1"/>
  <c r="M15" i="103"/>
  <c r="R15" i="103"/>
  <c r="U21" i="103" s="1"/>
  <c r="L15" i="103"/>
  <c r="N15" i="103"/>
  <c r="M16" i="103"/>
  <c r="U31" i="103" a="1"/>
  <c r="U31" i="103" s="1"/>
  <c r="V31" i="103" s="1"/>
  <c r="M22" i="102"/>
  <c r="L22" i="102"/>
  <c r="R22" i="102"/>
  <c r="U22" i="102" s="1"/>
  <c r="N22" i="102"/>
  <c r="M22" i="103" l="1"/>
  <c r="R22" i="103"/>
  <c r="U22" i="103" s="1"/>
  <c r="L22" i="103"/>
  <c r="N22" i="103"/>
  <c r="S6" i="97" l="1"/>
  <c r="E27" i="72" a="1"/>
  <c r="E27" i="72" s="1"/>
  <c r="E26" i="78" a="1"/>
  <c r="E26" i="78" s="1"/>
  <c r="F23" i="89"/>
  <c r="F22" i="89"/>
  <c r="F21" i="89"/>
  <c r="F20" i="89"/>
  <c r="F19" i="89"/>
  <c r="F18" i="89"/>
  <c r="F17" i="89"/>
  <c r="F16" i="89"/>
  <c r="F15" i="89"/>
  <c r="F14" i="89"/>
  <c r="F13" i="89"/>
  <c r="F12" i="89"/>
  <c r="F11" i="89"/>
  <c r="F10" i="89"/>
  <c r="F9" i="89"/>
  <c r="F8" i="89"/>
  <c r="F7" i="89"/>
  <c r="F6" i="89"/>
  <c r="X5" i="89"/>
  <c r="W5" i="89"/>
  <c r="S5" i="89"/>
  <c r="R5" i="89"/>
  <c r="N5" i="89"/>
  <c r="M5" i="89"/>
  <c r="I5" i="89"/>
  <c r="H5" i="89"/>
  <c r="F5" i="89" a="1"/>
  <c r="F5" i="89" s="1"/>
  <c r="E26" i="87" a="1"/>
  <c r="E26" i="87" s="1"/>
  <c r="E25" i="87"/>
  <c r="S21" i="87"/>
  <c r="P21" i="87"/>
  <c r="S20" i="87"/>
  <c r="P20" i="87"/>
  <c r="S19" i="87"/>
  <c r="P19" i="87"/>
  <c r="S18" i="87"/>
  <c r="P18" i="87"/>
  <c r="S17" i="87"/>
  <c r="P17" i="87"/>
  <c r="S16" i="87"/>
  <c r="P16" i="87"/>
  <c r="S15" i="87"/>
  <c r="P15" i="87"/>
  <c r="S14" i="87"/>
  <c r="P14" i="87"/>
  <c r="S13" i="87"/>
  <c r="P13" i="87"/>
  <c r="S12" i="87"/>
  <c r="P12" i="87"/>
  <c r="S11" i="87"/>
  <c r="P11" i="87"/>
  <c r="S10" i="87"/>
  <c r="P10" i="87"/>
  <c r="S9" i="87"/>
  <c r="P9" i="87"/>
  <c r="D9" i="87"/>
  <c r="D10" i="87" s="1"/>
  <c r="D11" i="87" s="1"/>
  <c r="D12" i="87" s="1"/>
  <c r="D8" i="87"/>
  <c r="C8" i="87"/>
  <c r="E3" i="87"/>
  <c r="F3" i="87" s="1"/>
  <c r="J2" i="87"/>
  <c r="F2" i="87"/>
  <c r="G26" i="87" s="1"/>
  <c r="E2" i="87"/>
  <c r="D13" i="87" l="1"/>
  <c r="D14" i="87" s="1"/>
  <c r="D15" i="87" s="1"/>
  <c r="D16" i="87" s="1"/>
  <c r="D17" i="87" s="1"/>
  <c r="D18" i="87" s="1"/>
  <c r="D19" i="87" s="1"/>
  <c r="D20" i="87" s="1"/>
  <c r="D21" i="87" s="1"/>
  <c r="K2" i="87"/>
  <c r="E9" i="87" s="1"/>
  <c r="R36" i="87" l="1"/>
  <c r="T36" i="87" s="1"/>
  <c r="R29" i="87"/>
  <c r="T29" i="87" s="1"/>
  <c r="E10" i="87"/>
  <c r="R37" i="87"/>
  <c r="T37" i="87" s="1"/>
  <c r="R27" i="87"/>
  <c r="T27" i="87" s="1"/>
  <c r="Q9" i="87"/>
  <c r="Q10" i="87" s="1"/>
  <c r="Q11" i="87" s="1"/>
  <c r="Q12" i="87" s="1"/>
  <c r="Q13" i="87" s="1"/>
  <c r="Q14" i="87" s="1"/>
  <c r="Q15" i="87" s="1"/>
  <c r="Q16" i="87" s="1"/>
  <c r="Q17" i="87" s="1"/>
  <c r="Q18" i="87" s="1"/>
  <c r="Q19" i="87" s="1"/>
  <c r="Q20" i="87" s="1"/>
  <c r="Q21" i="87" s="1"/>
  <c r="R30" i="87"/>
  <c r="T30" i="87" s="1"/>
  <c r="R33" i="87"/>
  <c r="T33" i="87" s="1"/>
  <c r="R39" i="87"/>
  <c r="T39" i="87" s="1"/>
  <c r="R34" i="87"/>
  <c r="T34" i="87" s="1"/>
  <c r="R32" i="87"/>
  <c r="T32" i="87" s="1"/>
  <c r="R38" i="87"/>
  <c r="T38" i="87" s="1"/>
  <c r="R31" i="87"/>
  <c r="T31" i="87" s="1"/>
  <c r="R35" i="87"/>
  <c r="T35" i="87" s="1"/>
  <c r="R28" i="87"/>
  <c r="T28" i="87" s="1"/>
  <c r="H9" i="87"/>
  <c r="C44" i="87" s="1"/>
  <c r="Z27" i="87" l="1"/>
  <c r="Y27" i="87"/>
  <c r="U27" i="87" a="1"/>
  <c r="U27" i="87" s="1"/>
  <c r="V27" i="87" s="1"/>
  <c r="U34" i="87" a="1"/>
  <c r="U34" i="87" s="1"/>
  <c r="V34" i="87" s="1"/>
  <c r="E11" i="87"/>
  <c r="H10" i="87"/>
  <c r="C51" i="87" s="1"/>
  <c r="F10" i="87"/>
  <c r="K9" i="87"/>
  <c r="F27" i="87"/>
  <c r="T9" i="87"/>
  <c r="R4" i="89" a="1"/>
  <c r="H4" i="89" a="1"/>
  <c r="W4" i="89" a="1"/>
  <c r="M4" i="89" a="1"/>
  <c r="L27" i="87" l="1"/>
  <c r="Y34" i="87"/>
  <c r="Z34" i="87"/>
  <c r="W4" i="89"/>
  <c r="W24" i="89" s="1"/>
  <c r="M4" i="89"/>
  <c r="M24" i="89" s="1"/>
  <c r="H4" i="89"/>
  <c r="H24" i="89" s="1"/>
  <c r="R4" i="89"/>
  <c r="R24" i="89" s="1"/>
  <c r="R9" i="87"/>
  <c r="U9" i="87" s="1"/>
  <c r="L9" i="87"/>
  <c r="K16" i="87"/>
  <c r="N16" i="87" s="1"/>
  <c r="F34" i="87"/>
  <c r="T10" i="87"/>
  <c r="E12" i="87"/>
  <c r="H11" i="87"/>
  <c r="C46" i="87" s="1"/>
  <c r="F11" i="87"/>
  <c r="L34" i="87" l="1"/>
  <c r="Z29" i="87"/>
  <c r="Y29" i="87"/>
  <c r="K11" i="87"/>
  <c r="F29" i="87"/>
  <c r="T11" i="87"/>
  <c r="E13" i="87"/>
  <c r="H12" i="87"/>
  <c r="C53" i="87" s="1"/>
  <c r="F12" i="87"/>
  <c r="R16" i="87"/>
  <c r="U10" i="87" s="1"/>
  <c r="L16" i="87"/>
  <c r="L29" i="87" l="1"/>
  <c r="Y36" i="87"/>
  <c r="Z36" i="87"/>
  <c r="E14" i="87"/>
  <c r="H13" i="87"/>
  <c r="C48" i="87" s="1"/>
  <c r="F13" i="87"/>
  <c r="F36" i="87"/>
  <c r="K18" i="87"/>
  <c r="T12" i="87"/>
  <c r="R11" i="87"/>
  <c r="U11" i="87" s="1"/>
  <c r="L11" i="87"/>
  <c r="N11" i="87"/>
  <c r="L36" i="87" l="1"/>
  <c r="Z31" i="87"/>
  <c r="Y31" i="87"/>
  <c r="R18" i="87"/>
  <c r="U12" i="87" s="1"/>
  <c r="L18" i="87"/>
  <c r="N18" i="87"/>
  <c r="O27" i="87"/>
  <c r="K13" i="87"/>
  <c r="F31" i="87"/>
  <c r="G27" i="87"/>
  <c r="E27" i="87"/>
  <c r="T13" i="87"/>
  <c r="E15" i="87"/>
  <c r="H14" i="87"/>
  <c r="C55" i="87" s="1"/>
  <c r="F14" i="87"/>
  <c r="Y38" i="87" l="1"/>
  <c r="L31" i="87"/>
  <c r="Z38" i="87"/>
  <c r="R13" i="87"/>
  <c r="U13" i="87" s="1"/>
  <c r="L13" i="87"/>
  <c r="N13" i="87"/>
  <c r="F38" i="87"/>
  <c r="O34" i="87"/>
  <c r="K20" i="87"/>
  <c r="G34" i="87"/>
  <c r="E34" i="87"/>
  <c r="T14" i="87"/>
  <c r="E16" i="87"/>
  <c r="H15" i="87"/>
  <c r="C50" i="87" s="1"/>
  <c r="F15" i="87"/>
  <c r="L38" i="87" l="1"/>
  <c r="Y33" i="87"/>
  <c r="Z33" i="87"/>
  <c r="E17" i="87"/>
  <c r="H16" i="87"/>
  <c r="C45" i="87" s="1"/>
  <c r="F16" i="87"/>
  <c r="R20" i="87"/>
  <c r="U14" i="87" s="1"/>
  <c r="L20" i="87"/>
  <c r="N20" i="87"/>
  <c r="E29" i="87"/>
  <c r="O29" i="87"/>
  <c r="G29" i="87"/>
  <c r="F33" i="87"/>
  <c r="K15" i="87"/>
  <c r="T15" i="87"/>
  <c r="L33" i="87" l="1"/>
  <c r="Y28" i="87"/>
  <c r="Z28" i="87"/>
  <c r="R15" i="87"/>
  <c r="U15" i="87" s="1"/>
  <c r="L15" i="87"/>
  <c r="N15" i="87"/>
  <c r="M16" i="87"/>
  <c r="F28" i="87"/>
  <c r="E36" i="87"/>
  <c r="O36" i="87"/>
  <c r="G36" i="87"/>
  <c r="K10" i="87"/>
  <c r="T16" i="87"/>
  <c r="E18" i="87"/>
  <c r="H17" i="87"/>
  <c r="C52" i="87" s="1"/>
  <c r="F17" i="87"/>
  <c r="L28" i="87" l="1"/>
  <c r="Y35" i="87"/>
  <c r="Z35" i="87"/>
  <c r="R10" i="87"/>
  <c r="U16" i="87" s="1"/>
  <c r="M10" i="87"/>
  <c r="L10" i="87"/>
  <c r="N10" i="87"/>
  <c r="M11" i="87"/>
  <c r="F35" i="87"/>
  <c r="O31" i="87"/>
  <c r="G31" i="87"/>
  <c r="K17" i="87"/>
  <c r="E31" i="87"/>
  <c r="T17" i="87"/>
  <c r="E19" i="87"/>
  <c r="H18" i="87"/>
  <c r="C47" i="87" s="1"/>
  <c r="F18" i="87"/>
  <c r="L35" i="87" l="1"/>
  <c r="Y30" i="87"/>
  <c r="Z30" i="87"/>
  <c r="R17" i="87"/>
  <c r="U17" i="87" s="1"/>
  <c r="M17" i="87"/>
  <c r="L17" i="87"/>
  <c r="N17" i="87"/>
  <c r="M18" i="87"/>
  <c r="K12" i="87"/>
  <c r="F30" i="87"/>
  <c r="G30" i="87" s="1"/>
  <c r="O38" i="87"/>
  <c r="G38" i="87"/>
  <c r="E38" i="87"/>
  <c r="T18" i="87"/>
  <c r="O30" i="87"/>
  <c r="E30" i="87"/>
  <c r="E20" i="87"/>
  <c r="H19" i="87"/>
  <c r="C54" i="87" s="1"/>
  <c r="F19" i="87"/>
  <c r="L30" i="87" l="1"/>
  <c r="Z37" i="87"/>
  <c r="Y37" i="87"/>
  <c r="R12" i="87"/>
  <c r="U18" i="87" s="1"/>
  <c r="M12" i="87"/>
  <c r="L12" i="87"/>
  <c r="N12" i="87"/>
  <c r="M13" i="87"/>
  <c r="G33" i="87"/>
  <c r="E33" i="87"/>
  <c r="K19" i="87"/>
  <c r="O33" i="87"/>
  <c r="F37" i="87"/>
  <c r="G37" i="87" s="1"/>
  <c r="T19" i="87"/>
  <c r="O37" i="87"/>
  <c r="E37" i="87"/>
  <c r="E21" i="87"/>
  <c r="H20" i="87"/>
  <c r="C49" i="87" s="1"/>
  <c r="F20" i="87"/>
  <c r="Y32" i="87" l="1"/>
  <c r="Z32" i="87"/>
  <c r="L37" i="87"/>
  <c r="H21" i="87"/>
  <c r="C56" i="87" s="1"/>
  <c r="F21" i="87"/>
  <c r="E28" i="87"/>
  <c r="F32" i="87"/>
  <c r="G32" i="87" s="1"/>
  <c r="K14" i="87"/>
  <c r="O28" i="87"/>
  <c r="G28" i="87"/>
  <c r="T20" i="87"/>
  <c r="E32" i="87"/>
  <c r="O32" i="87"/>
  <c r="R19" i="87"/>
  <c r="U19" i="87" s="1"/>
  <c r="M19" i="87"/>
  <c r="L19" i="87"/>
  <c r="N19" i="87"/>
  <c r="M20" i="87"/>
  <c r="U38" i="87" l="1" a="1"/>
  <c r="U38" i="87" s="1"/>
  <c r="V38" i="87" s="1"/>
  <c r="Y39" i="87"/>
  <c r="Z39" i="87"/>
  <c r="L32" i="87"/>
  <c r="U30" i="87" a="1"/>
  <c r="U30" i="87" s="1"/>
  <c r="U33" i="87" a="1"/>
  <c r="U33" i="87" s="1"/>
  <c r="V33" i="87" s="1"/>
  <c r="U28" i="87" a="1"/>
  <c r="U28" i="87" s="1"/>
  <c r="V28" i="87" s="1"/>
  <c r="U39" i="87" a="1"/>
  <c r="U39" i="87" s="1"/>
  <c r="V39" i="87" s="1"/>
  <c r="U37" i="87" a="1"/>
  <c r="U37" i="87" s="1"/>
  <c r="V37" i="87" s="1"/>
  <c r="U32" i="87" a="1"/>
  <c r="U32" i="87" s="1"/>
  <c r="V32" i="87" s="1"/>
  <c r="U35" i="87" a="1"/>
  <c r="U35" i="87" s="1"/>
  <c r="V35" i="87" s="1"/>
  <c r="U31" i="87" a="1"/>
  <c r="U31" i="87" s="1"/>
  <c r="V31" i="87" s="1"/>
  <c r="U36" i="87" a="1"/>
  <c r="U36" i="87" s="1"/>
  <c r="V36" i="87" s="1"/>
  <c r="U29" i="87" a="1"/>
  <c r="U29" i="87" s="1"/>
  <c r="V29" i="87" s="1"/>
  <c r="R14" i="87"/>
  <c r="U20" i="87" s="1"/>
  <c r="M14" i="87"/>
  <c r="L14" i="87"/>
  <c r="N14" i="87"/>
  <c r="M15" i="87"/>
  <c r="E35" i="87"/>
  <c r="K21" i="87"/>
  <c r="O35" i="87"/>
  <c r="G35" i="87"/>
  <c r="T21" i="87"/>
  <c r="V30" i="87"/>
  <c r="R21" i="87" l="1"/>
  <c r="U21" i="87" s="1"/>
  <c r="M21" i="87"/>
  <c r="L21" i="87"/>
  <c r="N21" i="87"/>
  <c r="S3" i="97" a="1"/>
  <c r="S3" i="97" l="1"/>
  <c r="H13" i="89"/>
  <c r="H18" i="89"/>
  <c r="H11" i="89"/>
  <c r="H19" i="89"/>
  <c r="H8" i="89"/>
  <c r="I21" i="89"/>
  <c r="H7" i="89"/>
  <c r="H16" i="89"/>
  <c r="L16" i="6" l="1"/>
  <c r="L17" i="6"/>
  <c r="L18" i="6"/>
  <c r="L19" i="6"/>
  <c r="L20" i="6"/>
  <c r="L21" i="6"/>
  <c r="L22" i="6"/>
  <c r="H16" i="6"/>
  <c r="H17" i="6"/>
  <c r="H18" i="6"/>
  <c r="H19" i="6"/>
  <c r="H20" i="6"/>
  <c r="H21" i="6"/>
  <c r="H22" i="6"/>
  <c r="D16" i="6"/>
  <c r="D17" i="6"/>
  <c r="D18" i="6"/>
  <c r="D19" i="6"/>
  <c r="D20" i="6"/>
  <c r="D21" i="6"/>
  <c r="D22" i="6"/>
  <c r="O44" i="80"/>
  <c r="O43" i="80"/>
  <c r="O40" i="80"/>
  <c r="O39" i="80"/>
  <c r="O38" i="80"/>
  <c r="O37" i="80"/>
  <c r="O36" i="80"/>
  <c r="O35" i="80"/>
  <c r="O34" i="80"/>
  <c r="E26" i="72"/>
  <c r="E32" i="80"/>
  <c r="G33" i="80"/>
  <c r="E33" i="80" a="1"/>
  <c r="E33" i="80" s="1"/>
  <c r="E29" i="80"/>
  <c r="E28" i="80"/>
  <c r="E27" i="80"/>
  <c r="E26" i="80"/>
  <c r="E25" i="80"/>
  <c r="E24" i="80"/>
  <c r="E23" i="80"/>
  <c r="E22" i="80"/>
  <c r="F28" i="80" s="1"/>
  <c r="K20" i="80" s="1"/>
  <c r="F21" i="80"/>
  <c r="E21" i="80"/>
  <c r="J20" i="80"/>
  <c r="M20" i="80" s="1"/>
  <c r="E20" i="80"/>
  <c r="J16" i="80" s="1"/>
  <c r="M16" i="80" s="1"/>
  <c r="J19" i="80"/>
  <c r="M19" i="80" s="1"/>
  <c r="E19" i="80"/>
  <c r="J15" i="80" s="1"/>
  <c r="M15" i="80" s="1"/>
  <c r="J18" i="80"/>
  <c r="M18" i="80" s="1"/>
  <c r="E18" i="80"/>
  <c r="K17" i="80"/>
  <c r="E17" i="80"/>
  <c r="E16" i="80"/>
  <c r="E15" i="80"/>
  <c r="J14" i="80"/>
  <c r="M14" i="80" s="1"/>
  <c r="F14" i="80"/>
  <c r="E14" i="80"/>
  <c r="J13" i="80"/>
  <c r="M13" i="80" s="1"/>
  <c r="E13" i="80"/>
  <c r="J11" i="80" s="1"/>
  <c r="M11" i="80" s="1"/>
  <c r="J12" i="80"/>
  <c r="M12" i="80" s="1"/>
  <c r="E12" i="80"/>
  <c r="J10" i="80" s="1"/>
  <c r="M10" i="80" s="1"/>
  <c r="E11" i="80"/>
  <c r="E10" i="80"/>
  <c r="E9" i="80"/>
  <c r="J9" i="80" s="1"/>
  <c r="M9" i="80" s="1"/>
  <c r="J8" i="80"/>
  <c r="M8" i="80" s="1"/>
  <c r="E3" i="80"/>
  <c r="F3" i="80" s="1"/>
  <c r="F2" i="80"/>
  <c r="E2" i="80"/>
  <c r="I22" i="89"/>
  <c r="C62" i="80" l="1"/>
  <c r="L39" i="80" s="1"/>
  <c r="F24" i="80"/>
  <c r="F11" i="80"/>
  <c r="F18" i="80"/>
  <c r="K14" i="80" s="1"/>
  <c r="F23" i="80"/>
  <c r="F19" i="80"/>
  <c r="K15" i="80" s="1"/>
  <c r="F17" i="80"/>
  <c r="J17" i="80"/>
  <c r="M17" i="80" s="1"/>
  <c r="F26" i="80"/>
  <c r="K18" i="80" s="1"/>
  <c r="F9" i="80"/>
  <c r="K9" i="80" s="1"/>
  <c r="F16" i="80"/>
  <c r="K13" i="80" s="1"/>
  <c r="C59" i="80"/>
  <c r="F20" i="80"/>
  <c r="K16" i="80" s="1"/>
  <c r="F25" i="80"/>
  <c r="F27" i="80"/>
  <c r="K19" i="80" s="1"/>
  <c r="F10" i="80"/>
  <c r="F15" i="80"/>
  <c r="K12" i="80" s="1"/>
  <c r="F29" i="80"/>
  <c r="F13" i="80"/>
  <c r="K11" i="80" s="1"/>
  <c r="F12" i="80"/>
  <c r="K10" i="80" s="1"/>
  <c r="F8" i="80"/>
  <c r="I9" i="89"/>
  <c r="I14" i="89"/>
  <c r="H20" i="89"/>
  <c r="O42" i="80" l="1"/>
  <c r="O10" i="80"/>
  <c r="C52" i="80"/>
  <c r="C61" i="80"/>
  <c r="O19" i="80"/>
  <c r="O16" i="80"/>
  <c r="C58" i="80"/>
  <c r="O17" i="80"/>
  <c r="F43" i="80"/>
  <c r="U11" i="80"/>
  <c r="O20" i="80"/>
  <c r="C57" i="80"/>
  <c r="O15" i="80"/>
  <c r="O13" i="80"/>
  <c r="C55" i="80"/>
  <c r="O12" i="80"/>
  <c r="C54" i="80"/>
  <c r="C51" i="80"/>
  <c r="K8" i="80"/>
  <c r="L16" i="80" s="1"/>
  <c r="R8" i="80"/>
  <c r="R9" i="80" s="1"/>
  <c r="R10" i="80" s="1"/>
  <c r="R11" i="80" s="1"/>
  <c r="R12" i="80" s="1"/>
  <c r="R13" i="80" s="1"/>
  <c r="R14" i="80" s="1"/>
  <c r="R15" i="80" s="1"/>
  <c r="R16" i="80" s="1"/>
  <c r="R17" i="80" s="1"/>
  <c r="O11" i="80"/>
  <c r="C53" i="80"/>
  <c r="C56" i="80"/>
  <c r="L14" i="80"/>
  <c r="O14" i="80"/>
  <c r="O18" i="80"/>
  <c r="C60" i="80"/>
  <c r="U20" i="80"/>
  <c r="E42" i="80"/>
  <c r="I12" i="89"/>
  <c r="I17" i="89"/>
  <c r="I23" i="89"/>
  <c r="L45" i="80" l="1"/>
  <c r="L38" i="80"/>
  <c r="O45" i="80"/>
  <c r="O41" i="80"/>
  <c r="R18" i="80"/>
  <c r="S17" i="80"/>
  <c r="V11" i="80" s="1"/>
  <c r="S12" i="80"/>
  <c r="V12" i="80" s="1"/>
  <c r="N8" i="80"/>
  <c r="C50" i="80"/>
  <c r="L8" i="80"/>
  <c r="S8" i="80"/>
  <c r="V8" i="80" s="1"/>
  <c r="N20" i="80"/>
  <c r="N17" i="80"/>
  <c r="L17" i="80"/>
  <c r="L20" i="80"/>
  <c r="U19" i="80"/>
  <c r="F39" i="80"/>
  <c r="G39" i="80" s="1"/>
  <c r="E35" i="80"/>
  <c r="E39" i="80"/>
  <c r="L19" i="80"/>
  <c r="F44" i="80"/>
  <c r="G44" i="80" s="1"/>
  <c r="E40" i="80"/>
  <c r="U18" i="80"/>
  <c r="U14" i="80"/>
  <c r="E36" i="80"/>
  <c r="F40" i="80"/>
  <c r="G40" i="80" s="1"/>
  <c r="O9" i="80"/>
  <c r="N19" i="80"/>
  <c r="S14" i="80"/>
  <c r="V14" i="80" s="1"/>
  <c r="L9" i="80"/>
  <c r="F36" i="80"/>
  <c r="G36" i="80" s="1"/>
  <c r="U10" i="80"/>
  <c r="E44" i="80"/>
  <c r="U12" i="80"/>
  <c r="F38" i="80"/>
  <c r="G38" i="80" s="1"/>
  <c r="L15" i="80"/>
  <c r="N11" i="80"/>
  <c r="N15" i="80"/>
  <c r="N9" i="80"/>
  <c r="S13" i="80"/>
  <c r="V19" i="80" s="1"/>
  <c r="U15" i="80"/>
  <c r="E43" i="80"/>
  <c r="G43" i="80"/>
  <c r="F35" i="80"/>
  <c r="G35" i="80" s="1"/>
  <c r="L13" i="80"/>
  <c r="N14" i="80"/>
  <c r="S9" i="80"/>
  <c r="V15" i="80" s="1"/>
  <c r="N13" i="80"/>
  <c r="F45" i="80"/>
  <c r="G45" i="80" s="1"/>
  <c r="U13" i="80"/>
  <c r="E41" i="80"/>
  <c r="S15" i="80"/>
  <c r="V9" i="80" s="1"/>
  <c r="S16" i="80"/>
  <c r="V16" i="80" s="1"/>
  <c r="S11" i="80"/>
  <c r="V17" i="80" s="1"/>
  <c r="U9" i="80"/>
  <c r="F41" i="80"/>
  <c r="G41" i="80" s="1"/>
  <c r="E37" i="80"/>
  <c r="E38" i="80"/>
  <c r="F42" i="80"/>
  <c r="G42" i="80" s="1"/>
  <c r="U16" i="80"/>
  <c r="S10" i="80"/>
  <c r="V10" i="80" s="1"/>
  <c r="E45" i="80"/>
  <c r="U17" i="80"/>
  <c r="F37" i="80"/>
  <c r="G37" i="80" s="1"/>
  <c r="L11" i="80"/>
  <c r="L10" i="80"/>
  <c r="L18" i="80"/>
  <c r="N12" i="80"/>
  <c r="N16" i="80"/>
  <c r="N18" i="80"/>
  <c r="L12" i="80"/>
  <c r="N10" i="80"/>
  <c r="I6" i="89"/>
  <c r="H21" i="89"/>
  <c r="I15" i="89"/>
  <c r="I10" i="89"/>
  <c r="J21" i="89" l="1"/>
  <c r="K21" i="89" s="1"/>
  <c r="R41" i="80"/>
  <c r="T41" i="80" s="1"/>
  <c r="R34" i="80"/>
  <c r="T34" i="80" s="1"/>
  <c r="R43" i="80"/>
  <c r="T43" i="80" s="1"/>
  <c r="R36" i="80"/>
  <c r="T36" i="80" s="1"/>
  <c r="F34" i="80"/>
  <c r="G34" i="80" s="1"/>
  <c r="R42" i="80"/>
  <c r="T42" i="80" s="1"/>
  <c r="R35" i="80"/>
  <c r="T35" i="80" s="1"/>
  <c r="R40" i="80"/>
  <c r="T40" i="80" s="1"/>
  <c r="R46" i="80"/>
  <c r="T46" i="80" s="1"/>
  <c r="R44" i="80"/>
  <c r="T44" i="80" s="1"/>
  <c r="R37" i="80"/>
  <c r="T37" i="80" s="1"/>
  <c r="U8" i="80"/>
  <c r="R45" i="80"/>
  <c r="T45" i="80" s="1"/>
  <c r="R38" i="80"/>
  <c r="T38" i="80" s="1"/>
  <c r="R39" i="80"/>
  <c r="T39" i="80" s="1"/>
  <c r="E34" i="80"/>
  <c r="R19" i="80"/>
  <c r="S18" i="80"/>
  <c r="V18" i="80" s="1"/>
  <c r="I13" i="89"/>
  <c r="I8" i="89"/>
  <c r="I18" i="89"/>
  <c r="V39" i="80" l="1"/>
  <c r="V45" i="80"/>
  <c r="V35" i="80"/>
  <c r="V41" i="80"/>
  <c r="V36" i="80"/>
  <c r="V42" i="80"/>
  <c r="V34" i="80"/>
  <c r="V40" i="80"/>
  <c r="V37" i="80"/>
  <c r="V43" i="80"/>
  <c r="V46" i="80"/>
  <c r="V38" i="80"/>
  <c r="V44" i="80"/>
  <c r="J18" i="89"/>
  <c r="K18" i="89" s="1"/>
  <c r="J8" i="89"/>
  <c r="K8" i="89" s="1"/>
  <c r="J13" i="89"/>
  <c r="K13" i="89" s="1"/>
  <c r="R20" i="80"/>
  <c r="S20" i="80" s="1"/>
  <c r="V20" i="80" s="1"/>
  <c r="S19" i="80"/>
  <c r="V13" i="80" s="1"/>
  <c r="H22" i="89"/>
  <c r="I11" i="89"/>
  <c r="I16" i="89"/>
  <c r="I7" i="89"/>
  <c r="J22" i="89" l="1"/>
  <c r="K22" i="89" s="1"/>
  <c r="J16" i="89"/>
  <c r="K16" i="89" s="1"/>
  <c r="J7" i="89"/>
  <c r="K7" i="89" s="1"/>
  <c r="J11" i="89"/>
  <c r="K11" i="89" s="1"/>
  <c r="E26" i="59"/>
  <c r="E26" i="58"/>
  <c r="E26" i="57"/>
  <c r="E26" i="56"/>
  <c r="E26" i="53"/>
  <c r="E26" i="51"/>
  <c r="E26" i="50"/>
  <c r="E26" i="41"/>
  <c r="E25" i="71"/>
  <c r="E25" i="78"/>
  <c r="E26" i="79"/>
  <c r="D22" i="79"/>
  <c r="D21" i="79"/>
  <c r="D20" i="79"/>
  <c r="D19" i="79"/>
  <c r="D18" i="79"/>
  <c r="D17" i="79"/>
  <c r="D16" i="79"/>
  <c r="D15" i="79"/>
  <c r="D14" i="79"/>
  <c r="D13" i="79"/>
  <c r="K2" i="79" s="1"/>
  <c r="C10" i="79" s="1"/>
  <c r="D12" i="79"/>
  <c r="D11" i="79"/>
  <c r="D10" i="79"/>
  <c r="E27" i="79" a="1"/>
  <c r="E27" i="79" s="1"/>
  <c r="S22" i="79"/>
  <c r="P22" i="79"/>
  <c r="S21" i="79"/>
  <c r="P21" i="79"/>
  <c r="S20" i="79"/>
  <c r="P20" i="79"/>
  <c r="S19" i="79"/>
  <c r="P19" i="79"/>
  <c r="S18" i="79"/>
  <c r="P18" i="79"/>
  <c r="S17" i="79"/>
  <c r="P17" i="79"/>
  <c r="S16" i="79"/>
  <c r="P16" i="79"/>
  <c r="S15" i="79"/>
  <c r="P15" i="79"/>
  <c r="S14" i="79"/>
  <c r="P14" i="79"/>
  <c r="S13" i="79"/>
  <c r="P13" i="79"/>
  <c r="S12" i="79"/>
  <c r="P12" i="79"/>
  <c r="S11" i="79"/>
  <c r="P11" i="79"/>
  <c r="S10" i="79"/>
  <c r="P10" i="79"/>
  <c r="E3" i="79"/>
  <c r="F3" i="79" s="1"/>
  <c r="J2" i="79"/>
  <c r="F2" i="79"/>
  <c r="E2" i="79"/>
  <c r="K2" i="78"/>
  <c r="C9" i="78" s="1"/>
  <c r="C10" i="78" s="1"/>
  <c r="C11" i="78" s="1"/>
  <c r="C12" i="78" s="1"/>
  <c r="C13" i="78" s="1"/>
  <c r="C14" i="78" s="1"/>
  <c r="C15" i="78" s="1"/>
  <c r="C16" i="78" s="1"/>
  <c r="C17" i="78" s="1"/>
  <c r="C18" i="78" s="1"/>
  <c r="C19" i="78" s="1"/>
  <c r="C20" i="78" s="1"/>
  <c r="C21" i="78" s="1"/>
  <c r="S21" i="78"/>
  <c r="AB21" i="78" s="1"/>
  <c r="P21" i="78"/>
  <c r="S20" i="78"/>
  <c r="AB20" i="78" s="1"/>
  <c r="P20" i="78"/>
  <c r="S19" i="78"/>
  <c r="AB19" i="78" s="1"/>
  <c r="P19" i="78"/>
  <c r="S18" i="78"/>
  <c r="AB18" i="78" s="1"/>
  <c r="P18" i="78"/>
  <c r="S17" i="78"/>
  <c r="AB17" i="78" s="1"/>
  <c r="P17" i="78"/>
  <c r="S16" i="78"/>
  <c r="AB16" i="78" s="1"/>
  <c r="P16" i="78"/>
  <c r="S15" i="78"/>
  <c r="AB15" i="78" s="1"/>
  <c r="P15" i="78"/>
  <c r="S14" i="78"/>
  <c r="AB14" i="78" s="1"/>
  <c r="P14" i="78"/>
  <c r="S13" i="78"/>
  <c r="AB13" i="78" s="1"/>
  <c r="P13" i="78"/>
  <c r="S12" i="78"/>
  <c r="AB12" i="78" s="1"/>
  <c r="P12" i="78"/>
  <c r="S11" i="78"/>
  <c r="AB11" i="78" s="1"/>
  <c r="P11" i="78"/>
  <c r="S10" i="78"/>
  <c r="AB10" i="78" s="1"/>
  <c r="P10" i="78"/>
  <c r="S9" i="78"/>
  <c r="AB9" i="78" s="1"/>
  <c r="P9" i="78"/>
  <c r="E3" i="78"/>
  <c r="F3" i="78" s="1"/>
  <c r="J2" i="78"/>
  <c r="F2" i="78"/>
  <c r="E2" i="78"/>
  <c r="H9" i="89"/>
  <c r="H14" i="89"/>
  <c r="I7" i="60" a="1"/>
  <c r="I19" i="89"/>
  <c r="F7" i="60" a="1"/>
  <c r="O7" i="60" a="1"/>
  <c r="L7" i="60" a="1"/>
  <c r="J19" i="89" l="1"/>
  <c r="K19" i="89" s="1"/>
  <c r="J14" i="89"/>
  <c r="K14" i="89" s="1"/>
  <c r="J9" i="89"/>
  <c r="K9" i="89" s="1"/>
  <c r="O7" i="60"/>
  <c r="O22" i="60" s="1"/>
  <c r="L7" i="60"/>
  <c r="L22" i="60" s="1"/>
  <c r="I7" i="60"/>
  <c r="I22" i="60" s="1"/>
  <c r="F7" i="60"/>
  <c r="F22" i="60" s="1"/>
  <c r="E10" i="79"/>
  <c r="C11" i="79"/>
  <c r="G27" i="79"/>
  <c r="E10" i="78"/>
  <c r="G26" i="78"/>
  <c r="H17" i="89"/>
  <c r="H23" i="89"/>
  <c r="H12" i="89"/>
  <c r="J23" i="89" l="1"/>
  <c r="K23" i="89" s="1"/>
  <c r="J17" i="89"/>
  <c r="K17" i="89" s="1"/>
  <c r="J12" i="89"/>
  <c r="K12" i="89" s="1"/>
  <c r="E11" i="79"/>
  <c r="C12" i="79"/>
  <c r="R35" i="79"/>
  <c r="T35" i="79" s="1"/>
  <c r="R28" i="79"/>
  <c r="T28" i="79" s="1"/>
  <c r="R36" i="79"/>
  <c r="T36" i="79" s="1"/>
  <c r="R29" i="79"/>
  <c r="T29" i="79" s="1"/>
  <c r="Q10" i="79"/>
  <c r="Q11" i="79" s="1"/>
  <c r="Q12" i="79" s="1"/>
  <c r="Q13" i="79" s="1"/>
  <c r="Q14" i="79" s="1"/>
  <c r="Q15" i="79" s="1"/>
  <c r="Q16" i="79" s="1"/>
  <c r="Q17" i="79" s="1"/>
  <c r="Q18" i="79" s="1"/>
  <c r="Q19" i="79" s="1"/>
  <c r="Q20" i="79" s="1"/>
  <c r="Q21" i="79" s="1"/>
  <c r="Q22" i="79" s="1"/>
  <c r="R40" i="79"/>
  <c r="T40" i="79" s="1"/>
  <c r="R37" i="79"/>
  <c r="T37" i="79" s="1"/>
  <c r="R30" i="79"/>
  <c r="T30" i="79" s="1"/>
  <c r="R39" i="79"/>
  <c r="T39" i="79" s="1"/>
  <c r="R32" i="79"/>
  <c r="T32" i="79" s="1"/>
  <c r="R33" i="79"/>
  <c r="T33" i="79" s="1"/>
  <c r="R38" i="79"/>
  <c r="T38" i="79" s="1"/>
  <c r="R31" i="79"/>
  <c r="T31" i="79" s="1"/>
  <c r="H10" i="79"/>
  <c r="C45" i="79" s="1"/>
  <c r="R34" i="79"/>
  <c r="T34" i="79" s="1"/>
  <c r="M10" i="134"/>
  <c r="M15" i="134"/>
  <c r="I20" i="89"/>
  <c r="M21" i="132"/>
  <c r="H10" i="89"/>
  <c r="M9" i="132"/>
  <c r="H15" i="89"/>
  <c r="H6" i="89"/>
  <c r="Y28" i="79" l="1"/>
  <c r="Z28" i="79"/>
  <c r="J15" i="89"/>
  <c r="K15" i="89" s="1"/>
  <c r="J6" i="89"/>
  <c r="K6" i="89" s="1"/>
  <c r="J10" i="89"/>
  <c r="K10" i="89" s="1"/>
  <c r="J20" i="89"/>
  <c r="K20" i="89" s="1"/>
  <c r="U28" i="79" a="1"/>
  <c r="U28" i="79" s="1"/>
  <c r="V28" i="79" s="1"/>
  <c r="U35" i="79" a="1"/>
  <c r="U35" i="79" s="1"/>
  <c r="V35" i="79" s="1"/>
  <c r="F28" i="79"/>
  <c r="K10" i="79"/>
  <c r="T10" i="79"/>
  <c r="E12" i="79"/>
  <c r="C13" i="79"/>
  <c r="H11" i="79"/>
  <c r="C52" i="79" s="1"/>
  <c r="F11" i="79"/>
  <c r="N18" i="134"/>
  <c r="M8" i="134"/>
  <c r="M16" i="132"/>
  <c r="N15" i="132"/>
  <c r="M13" i="134"/>
  <c r="Y35" i="79" l="1"/>
  <c r="L28" i="79"/>
  <c r="Z35" i="79"/>
  <c r="K25" i="89"/>
  <c r="R10" i="79"/>
  <c r="U10" i="79" s="1"/>
  <c r="L10" i="79"/>
  <c r="H12" i="79"/>
  <c r="C47" i="79" s="1"/>
  <c r="F12" i="79"/>
  <c r="E13" i="79"/>
  <c r="C14" i="79"/>
  <c r="K17" i="79"/>
  <c r="F35" i="79"/>
  <c r="T11" i="79"/>
  <c r="R21" i="72"/>
  <c r="O21" i="72"/>
  <c r="R20" i="72"/>
  <c r="O20" i="72"/>
  <c r="R19" i="72"/>
  <c r="O19" i="72"/>
  <c r="R18" i="72"/>
  <c r="O18" i="72"/>
  <c r="R17" i="72"/>
  <c r="O17" i="72"/>
  <c r="R16" i="72"/>
  <c r="O16" i="72"/>
  <c r="R15" i="72"/>
  <c r="O15" i="72"/>
  <c r="R14" i="72"/>
  <c r="O14" i="72"/>
  <c r="R13" i="72"/>
  <c r="O13" i="72"/>
  <c r="R12" i="72"/>
  <c r="O12" i="72"/>
  <c r="R11" i="72"/>
  <c r="O11" i="72"/>
  <c r="R10" i="72"/>
  <c r="O10" i="72"/>
  <c r="R9" i="72"/>
  <c r="O9" i="72"/>
  <c r="L9" i="72"/>
  <c r="E3" i="72"/>
  <c r="F3" i="72" s="1"/>
  <c r="K2" i="72"/>
  <c r="C9" i="72" s="1"/>
  <c r="J2" i="72"/>
  <c r="F2" i="72"/>
  <c r="E2" i="72"/>
  <c r="E26" i="71" a="1"/>
  <c r="E26" i="71" s="1"/>
  <c r="S21" i="71"/>
  <c r="P21" i="71"/>
  <c r="S20" i="71"/>
  <c r="P20" i="71"/>
  <c r="S19" i="71"/>
  <c r="P19" i="71"/>
  <c r="S18" i="71"/>
  <c r="P18" i="71"/>
  <c r="S17" i="71"/>
  <c r="P17" i="71"/>
  <c r="S16" i="71"/>
  <c r="P16" i="71"/>
  <c r="S15" i="71"/>
  <c r="P15" i="71"/>
  <c r="S14" i="71"/>
  <c r="P14" i="71"/>
  <c r="S13" i="71"/>
  <c r="P13" i="71"/>
  <c r="S12" i="71"/>
  <c r="P12" i="71"/>
  <c r="S11" i="71"/>
  <c r="P11" i="71"/>
  <c r="S10" i="71"/>
  <c r="P10" i="71"/>
  <c r="S9" i="71"/>
  <c r="P9" i="71"/>
  <c r="L9" i="71"/>
  <c r="E3" i="71"/>
  <c r="F3" i="71" s="1"/>
  <c r="K2" i="71" s="1"/>
  <c r="D9" i="71" s="1"/>
  <c r="J2" i="71"/>
  <c r="F2" i="71"/>
  <c r="G26" i="71" s="1"/>
  <c r="E2" i="71"/>
  <c r="N22" i="132"/>
  <c r="M11" i="132"/>
  <c r="N10" i="132"/>
  <c r="M23" i="132"/>
  <c r="M16" i="134"/>
  <c r="Y30" i="79" l="1"/>
  <c r="Z30" i="79"/>
  <c r="L35" i="79"/>
  <c r="R17" i="79"/>
  <c r="U11" i="79" s="1"/>
  <c r="L17" i="79"/>
  <c r="E14" i="79"/>
  <c r="C15" i="79"/>
  <c r="N17" i="79"/>
  <c r="H13" i="79"/>
  <c r="C54" i="79" s="1"/>
  <c r="F13" i="79"/>
  <c r="K12" i="79"/>
  <c r="F30" i="79"/>
  <c r="T12" i="79"/>
  <c r="K8" i="72"/>
  <c r="L8" i="72"/>
  <c r="D8" i="72"/>
  <c r="R36" i="71"/>
  <c r="T36" i="71" s="1"/>
  <c r="D20" i="71"/>
  <c r="R37" i="71"/>
  <c r="T37" i="71" s="1"/>
  <c r="D21" i="71"/>
  <c r="C43" i="71"/>
  <c r="R27" i="71"/>
  <c r="T27" i="71" s="1"/>
  <c r="D11" i="71"/>
  <c r="F11" i="71" s="1"/>
  <c r="R31" i="71"/>
  <c r="T31" i="71" s="1"/>
  <c r="D15" i="71"/>
  <c r="F15" i="71" s="1"/>
  <c r="Q9" i="71"/>
  <c r="Q10" i="71" s="1"/>
  <c r="Q11" i="71" s="1"/>
  <c r="Q12" i="71" s="1"/>
  <c r="Q13" i="71" s="1"/>
  <c r="Q14" i="71" s="1"/>
  <c r="Q15" i="71" s="1"/>
  <c r="Q16" i="71" s="1"/>
  <c r="Q17" i="71" s="1"/>
  <c r="Q18" i="71" s="1"/>
  <c r="Q19" i="71" s="1"/>
  <c r="Q20" i="71" s="1"/>
  <c r="Q21" i="71" s="1"/>
  <c r="T21" i="71" s="1"/>
  <c r="R33" i="71"/>
  <c r="T33" i="71" s="1"/>
  <c r="R38" i="71"/>
  <c r="T38" i="71" s="1"/>
  <c r="R28" i="71"/>
  <c r="T28" i="71" s="1"/>
  <c r="D18" i="71"/>
  <c r="F18" i="71" s="1"/>
  <c r="J9" i="71"/>
  <c r="R34" i="71"/>
  <c r="T34" i="71" s="1"/>
  <c r="D12" i="71"/>
  <c r="R35" i="71"/>
  <c r="T35" i="71" s="1"/>
  <c r="D13" i="71"/>
  <c r="F13" i="71" s="1"/>
  <c r="D10" i="71"/>
  <c r="D14" i="71"/>
  <c r="F14" i="71" s="1"/>
  <c r="R30" i="71"/>
  <c r="T30" i="71" s="1"/>
  <c r="R39" i="71"/>
  <c r="T39" i="71" s="1"/>
  <c r="R32" i="71"/>
  <c r="T32" i="71" s="1"/>
  <c r="D16" i="71"/>
  <c r="R29" i="71"/>
  <c r="T29" i="71" s="1"/>
  <c r="D17" i="71"/>
  <c r="D19" i="71"/>
  <c r="F19" i="71" s="1"/>
  <c r="C10" i="72"/>
  <c r="P9" i="72"/>
  <c r="P10" i="72" s="1"/>
  <c r="P11" i="72" s="1"/>
  <c r="P12" i="72" s="1"/>
  <c r="P13" i="72" s="1"/>
  <c r="P14" i="72" s="1"/>
  <c r="P15" i="72" s="1"/>
  <c r="P16" i="72" s="1"/>
  <c r="E9" i="72"/>
  <c r="L8" i="71"/>
  <c r="K8" i="71"/>
  <c r="C8" i="71"/>
  <c r="N17" i="132"/>
  <c r="M6" i="132"/>
  <c r="M18" i="132"/>
  <c r="N19" i="134"/>
  <c r="Y27" i="71" l="1"/>
  <c r="Z27" i="71"/>
  <c r="Y37" i="79"/>
  <c r="Z37" i="79"/>
  <c r="L30" i="79"/>
  <c r="F27" i="71"/>
  <c r="U27" i="71" a="1"/>
  <c r="U27" i="71" s="1"/>
  <c r="V27" i="71" s="1"/>
  <c r="U34" i="71" a="1"/>
  <c r="U34" i="71" s="1"/>
  <c r="V34" i="71" s="1"/>
  <c r="S13" i="72"/>
  <c r="S18" i="72"/>
  <c r="S11" i="72"/>
  <c r="T20" i="71"/>
  <c r="S9" i="72"/>
  <c r="S20" i="72"/>
  <c r="S16" i="72"/>
  <c r="S15" i="72"/>
  <c r="R12" i="79"/>
  <c r="U12" i="79" s="1"/>
  <c r="L12" i="79"/>
  <c r="N12" i="79"/>
  <c r="E15" i="79"/>
  <c r="C16" i="79"/>
  <c r="H14" i="79"/>
  <c r="C49" i="79" s="1"/>
  <c r="F14" i="79"/>
  <c r="K19" i="79"/>
  <c r="F37" i="79"/>
  <c r="T13" i="79"/>
  <c r="T10" i="71"/>
  <c r="T18" i="71"/>
  <c r="T12" i="71"/>
  <c r="T15" i="71"/>
  <c r="T9" i="71"/>
  <c r="T19" i="71"/>
  <c r="T13" i="71"/>
  <c r="T16" i="71"/>
  <c r="T17" i="71"/>
  <c r="R9" i="71"/>
  <c r="U9" i="71" s="1"/>
  <c r="T14" i="71"/>
  <c r="C46" i="71"/>
  <c r="E12" i="71"/>
  <c r="J18" i="71"/>
  <c r="R12" i="71"/>
  <c r="U18" i="71" s="1"/>
  <c r="C45" i="71"/>
  <c r="R11" i="71"/>
  <c r="U11" i="71" s="1"/>
  <c r="E11" i="71"/>
  <c r="J11" i="71"/>
  <c r="R16" i="71"/>
  <c r="U10" i="71" s="1"/>
  <c r="J10" i="71"/>
  <c r="E16" i="71"/>
  <c r="C50" i="71"/>
  <c r="P17" i="72"/>
  <c r="S10" i="72"/>
  <c r="F12" i="71"/>
  <c r="F16" i="71"/>
  <c r="E21" i="71"/>
  <c r="C55" i="71"/>
  <c r="J21" i="71"/>
  <c r="R21" i="71"/>
  <c r="U21" i="71" s="1"/>
  <c r="E10" i="72"/>
  <c r="C11" i="72"/>
  <c r="C52" i="71"/>
  <c r="J12" i="71"/>
  <c r="R18" i="71"/>
  <c r="U12" i="71" s="1"/>
  <c r="E18" i="71"/>
  <c r="F21" i="71"/>
  <c r="R20" i="71"/>
  <c r="U14" i="71" s="1"/>
  <c r="J14" i="71"/>
  <c r="C54" i="71"/>
  <c r="E20" i="71"/>
  <c r="C48" i="71"/>
  <c r="J20" i="71"/>
  <c r="R14" i="71"/>
  <c r="U20" i="71" s="1"/>
  <c r="E14" i="71"/>
  <c r="R10" i="71"/>
  <c r="U16" i="71" s="1"/>
  <c r="C44" i="71"/>
  <c r="E10" i="71"/>
  <c r="J16" i="71"/>
  <c r="C53" i="71"/>
  <c r="J19" i="71"/>
  <c r="E19" i="71"/>
  <c r="R19" i="71"/>
  <c r="U19" i="71" s="1"/>
  <c r="C47" i="71"/>
  <c r="R13" i="71"/>
  <c r="U13" i="71" s="1"/>
  <c r="E13" i="71"/>
  <c r="J13" i="71"/>
  <c r="R15" i="71"/>
  <c r="U15" i="71" s="1"/>
  <c r="E15" i="71"/>
  <c r="C49" i="71"/>
  <c r="J15" i="71"/>
  <c r="T11" i="71"/>
  <c r="R17" i="71"/>
  <c r="U17" i="71" s="1"/>
  <c r="J17" i="71"/>
  <c r="E17" i="71"/>
  <c r="C51" i="71"/>
  <c r="F10" i="71"/>
  <c r="F17" i="71"/>
  <c r="R39" i="72"/>
  <c r="T39" i="72" s="1"/>
  <c r="C44" i="72"/>
  <c r="R28" i="72"/>
  <c r="T28" i="72" s="1"/>
  <c r="R31" i="72"/>
  <c r="T31" i="72" s="1"/>
  <c r="Q9" i="72"/>
  <c r="T9" i="72" s="1"/>
  <c r="R32" i="72"/>
  <c r="T32" i="72" s="1"/>
  <c r="R40" i="72"/>
  <c r="T40" i="72" s="1"/>
  <c r="R33" i="72"/>
  <c r="T33" i="72" s="1"/>
  <c r="R36" i="72"/>
  <c r="T36" i="72" s="1"/>
  <c r="R38" i="72"/>
  <c r="T38" i="72" s="1"/>
  <c r="R30" i="72"/>
  <c r="T30" i="72" s="1"/>
  <c r="R34" i="72"/>
  <c r="T34" i="72" s="1"/>
  <c r="R29" i="72"/>
  <c r="T29" i="72" s="1"/>
  <c r="R37" i="72"/>
  <c r="T37" i="72" s="1"/>
  <c r="R35" i="72"/>
  <c r="T35" i="72" s="1"/>
  <c r="F20" i="71"/>
  <c r="N11" i="134"/>
  <c r="N24" i="132"/>
  <c r="M13" i="132"/>
  <c r="N12" i="132"/>
  <c r="M17" i="134"/>
  <c r="N6" i="134"/>
  <c r="Z34" i="71" l="1"/>
  <c r="Y34" i="71"/>
  <c r="L27" i="71"/>
  <c r="L32" i="71"/>
  <c r="Y39" i="71"/>
  <c r="Z39" i="71"/>
  <c r="L29" i="71"/>
  <c r="Y36" i="71"/>
  <c r="Z36" i="71"/>
  <c r="L37" i="71"/>
  <c r="Y32" i="71"/>
  <c r="Z32" i="71"/>
  <c r="Y35" i="71"/>
  <c r="Z35" i="71"/>
  <c r="L28" i="71"/>
  <c r="L31" i="71"/>
  <c r="Y38" i="71"/>
  <c r="Z38" i="71"/>
  <c r="U29" i="71" a="1"/>
  <c r="U29" i="71" s="1"/>
  <c r="V29" i="71" s="1"/>
  <c r="L34" i="71"/>
  <c r="Y29" i="71"/>
  <c r="Z29" i="71"/>
  <c r="Y30" i="71"/>
  <c r="Z30" i="71"/>
  <c r="L35" i="71"/>
  <c r="U36" i="71" a="1"/>
  <c r="U36" i="71" s="1"/>
  <c r="V36" i="71" s="1"/>
  <c r="L33" i="71"/>
  <c r="Y28" i="71"/>
  <c r="Z28" i="71"/>
  <c r="L38" i="71"/>
  <c r="Y33" i="71"/>
  <c r="Z33" i="71"/>
  <c r="L36" i="71"/>
  <c r="Y31" i="71"/>
  <c r="Z31" i="71"/>
  <c r="Y37" i="71"/>
  <c r="Z37" i="71"/>
  <c r="L30" i="71"/>
  <c r="L37" i="79"/>
  <c r="Y32" i="79"/>
  <c r="Z32" i="79"/>
  <c r="U28" i="72" a="1"/>
  <c r="U28" i="72" s="1"/>
  <c r="V28" i="72" s="1"/>
  <c r="U35" i="72" a="1"/>
  <c r="U35" i="72" s="1"/>
  <c r="V35" i="72" s="1"/>
  <c r="U28" i="71" a="1"/>
  <c r="U28" i="71" s="1"/>
  <c r="V28" i="71" s="1"/>
  <c r="U31" i="71" a="1"/>
  <c r="U31" i="71" s="1"/>
  <c r="V31" i="71" s="1"/>
  <c r="O31" i="71"/>
  <c r="O34" i="71"/>
  <c r="O38" i="71"/>
  <c r="O30" i="71"/>
  <c r="U37" i="71" a="1"/>
  <c r="U37" i="71" s="1"/>
  <c r="V37" i="71" s="1"/>
  <c r="O35" i="71"/>
  <c r="O33" i="71"/>
  <c r="O27" i="71"/>
  <c r="O36" i="71"/>
  <c r="O32" i="71"/>
  <c r="U30" i="71" a="1"/>
  <c r="U30" i="71" s="1"/>
  <c r="V30" i="71" s="1"/>
  <c r="U39" i="71" a="1"/>
  <c r="U39" i="71" s="1"/>
  <c r="V39" i="71" s="1"/>
  <c r="O37" i="71"/>
  <c r="O29" i="71"/>
  <c r="O28" i="71"/>
  <c r="U38" i="71" a="1"/>
  <c r="U38" i="71" s="1"/>
  <c r="V38" i="71" s="1"/>
  <c r="U35" i="71" a="1"/>
  <c r="U35" i="71" s="1"/>
  <c r="V35" i="71" s="1"/>
  <c r="U32" i="71" a="1"/>
  <c r="U32" i="71" s="1"/>
  <c r="V32" i="71" s="1"/>
  <c r="U33" i="71" a="1"/>
  <c r="U33" i="71" s="1"/>
  <c r="V33" i="71" s="1"/>
  <c r="O28" i="79"/>
  <c r="G28" i="79"/>
  <c r="E28" i="79"/>
  <c r="K14" i="79"/>
  <c r="F32" i="79"/>
  <c r="T14" i="79"/>
  <c r="R19" i="79"/>
  <c r="U13" i="79" s="1"/>
  <c r="L19" i="79"/>
  <c r="N19" i="79"/>
  <c r="E16" i="79"/>
  <c r="C17" i="79"/>
  <c r="H15" i="79"/>
  <c r="C56" i="79" s="1"/>
  <c r="F15" i="79"/>
  <c r="M13" i="71"/>
  <c r="K13" i="71"/>
  <c r="F28" i="71"/>
  <c r="G28" i="71" s="1"/>
  <c r="E36" i="71"/>
  <c r="E11" i="72"/>
  <c r="C12" i="72"/>
  <c r="K11" i="71"/>
  <c r="M11" i="71"/>
  <c r="M14" i="71"/>
  <c r="K14" i="71"/>
  <c r="C45" i="72"/>
  <c r="Q10" i="72"/>
  <c r="T16" i="72" s="1"/>
  <c r="F10" i="72"/>
  <c r="P18" i="72"/>
  <c r="S17" i="72"/>
  <c r="K15" i="71"/>
  <c r="M15" i="71"/>
  <c r="F31" i="71"/>
  <c r="G31" i="71" s="1"/>
  <c r="G27" i="71"/>
  <c r="E27" i="71"/>
  <c r="F29" i="71"/>
  <c r="G29" i="71" s="1"/>
  <c r="E37" i="71"/>
  <c r="E29" i="71"/>
  <c r="F33" i="71"/>
  <c r="G33" i="71" s="1"/>
  <c r="F28" i="72"/>
  <c r="J9" i="72"/>
  <c r="M20" i="71"/>
  <c r="K20" i="71"/>
  <c r="M21" i="71"/>
  <c r="K21" i="71"/>
  <c r="K19" i="71"/>
  <c r="M19" i="71"/>
  <c r="F37" i="71"/>
  <c r="G37" i="71" s="1"/>
  <c r="E33" i="71"/>
  <c r="E35" i="71"/>
  <c r="E30" i="71"/>
  <c r="F34" i="71"/>
  <c r="G34" i="71" s="1"/>
  <c r="F32" i="71"/>
  <c r="G32" i="71" s="1"/>
  <c r="E28" i="71"/>
  <c r="K10" i="71"/>
  <c r="L10" i="71" s="1"/>
  <c r="M10" i="71"/>
  <c r="M18" i="71"/>
  <c r="K18" i="71"/>
  <c r="F35" i="71"/>
  <c r="G35" i="71" s="1"/>
  <c r="E31" i="71"/>
  <c r="M12" i="71"/>
  <c r="K12" i="71"/>
  <c r="E38" i="71"/>
  <c r="F30" i="71"/>
  <c r="G30" i="71" s="1"/>
  <c r="M17" i="71"/>
  <c r="K17" i="71"/>
  <c r="M16" i="71"/>
  <c r="K16" i="71"/>
  <c r="F36" i="71"/>
  <c r="G36" i="71" s="1"/>
  <c r="E32" i="71"/>
  <c r="E34" i="71"/>
  <c r="F38" i="71"/>
  <c r="G38" i="71" s="1"/>
  <c r="N19" i="132"/>
  <c r="M8" i="132"/>
  <c r="N20" i="134"/>
  <c r="N14" i="134"/>
  <c r="N7" i="132"/>
  <c r="M20" i="132"/>
  <c r="N9" i="134"/>
  <c r="L32" i="79" l="1"/>
  <c r="Y39" i="79"/>
  <c r="Z39" i="79"/>
  <c r="O35" i="79"/>
  <c r="G35" i="79"/>
  <c r="R14" i="79"/>
  <c r="U14" i="79" s="1"/>
  <c r="L14" i="79"/>
  <c r="N14" i="79"/>
  <c r="E35" i="79"/>
  <c r="K21" i="79"/>
  <c r="F39" i="79"/>
  <c r="T15" i="79"/>
  <c r="E17" i="79"/>
  <c r="C18" i="79"/>
  <c r="H16" i="79"/>
  <c r="C51" i="79" s="1"/>
  <c r="F16" i="79"/>
  <c r="E12" i="72"/>
  <c r="C13" i="72"/>
  <c r="J16" i="72"/>
  <c r="F29" i="72"/>
  <c r="C46" i="72"/>
  <c r="Q11" i="72"/>
  <c r="T11" i="72" s="1"/>
  <c r="F11" i="72"/>
  <c r="P19" i="72"/>
  <c r="S12" i="72"/>
  <c r="L11" i="71"/>
  <c r="L12" i="71" s="1"/>
  <c r="L13" i="71" s="1"/>
  <c r="L14" i="71" s="1"/>
  <c r="L15" i="71" s="1"/>
  <c r="L16" i="71" s="1"/>
  <c r="L17" i="71" s="1"/>
  <c r="L18" i="71" s="1"/>
  <c r="L19" i="71" s="1"/>
  <c r="L20" i="71" s="1"/>
  <c r="L21" i="71" s="1"/>
  <c r="N7" i="134"/>
  <c r="N12" i="134"/>
  <c r="M18" i="134"/>
  <c r="N14" i="132"/>
  <c r="M15" i="132"/>
  <c r="O18" i="134" l="1"/>
  <c r="P18" i="134" s="1"/>
  <c r="O15" i="132"/>
  <c r="P15" i="132" s="1"/>
  <c r="Y34" i="79"/>
  <c r="Z34" i="79"/>
  <c r="L39" i="79"/>
  <c r="O30" i="79"/>
  <c r="G30" i="79"/>
  <c r="E18" i="79"/>
  <c r="C19" i="79"/>
  <c r="H17" i="79"/>
  <c r="C46" i="79" s="1"/>
  <c r="F17" i="79"/>
  <c r="R21" i="79"/>
  <c r="U15" i="79" s="1"/>
  <c r="L21" i="79"/>
  <c r="N21" i="79"/>
  <c r="K16" i="79"/>
  <c r="F34" i="79"/>
  <c r="E30" i="79"/>
  <c r="T16" i="79"/>
  <c r="F30" i="72"/>
  <c r="J11" i="72"/>
  <c r="C14" i="72"/>
  <c r="E13" i="72"/>
  <c r="P20" i="72"/>
  <c r="S19" i="72"/>
  <c r="C47" i="72"/>
  <c r="Q12" i="72"/>
  <c r="T18" i="72" s="1"/>
  <c r="F12" i="72"/>
  <c r="M22" i="132"/>
  <c r="N9" i="132"/>
  <c r="N15" i="134"/>
  <c r="M10" i="132"/>
  <c r="N10" i="134"/>
  <c r="N21" i="132"/>
  <c r="O15" i="134" l="1"/>
  <c r="P15" i="134" s="1"/>
  <c r="O10" i="134"/>
  <c r="P10" i="134" s="1"/>
  <c r="O10" i="132"/>
  <c r="P10" i="132" s="1"/>
  <c r="O9" i="132"/>
  <c r="P9" i="132" s="1"/>
  <c r="O22" i="132"/>
  <c r="P22" i="132" s="1"/>
  <c r="O21" i="132"/>
  <c r="P21" i="132" s="1"/>
  <c r="Y29" i="79"/>
  <c r="Z29" i="79"/>
  <c r="L34" i="79"/>
  <c r="O37" i="79"/>
  <c r="G37" i="79"/>
  <c r="F29" i="79"/>
  <c r="K11" i="79"/>
  <c r="E37" i="79"/>
  <c r="T17" i="79"/>
  <c r="E19" i="79"/>
  <c r="C20" i="79"/>
  <c r="R16" i="79"/>
  <c r="U16" i="79" s="1"/>
  <c r="L16" i="79"/>
  <c r="N16" i="79"/>
  <c r="M17" i="79"/>
  <c r="H18" i="79"/>
  <c r="C53" i="79" s="1"/>
  <c r="F18" i="79"/>
  <c r="J18" i="72"/>
  <c r="F31" i="72"/>
  <c r="C15" i="72"/>
  <c r="E14" i="72"/>
  <c r="P21" i="72"/>
  <c r="S21" i="72" s="1"/>
  <c r="S14" i="72"/>
  <c r="Q13" i="72"/>
  <c r="T13" i="72" s="1"/>
  <c r="C48" i="72"/>
  <c r="F13" i="72"/>
  <c r="M17" i="132"/>
  <c r="N13" i="134"/>
  <c r="M19" i="134"/>
  <c r="N16" i="132"/>
  <c r="N8" i="134"/>
  <c r="O8" i="134" l="1"/>
  <c r="P8" i="134" s="1"/>
  <c r="O16" i="132"/>
  <c r="P16" i="132" s="1"/>
  <c r="O19" i="134"/>
  <c r="P19" i="134" s="1"/>
  <c r="O17" i="132"/>
  <c r="P17" i="132" s="1"/>
  <c r="O13" i="134"/>
  <c r="P13" i="134" s="1"/>
  <c r="Y36" i="79"/>
  <c r="Z36" i="79"/>
  <c r="L29" i="79"/>
  <c r="O28" i="72"/>
  <c r="O32" i="79"/>
  <c r="G32" i="79"/>
  <c r="E20" i="79"/>
  <c r="C21" i="79"/>
  <c r="H19" i="79"/>
  <c r="C48" i="79" s="1"/>
  <c r="F19" i="79"/>
  <c r="E32" i="79"/>
  <c r="F36" i="79"/>
  <c r="K18" i="79"/>
  <c r="T18" i="79"/>
  <c r="R11" i="79"/>
  <c r="U17" i="79" s="1"/>
  <c r="L11" i="79"/>
  <c r="M11" i="79"/>
  <c r="N11" i="79"/>
  <c r="M12" i="79"/>
  <c r="C49" i="72"/>
  <c r="Q14" i="72"/>
  <c r="T20" i="72" s="1"/>
  <c r="F14" i="72"/>
  <c r="J13" i="72"/>
  <c r="G28" i="72"/>
  <c r="F32" i="72"/>
  <c r="E28" i="72"/>
  <c r="E15" i="72"/>
  <c r="C16" i="72"/>
  <c r="N16" i="134"/>
  <c r="M12" i="132"/>
  <c r="N23" i="132"/>
  <c r="M24" i="132"/>
  <c r="M11" i="134"/>
  <c r="N11" i="132"/>
  <c r="M6" i="134"/>
  <c r="O6" i="134" l="1"/>
  <c r="P6" i="134" s="1"/>
  <c r="O24" i="132"/>
  <c r="P24" i="132" s="1"/>
  <c r="O23" i="132"/>
  <c r="P23" i="132" s="1"/>
  <c r="O11" i="132"/>
  <c r="P11" i="132" s="1"/>
  <c r="O12" i="132"/>
  <c r="P12" i="132" s="1"/>
  <c r="O16" i="134"/>
  <c r="P16" i="134" s="1"/>
  <c r="O11" i="134"/>
  <c r="P11" i="134" s="1"/>
  <c r="Y31" i="79"/>
  <c r="L36" i="79"/>
  <c r="Z31" i="79"/>
  <c r="O29" i="72"/>
  <c r="O39" i="79"/>
  <c r="O31" i="79"/>
  <c r="G39" i="79"/>
  <c r="R18" i="79"/>
  <c r="U18" i="79" s="1"/>
  <c r="L18" i="79"/>
  <c r="M18" i="79"/>
  <c r="N18" i="79"/>
  <c r="M19" i="79"/>
  <c r="E39" i="79"/>
  <c r="K13" i="79"/>
  <c r="F31" i="79"/>
  <c r="G31" i="79" s="1"/>
  <c r="T19" i="79"/>
  <c r="E31" i="79"/>
  <c r="E21" i="79"/>
  <c r="C22" i="79"/>
  <c r="E22" i="79" s="1"/>
  <c r="H20" i="79"/>
  <c r="C55" i="79" s="1"/>
  <c r="F20" i="79"/>
  <c r="E16" i="72"/>
  <c r="C17" i="72"/>
  <c r="Q15" i="72"/>
  <c r="T15" i="72" s="1"/>
  <c r="C50" i="72"/>
  <c r="F15" i="72"/>
  <c r="E29" i="72"/>
  <c r="F33" i="72"/>
  <c r="J20" i="72"/>
  <c r="M7" i="132"/>
  <c r="M14" i="134"/>
  <c r="M20" i="134"/>
  <c r="N6" i="132"/>
  <c r="M19" i="132"/>
  <c r="N18" i="132"/>
  <c r="M9" i="134"/>
  <c r="O7" i="132" l="1"/>
  <c r="P7" i="132" s="1"/>
  <c r="O6" i="132"/>
  <c r="P6" i="132" s="1"/>
  <c r="O9" i="134"/>
  <c r="P9" i="134" s="1"/>
  <c r="O18" i="132"/>
  <c r="P18" i="132" s="1"/>
  <c r="O20" i="134"/>
  <c r="P20" i="134" s="1"/>
  <c r="O19" i="132"/>
  <c r="P19" i="132" s="1"/>
  <c r="O14" i="134"/>
  <c r="P14" i="134" s="1"/>
  <c r="Y38" i="79"/>
  <c r="Z38" i="79"/>
  <c r="L31" i="79"/>
  <c r="O30" i="72"/>
  <c r="O34" i="79"/>
  <c r="O38" i="79"/>
  <c r="G29" i="72"/>
  <c r="G34" i="79"/>
  <c r="R13" i="79"/>
  <c r="U19" i="79" s="1"/>
  <c r="M13" i="79"/>
  <c r="L13" i="79"/>
  <c r="N13" i="79"/>
  <c r="M14" i="79"/>
  <c r="E34" i="79"/>
  <c r="K20" i="79"/>
  <c r="F38" i="79"/>
  <c r="G38" i="79" s="1"/>
  <c r="T20" i="79"/>
  <c r="E38" i="79"/>
  <c r="H22" i="79"/>
  <c r="C57" i="79" s="1"/>
  <c r="F22" i="79"/>
  <c r="H21" i="79"/>
  <c r="C50" i="79" s="1"/>
  <c r="F21" i="79"/>
  <c r="F34" i="72"/>
  <c r="J15" i="72"/>
  <c r="E30" i="72"/>
  <c r="E17" i="72"/>
  <c r="C18" i="72"/>
  <c r="Q16" i="72"/>
  <c r="T10" i="72" s="1"/>
  <c r="C51" i="72"/>
  <c r="F16" i="72"/>
  <c r="N8" i="132"/>
  <c r="N13" i="132"/>
  <c r="N17" i="134"/>
  <c r="N20" i="132"/>
  <c r="M7" i="134"/>
  <c r="M12" i="134"/>
  <c r="M14" i="132"/>
  <c r="O20" i="132" l="1"/>
  <c r="P20" i="132" s="1"/>
  <c r="O8" i="132"/>
  <c r="P8" i="132" s="1"/>
  <c r="O14" i="132"/>
  <c r="P14" i="132" s="1"/>
  <c r="O17" i="134"/>
  <c r="P17" i="134" s="1"/>
  <c r="O12" i="134"/>
  <c r="P12" i="134" s="1"/>
  <c r="O13" i="132"/>
  <c r="P13" i="132" s="1"/>
  <c r="O7" i="134"/>
  <c r="P7" i="134" s="1"/>
  <c r="Z33" i="79"/>
  <c r="L38" i="79"/>
  <c r="Y33" i="79"/>
  <c r="L33" i="79"/>
  <c r="Z40" i="79"/>
  <c r="Y40" i="79"/>
  <c r="U36" i="79" a="1"/>
  <c r="U36" i="79" s="1"/>
  <c r="V36" i="79" s="1"/>
  <c r="U38" i="79" a="1"/>
  <c r="U38" i="79" s="1"/>
  <c r="V38" i="79" s="1"/>
  <c r="U29" i="79" a="1"/>
  <c r="U29" i="79" s="1"/>
  <c r="V29" i="79" s="1"/>
  <c r="U39" i="79" a="1"/>
  <c r="U39" i="79" s="1"/>
  <c r="V39" i="79" s="1"/>
  <c r="U37" i="79" a="1"/>
  <c r="U37" i="79" s="1"/>
  <c r="V37" i="79" s="1"/>
  <c r="U40" i="79" a="1"/>
  <c r="U40" i="79" s="1"/>
  <c r="V40" i="79" s="1"/>
  <c r="U33" i="79" a="1"/>
  <c r="U33" i="79" s="1"/>
  <c r="V33" i="79" s="1"/>
  <c r="U32" i="79" a="1"/>
  <c r="U32" i="79" s="1"/>
  <c r="V32" i="79" s="1"/>
  <c r="U34" i="79" a="1"/>
  <c r="U34" i="79" s="1"/>
  <c r="V34" i="79" s="1"/>
  <c r="U30" i="79" a="1"/>
  <c r="U30" i="79" s="1"/>
  <c r="V30" i="79" s="1"/>
  <c r="U31" i="79" a="1"/>
  <c r="U31" i="79" s="1"/>
  <c r="V31" i="79" s="1"/>
  <c r="O31" i="72"/>
  <c r="O36" i="79"/>
  <c r="O29" i="79"/>
  <c r="O33" i="79"/>
  <c r="G36" i="79"/>
  <c r="G30" i="72"/>
  <c r="G29" i="79"/>
  <c r="F33" i="79"/>
  <c r="G33" i="79" s="1"/>
  <c r="K15" i="79"/>
  <c r="E29" i="79"/>
  <c r="T21" i="79"/>
  <c r="E33" i="79"/>
  <c r="R20" i="79"/>
  <c r="U20" i="79" s="1"/>
  <c r="M20" i="79"/>
  <c r="L20" i="79"/>
  <c r="N20" i="79"/>
  <c r="M21" i="79"/>
  <c r="K22" i="79"/>
  <c r="E36" i="79"/>
  <c r="T22" i="79"/>
  <c r="F35" i="72"/>
  <c r="E31" i="72"/>
  <c r="J10" i="72"/>
  <c r="C52" i="72"/>
  <c r="Q17" i="72"/>
  <c r="T17" i="72" s="1"/>
  <c r="F17" i="72"/>
  <c r="M16" i="72"/>
  <c r="K16" i="72"/>
  <c r="C19" i="72"/>
  <c r="E18" i="72"/>
  <c r="P22" i="134" l="1"/>
  <c r="P26" i="132"/>
  <c r="O32" i="72"/>
  <c r="G31" i="72"/>
  <c r="R22" i="79"/>
  <c r="U22" i="79" s="1"/>
  <c r="M22" i="79"/>
  <c r="L22" i="79"/>
  <c r="N22" i="79"/>
  <c r="R15" i="79"/>
  <c r="U21" i="79" s="1"/>
  <c r="L15" i="79"/>
  <c r="M15" i="79"/>
  <c r="N15" i="79"/>
  <c r="M16" i="79"/>
  <c r="Q18" i="72"/>
  <c r="T12" i="72" s="1"/>
  <c r="C53" i="72"/>
  <c r="F18" i="72"/>
  <c r="C20" i="72"/>
  <c r="E19" i="72"/>
  <c r="F36" i="72"/>
  <c r="J17" i="72"/>
  <c r="E32" i="72"/>
  <c r="K10" i="72"/>
  <c r="L10" i="72" s="1"/>
  <c r="M10" i="72"/>
  <c r="K11" i="72"/>
  <c r="M11" i="72"/>
  <c r="O33" i="72" l="1"/>
  <c r="O37" i="72"/>
  <c r="G32" i="72"/>
  <c r="L11" i="72"/>
  <c r="E20" i="72"/>
  <c r="C21" i="72"/>
  <c r="E21" i="72" s="1"/>
  <c r="M17" i="72"/>
  <c r="K17" i="72"/>
  <c r="M18" i="72"/>
  <c r="K18" i="72"/>
  <c r="Q19" i="72"/>
  <c r="T19" i="72" s="1"/>
  <c r="C54" i="72"/>
  <c r="F19" i="72"/>
  <c r="E33" i="72"/>
  <c r="J12" i="72"/>
  <c r="F37" i="72"/>
  <c r="G37" i="72" s="1"/>
  <c r="G33" i="72"/>
  <c r="E37" i="72"/>
  <c r="O34" i="72" l="1"/>
  <c r="O38" i="72"/>
  <c r="Q21" i="72"/>
  <c r="T21" i="72" s="1"/>
  <c r="C56" i="72"/>
  <c r="F21" i="72"/>
  <c r="Q20" i="72"/>
  <c r="T14" i="72" s="1"/>
  <c r="C55" i="72"/>
  <c r="F20" i="72"/>
  <c r="M12" i="72"/>
  <c r="K12" i="72"/>
  <c r="L12" i="72" s="1"/>
  <c r="M13" i="72"/>
  <c r="K13" i="72"/>
  <c r="E34" i="72"/>
  <c r="J19" i="72"/>
  <c r="F38" i="72"/>
  <c r="G38" i="72" s="1"/>
  <c r="E38" i="72"/>
  <c r="U33" i="72" l="1" a="1"/>
  <c r="U33" i="72" s="1"/>
  <c r="V33" i="72" s="1"/>
  <c r="U40" i="72" a="1"/>
  <c r="U40" i="72" s="1"/>
  <c r="V40" i="72" s="1"/>
  <c r="U31" i="72" a="1"/>
  <c r="U31" i="72" s="1"/>
  <c r="U39" i="72" a="1"/>
  <c r="U39" i="72" s="1"/>
  <c r="V39" i="72" s="1"/>
  <c r="U29" i="72" a="1"/>
  <c r="U29" i="72" s="1"/>
  <c r="U36" i="72" a="1"/>
  <c r="U36" i="72" s="1"/>
  <c r="V36" i="72" s="1"/>
  <c r="U37" i="72" a="1"/>
  <c r="U37" i="72" s="1"/>
  <c r="V37" i="72" s="1"/>
  <c r="U34" i="72" a="1"/>
  <c r="U34" i="72" s="1"/>
  <c r="V34" i="72" s="1"/>
  <c r="U30" i="72" a="1"/>
  <c r="U30" i="72" s="1"/>
  <c r="V30" i="72" s="1"/>
  <c r="U32" i="72" a="1"/>
  <c r="U32" i="72" s="1"/>
  <c r="V32" i="72" s="1"/>
  <c r="U38" i="72" a="1"/>
  <c r="U38" i="72" s="1"/>
  <c r="V38" i="72" s="1"/>
  <c r="O35" i="72"/>
  <c r="O39" i="72"/>
  <c r="O36" i="72"/>
  <c r="G34" i="72"/>
  <c r="L13" i="72"/>
  <c r="K19" i="72"/>
  <c r="M19" i="72"/>
  <c r="M20" i="72"/>
  <c r="K20" i="72"/>
  <c r="G36" i="72"/>
  <c r="E36" i="72"/>
  <c r="J21" i="72"/>
  <c r="V31" i="72"/>
  <c r="V29" i="72"/>
  <c r="G35" i="72"/>
  <c r="E35" i="72"/>
  <c r="J14" i="72"/>
  <c r="F39" i="72"/>
  <c r="G39" i="72" s="1"/>
  <c r="E39" i="72"/>
  <c r="K14" i="72" l="1"/>
  <c r="L14" i="72" s="1"/>
  <c r="M14" i="72"/>
  <c r="M15" i="72"/>
  <c r="K15" i="72"/>
  <c r="M21" i="72"/>
  <c r="K21" i="72"/>
  <c r="L15" i="72" l="1"/>
  <c r="L16" i="72" s="1"/>
  <c r="L17" i="72" s="1"/>
  <c r="L18" i="72" s="1"/>
  <c r="L19" i="72" s="1"/>
  <c r="L20" i="72" s="1"/>
  <c r="L21" i="72" s="1"/>
  <c r="D12" i="6" l="1"/>
  <c r="S3" i="61" a="1"/>
  <c r="S4" i="61" a="1"/>
  <c r="AV4" i="61" a="1"/>
  <c r="AV3" i="61" a="1"/>
  <c r="AV5" i="61" a="1"/>
  <c r="S4" i="61" l="1"/>
  <c r="S3" i="61"/>
  <c r="AV5" i="61"/>
  <c r="AV4" i="61"/>
  <c r="AV3" i="61"/>
  <c r="R316" i="61" l="1"/>
  <c r="R317" i="61"/>
  <c r="R318" i="61"/>
  <c r="R49" i="61"/>
  <c r="R121" i="61"/>
  <c r="R125" i="61"/>
  <c r="R23" i="61"/>
  <c r="R119" i="61"/>
  <c r="R160" i="61"/>
  <c r="R158" i="61"/>
  <c r="R164" i="61"/>
  <c r="R13" i="61"/>
  <c r="R22" i="61"/>
  <c r="R89" i="61"/>
  <c r="R9" i="61"/>
  <c r="R62" i="61"/>
  <c r="R25" i="61"/>
  <c r="R33" i="61"/>
  <c r="R66" i="61"/>
  <c r="R79" i="61"/>
  <c r="R99" i="61"/>
  <c r="R96" i="61"/>
  <c r="R114" i="61"/>
  <c r="R103" i="61"/>
  <c r="R126" i="61"/>
  <c r="R155" i="61"/>
  <c r="R159" i="61"/>
  <c r="R211" i="61"/>
  <c r="R215" i="61"/>
  <c r="R81" i="61"/>
  <c r="R83" i="61"/>
  <c r="R98" i="61"/>
  <c r="R61" i="61"/>
  <c r="R245" i="61"/>
  <c r="R244" i="61"/>
  <c r="R43" i="61"/>
  <c r="R225" i="61"/>
  <c r="R207" i="61"/>
  <c r="R256" i="61"/>
  <c r="R173" i="61"/>
  <c r="R122" i="61"/>
  <c r="R144" i="61"/>
  <c r="R136" i="61"/>
  <c r="R260" i="61"/>
  <c r="R263" i="61"/>
  <c r="R50" i="61"/>
  <c r="R238" i="61"/>
  <c r="R41" i="61"/>
  <c r="R82" i="61"/>
  <c r="R84" i="61"/>
  <c r="R117" i="61"/>
  <c r="R109" i="61"/>
  <c r="R30" i="61"/>
  <c r="R19" i="61"/>
  <c r="R77" i="61"/>
  <c r="R176" i="61"/>
  <c r="R175" i="61"/>
  <c r="R283" i="61"/>
  <c r="R250" i="61"/>
  <c r="R163" i="61"/>
  <c r="R91" i="61"/>
  <c r="R76" i="61"/>
  <c r="R168" i="61"/>
  <c r="R196" i="61"/>
  <c r="R192" i="61"/>
  <c r="R251" i="61"/>
  <c r="R257" i="61"/>
  <c r="R221" i="61"/>
  <c r="R14" i="61"/>
  <c r="R20" i="61"/>
  <c r="R138" i="61"/>
  <c r="R12" i="61"/>
  <c r="R131" i="61"/>
  <c r="R286" i="61"/>
  <c r="R285" i="61"/>
  <c r="R328" i="61"/>
  <c r="R327" i="61"/>
  <c r="R333" i="61"/>
  <c r="R332" i="61"/>
  <c r="R223" i="61"/>
  <c r="R305" i="61"/>
  <c r="R301" i="61"/>
  <c r="R183" i="61"/>
  <c r="R255" i="61"/>
  <c r="R219" i="61"/>
  <c r="R321" i="61"/>
  <c r="R249" i="61"/>
  <c r="R252" i="61"/>
  <c r="R254" i="61"/>
  <c r="R240" i="61"/>
  <c r="R241" i="61"/>
  <c r="R231" i="61"/>
  <c r="R237" i="61"/>
  <c r="R147" i="61"/>
  <c r="R187" i="61"/>
  <c r="R195" i="61"/>
  <c r="R323" i="61"/>
  <c r="R120" i="61"/>
  <c r="R315" i="61"/>
  <c r="R322" i="61"/>
  <c r="R319" i="61"/>
  <c r="R324" i="61"/>
  <c r="R232" i="61"/>
  <c r="R209" i="61"/>
  <c r="R179" i="61"/>
  <c r="R170" i="61"/>
  <c r="R153" i="61"/>
  <c r="R130" i="61"/>
  <c r="R273" i="61"/>
  <c r="R38" i="61"/>
  <c r="R52" i="61"/>
  <c r="R69" i="61"/>
  <c r="R293" i="61"/>
  <c r="R296" i="61"/>
  <c r="R297" i="61"/>
  <c r="R300" i="61"/>
  <c r="R303" i="61"/>
  <c r="R304" i="61"/>
  <c r="R234" i="61"/>
  <c r="R186" i="61"/>
  <c r="R151" i="61"/>
  <c r="R193" i="61"/>
  <c r="R224" i="61"/>
  <c r="R222" i="61"/>
  <c r="R202" i="61"/>
  <c r="R198" i="61"/>
  <c r="R180" i="61"/>
  <c r="R292" i="61"/>
  <c r="R189" i="61"/>
  <c r="R137" i="61"/>
  <c r="R140" i="61"/>
  <c r="R287" i="61"/>
  <c r="R284" i="61"/>
  <c r="R334" i="61"/>
  <c r="R336" i="61"/>
  <c r="R335" i="61"/>
  <c r="R220" i="61"/>
  <c r="R294" i="61"/>
  <c r="R295" i="61"/>
  <c r="R56" i="61"/>
  <c r="R80" i="61"/>
  <c r="R58" i="61"/>
  <c r="R60" i="61"/>
  <c r="R93" i="61"/>
  <c r="R90" i="61"/>
  <c r="R149" i="61"/>
  <c r="R148" i="61"/>
  <c r="R299" i="61"/>
  <c r="R165" i="61"/>
  <c r="R280" i="61"/>
  <c r="R279" i="61"/>
  <c r="R201" i="61"/>
  <c r="R203" i="61"/>
  <c r="R230" i="61"/>
  <c r="R236" i="61"/>
  <c r="R325" i="61"/>
  <c r="R326" i="61"/>
  <c r="R167" i="61"/>
  <c r="R171" i="61"/>
  <c r="R253" i="61"/>
  <c r="R275" i="61"/>
  <c r="R269" i="61"/>
  <c r="R278" i="61"/>
  <c r="R178" i="61"/>
  <c r="R75" i="61"/>
  <c r="R213" i="61"/>
  <c r="R212" i="61"/>
  <c r="R271" i="61"/>
  <c r="R272" i="61"/>
  <c r="R45" i="61"/>
  <c r="R104" i="61"/>
  <c r="R108" i="61"/>
  <c r="R11" i="61"/>
  <c r="R92" i="61"/>
  <c r="R124" i="61"/>
  <c r="R111" i="61"/>
  <c r="R24" i="61"/>
  <c r="R29" i="61"/>
  <c r="R15" i="61"/>
  <c r="R18" i="61"/>
  <c r="R102" i="61"/>
  <c r="R107" i="61"/>
  <c r="R74" i="61"/>
  <c r="R16" i="61"/>
  <c r="R226" i="61"/>
  <c r="R282" i="61"/>
  <c r="R235" i="61"/>
  <c r="R290" i="61"/>
  <c r="R281" i="61"/>
  <c r="R265" i="61"/>
  <c r="R310" i="61"/>
  <c r="R312" i="61"/>
  <c r="R261" i="61"/>
  <c r="R63" i="61"/>
  <c r="R105" i="61"/>
  <c r="R100" i="61"/>
  <c r="R270" i="61"/>
  <c r="R55" i="61"/>
  <c r="R313" i="61"/>
  <c r="R97" i="61"/>
  <c r="R42" i="61"/>
  <c r="R40" i="61"/>
  <c r="R31" i="61"/>
  <c r="R10" i="61"/>
  <c r="R64" i="61"/>
  <c r="R28" i="61"/>
  <c r="R113" i="61"/>
  <c r="R132" i="61"/>
  <c r="R48" i="61"/>
  <c r="R35" i="61"/>
  <c r="R106" i="61"/>
  <c r="R17" i="61"/>
  <c r="R87" i="61"/>
  <c r="R135" i="61"/>
  <c r="R54" i="61"/>
  <c r="R110" i="61"/>
  <c r="R123" i="61"/>
  <c r="R95" i="61"/>
  <c r="R73" i="61"/>
  <c r="R320" i="61"/>
  <c r="R94" i="61"/>
  <c r="R266" i="61"/>
  <c r="R268" i="61"/>
  <c r="R258" i="61"/>
  <c r="R259" i="61"/>
  <c r="R129" i="61"/>
  <c r="R197" i="61"/>
  <c r="R216" i="61"/>
  <c r="R217" i="61"/>
  <c r="R331" i="61"/>
  <c r="R218" i="61"/>
  <c r="R239" i="61"/>
  <c r="R194" i="61"/>
  <c r="R291" i="61"/>
  <c r="R118" i="61"/>
  <c r="R88" i="61"/>
  <c r="R127" i="61"/>
  <c r="R133" i="61"/>
  <c r="R128" i="61"/>
  <c r="R134" i="61"/>
  <c r="R205" i="61"/>
  <c r="R204" i="61"/>
  <c r="R206" i="61"/>
  <c r="R191" i="61"/>
  <c r="R172" i="61"/>
  <c r="R302" i="61"/>
  <c r="R174" i="61"/>
  <c r="R166" i="61"/>
  <c r="R37" i="61"/>
  <c r="R32" i="61"/>
  <c r="R21" i="61"/>
  <c r="R142" i="61"/>
  <c r="R143" i="61"/>
  <c r="R72" i="61"/>
  <c r="R71" i="61"/>
  <c r="R184" i="61"/>
  <c r="R185" i="61"/>
  <c r="R243" i="61"/>
  <c r="R264" i="61"/>
  <c r="R247" i="61"/>
  <c r="R51" i="61"/>
  <c r="R68" i="61"/>
  <c r="R47" i="61"/>
  <c r="R101" i="61"/>
  <c r="R86" i="61"/>
  <c r="R57" i="61"/>
  <c r="R139" i="61"/>
  <c r="R146" i="61"/>
  <c r="R277" i="61"/>
  <c r="R309" i="61"/>
  <c r="R210" i="61"/>
  <c r="R214" i="61"/>
  <c r="R34" i="61"/>
  <c r="R26" i="61"/>
  <c r="R36" i="61"/>
  <c r="R27" i="61"/>
  <c r="R46" i="61"/>
  <c r="R39" i="61"/>
  <c r="R314" i="61"/>
  <c r="R262" i="61"/>
  <c r="R53" i="61"/>
  <c r="R228" i="61"/>
  <c r="R298" i="61"/>
  <c r="R311" i="61"/>
  <c r="R306" i="61"/>
  <c r="R145" i="61"/>
  <c r="R177" i="61"/>
  <c r="R156" i="61"/>
  <c r="R200" i="61"/>
  <c r="R157" i="61"/>
  <c r="R199" i="61"/>
  <c r="R162" i="61"/>
  <c r="R190" i="61"/>
  <c r="R208" i="61"/>
  <c r="R233" i="61"/>
  <c r="R152" i="61"/>
  <c r="R154" i="61"/>
  <c r="R78" i="61"/>
  <c r="R115" i="61"/>
  <c r="R112" i="61"/>
  <c r="R288" i="61"/>
  <c r="R289" i="61"/>
  <c r="R65" i="61"/>
  <c r="R161" i="61"/>
  <c r="R169" i="61"/>
  <c r="R8" i="61"/>
  <c r="R44" i="61"/>
  <c r="R59" i="61"/>
  <c r="R274" i="61"/>
  <c r="R188" i="61"/>
  <c r="R67" i="61"/>
  <c r="R85" i="61"/>
  <c r="R70" i="61"/>
  <c r="R267" i="61"/>
  <c r="R229" i="61"/>
  <c r="R227" i="61"/>
  <c r="R150" i="61"/>
  <c r="R141" i="61"/>
  <c r="R276" i="61"/>
  <c r="R116" i="61"/>
  <c r="R242" i="61"/>
  <c r="R246" i="61"/>
  <c r="R248" i="61"/>
  <c r="R182" i="61"/>
  <c r="R181" i="61"/>
  <c r="R330" i="61"/>
  <c r="R329" i="61"/>
  <c r="R307" i="61"/>
  <c r="R308" i="61"/>
  <c r="AI268" i="61" l="1"/>
  <c r="BL268" i="61" s="1"/>
  <c r="AM268" i="61"/>
  <c r="BP268" i="61" s="1"/>
  <c r="AL268" i="61"/>
  <c r="BO268" i="61" s="1"/>
  <c r="AO268" i="61"/>
  <c r="BR268" i="61" s="1"/>
  <c r="AH268" i="61"/>
  <c r="BK268" i="61" s="1"/>
  <c r="AK268" i="61"/>
  <c r="BN268" i="61" s="1"/>
  <c r="AQ268" i="61"/>
  <c r="BT268" i="61" s="1"/>
  <c r="AP268" i="61"/>
  <c r="BS268" i="61" s="1"/>
  <c r="AJ268" i="61"/>
  <c r="BM268" i="61" s="1"/>
  <c r="AN268" i="61"/>
  <c r="BQ268" i="61" s="1"/>
  <c r="AH122" i="61"/>
  <c r="BK122" i="61" s="1"/>
  <c r="AN122" i="61"/>
  <c r="BQ122" i="61" s="1"/>
  <c r="AQ122" i="61"/>
  <c r="BT122" i="61" s="1"/>
  <c r="AM122" i="61"/>
  <c r="BP122" i="61" s="1"/>
  <c r="AK122" i="61"/>
  <c r="BN122" i="61" s="1"/>
  <c r="AI122" i="61"/>
  <c r="BL122" i="61" s="1"/>
  <c r="AP122" i="61"/>
  <c r="BS122" i="61" s="1"/>
  <c r="AO122" i="61"/>
  <c r="BR122" i="61" s="1"/>
  <c r="AL122" i="61"/>
  <c r="BO122" i="61" s="1"/>
  <c r="AJ122" i="61"/>
  <c r="BM122" i="61" s="1"/>
  <c r="AI32" i="61"/>
  <c r="BL32" i="61" s="1"/>
  <c r="AL32" i="61"/>
  <c r="BO32" i="61" s="1"/>
  <c r="AO32" i="61"/>
  <c r="BR32" i="61" s="1"/>
  <c r="AP32" i="61"/>
  <c r="BS32" i="61" s="1"/>
  <c r="AM32" i="61"/>
  <c r="BP32" i="61" s="1"/>
  <c r="AJ32" i="61"/>
  <c r="BM32" i="61" s="1"/>
  <c r="AQ32" i="61"/>
  <c r="BT32" i="61" s="1"/>
  <c r="AH32" i="61"/>
  <c r="BK32" i="61" s="1"/>
  <c r="AN32" i="61"/>
  <c r="BQ32" i="61" s="1"/>
  <c r="AK32" i="61"/>
  <c r="BN32" i="61" s="1"/>
  <c r="AM213" i="61"/>
  <c r="BP213" i="61" s="1"/>
  <c r="AO213" i="61"/>
  <c r="BR213" i="61" s="1"/>
  <c r="AJ213" i="61"/>
  <c r="BM213" i="61" s="1"/>
  <c r="AN213" i="61"/>
  <c r="BQ213" i="61" s="1"/>
  <c r="AP213" i="61"/>
  <c r="BS213" i="61" s="1"/>
  <c r="AK213" i="61"/>
  <c r="BN213" i="61" s="1"/>
  <c r="AH213" i="61"/>
  <c r="BK213" i="61" s="1"/>
  <c r="AI213" i="61"/>
  <c r="BL213" i="61" s="1"/>
  <c r="AL213" i="61"/>
  <c r="BO213" i="61" s="1"/>
  <c r="AQ213" i="61"/>
  <c r="BT213" i="61" s="1"/>
  <c r="AI246" i="61"/>
  <c r="BL246" i="61" s="1"/>
  <c r="AL246" i="61"/>
  <c r="BO246" i="61" s="1"/>
  <c r="AH246" i="61"/>
  <c r="BK246" i="61" s="1"/>
  <c r="AJ246" i="61"/>
  <c r="BM246" i="61" s="1"/>
  <c r="AK246" i="61"/>
  <c r="BN246" i="61" s="1"/>
  <c r="AN246" i="61"/>
  <c r="BQ246" i="61" s="1"/>
  <c r="AM246" i="61"/>
  <c r="BP246" i="61" s="1"/>
  <c r="AO246" i="61"/>
  <c r="BR246" i="61" s="1"/>
  <c r="AQ246" i="61"/>
  <c r="BT246" i="61" s="1"/>
  <c r="AP246" i="61"/>
  <c r="BS246" i="61" s="1"/>
  <c r="AL59" i="61"/>
  <c r="BO59" i="61" s="1"/>
  <c r="AK59" i="61"/>
  <c r="BN59" i="61" s="1"/>
  <c r="AQ59" i="61"/>
  <c r="BT59" i="61" s="1"/>
  <c r="AN59" i="61"/>
  <c r="BQ59" i="61" s="1"/>
  <c r="AM59" i="61"/>
  <c r="BP59" i="61" s="1"/>
  <c r="AH59" i="61"/>
  <c r="BK59" i="61" s="1"/>
  <c r="AO59" i="61"/>
  <c r="BR59" i="61" s="1"/>
  <c r="AI59" i="61"/>
  <c r="BL59" i="61" s="1"/>
  <c r="AJ59" i="61"/>
  <c r="BM59" i="61" s="1"/>
  <c r="AP59" i="61"/>
  <c r="BS59" i="61" s="1"/>
  <c r="AH208" i="61"/>
  <c r="BK208" i="61" s="1"/>
  <c r="AO208" i="61"/>
  <c r="BR208" i="61" s="1"/>
  <c r="AK208" i="61"/>
  <c r="BN208" i="61" s="1"/>
  <c r="AN208" i="61"/>
  <c r="BQ208" i="61" s="1"/>
  <c r="AJ208" i="61"/>
  <c r="BM208" i="61" s="1"/>
  <c r="AQ208" i="61"/>
  <c r="BT208" i="61" s="1"/>
  <c r="AL208" i="61"/>
  <c r="BO208" i="61" s="1"/>
  <c r="AI208" i="61"/>
  <c r="BL208" i="61" s="1"/>
  <c r="AM208" i="61"/>
  <c r="BP208" i="61" s="1"/>
  <c r="AP208" i="61"/>
  <c r="BS208" i="61" s="1"/>
  <c r="AL262" i="61"/>
  <c r="BO262" i="61" s="1"/>
  <c r="AO262" i="61"/>
  <c r="BR262" i="61" s="1"/>
  <c r="AQ262" i="61"/>
  <c r="BT262" i="61" s="1"/>
  <c r="AI262" i="61"/>
  <c r="BL262" i="61" s="1"/>
  <c r="AJ262" i="61"/>
  <c r="BM262" i="61" s="1"/>
  <c r="AP262" i="61"/>
  <c r="BS262" i="61" s="1"/>
  <c r="AH262" i="61"/>
  <c r="BK262" i="61" s="1"/>
  <c r="AK262" i="61"/>
  <c r="BN262" i="61" s="1"/>
  <c r="AM262" i="61"/>
  <c r="BP262" i="61" s="1"/>
  <c r="AN262" i="61"/>
  <c r="BQ262" i="61" s="1"/>
  <c r="AI57" i="61"/>
  <c r="BL57" i="61" s="1"/>
  <c r="AN57" i="61"/>
  <c r="BQ57" i="61" s="1"/>
  <c r="AM57" i="61"/>
  <c r="BP57" i="61" s="1"/>
  <c r="AK57" i="61"/>
  <c r="BN57" i="61" s="1"/>
  <c r="AH57" i="61"/>
  <c r="BK57" i="61" s="1"/>
  <c r="AP57" i="61"/>
  <c r="BS57" i="61" s="1"/>
  <c r="AO57" i="61"/>
  <c r="BR57" i="61" s="1"/>
  <c r="AL57" i="61"/>
  <c r="BO57" i="61" s="1"/>
  <c r="AQ57" i="61"/>
  <c r="BT57" i="61" s="1"/>
  <c r="AJ57" i="61"/>
  <c r="BM57" i="61" s="1"/>
  <c r="AO142" i="61"/>
  <c r="BR142" i="61" s="1"/>
  <c r="AP142" i="61"/>
  <c r="BS142" i="61" s="1"/>
  <c r="AL142" i="61"/>
  <c r="BO142" i="61" s="1"/>
  <c r="AQ142" i="61"/>
  <c r="BT142" i="61" s="1"/>
  <c r="AK142" i="61"/>
  <c r="BN142" i="61" s="1"/>
  <c r="AH142" i="61"/>
  <c r="BK142" i="61" s="1"/>
  <c r="AN142" i="61"/>
  <c r="BQ142" i="61" s="1"/>
  <c r="AJ142" i="61"/>
  <c r="BM142" i="61" s="1"/>
  <c r="AM142" i="61"/>
  <c r="BP142" i="61" s="1"/>
  <c r="AI142" i="61"/>
  <c r="BL142" i="61" s="1"/>
  <c r="AH133" i="61"/>
  <c r="BK133" i="61" s="1"/>
  <c r="AQ133" i="61"/>
  <c r="BT133" i="61" s="1"/>
  <c r="AJ133" i="61"/>
  <c r="BM133" i="61" s="1"/>
  <c r="AK133" i="61"/>
  <c r="BN133" i="61" s="1"/>
  <c r="AO133" i="61"/>
  <c r="BR133" i="61" s="1"/>
  <c r="AP133" i="61"/>
  <c r="BS133" i="61" s="1"/>
  <c r="AL133" i="61"/>
  <c r="BO133" i="61" s="1"/>
  <c r="AM133" i="61"/>
  <c r="BP133" i="61" s="1"/>
  <c r="AN133" i="61"/>
  <c r="BQ133" i="61" s="1"/>
  <c r="AI133" i="61"/>
  <c r="BL133" i="61" s="1"/>
  <c r="AM258" i="61"/>
  <c r="BP258" i="61" s="1"/>
  <c r="AH258" i="61"/>
  <c r="BK258" i="61" s="1"/>
  <c r="AN258" i="61"/>
  <c r="BQ258" i="61" s="1"/>
  <c r="AK258" i="61"/>
  <c r="BN258" i="61" s="1"/>
  <c r="AI258" i="61"/>
  <c r="BL258" i="61" s="1"/>
  <c r="AO258" i="61"/>
  <c r="BR258" i="61" s="1"/>
  <c r="AP258" i="61"/>
  <c r="BS258" i="61" s="1"/>
  <c r="AQ258" i="61"/>
  <c r="BT258" i="61" s="1"/>
  <c r="AJ258" i="61"/>
  <c r="BM258" i="61" s="1"/>
  <c r="AL258" i="61"/>
  <c r="BO258" i="61" s="1"/>
  <c r="AM35" i="61"/>
  <c r="BP35" i="61" s="1"/>
  <c r="AL35" i="61"/>
  <c r="BO35" i="61" s="1"/>
  <c r="AJ35" i="61"/>
  <c r="BM35" i="61" s="1"/>
  <c r="AK35" i="61"/>
  <c r="BN35" i="61" s="1"/>
  <c r="AO35" i="61"/>
  <c r="BR35" i="61" s="1"/>
  <c r="AP35" i="61"/>
  <c r="BS35" i="61" s="1"/>
  <c r="AN35" i="61"/>
  <c r="BQ35" i="61" s="1"/>
  <c r="AI35" i="61"/>
  <c r="BL35" i="61" s="1"/>
  <c r="AQ35" i="61"/>
  <c r="BT35" i="61" s="1"/>
  <c r="AH35" i="61"/>
  <c r="BK35" i="61" s="1"/>
  <c r="AK100" i="61"/>
  <c r="BN100" i="61" s="1"/>
  <c r="AM100" i="61"/>
  <c r="BP100" i="61" s="1"/>
  <c r="AJ100" i="61"/>
  <c r="BM100" i="61" s="1"/>
  <c r="AL100" i="61"/>
  <c r="BO100" i="61" s="1"/>
  <c r="AH100" i="61"/>
  <c r="BK100" i="61" s="1"/>
  <c r="AI100" i="61"/>
  <c r="BL100" i="61" s="1"/>
  <c r="AP100" i="61"/>
  <c r="BS100" i="61" s="1"/>
  <c r="AQ100" i="61"/>
  <c r="BT100" i="61" s="1"/>
  <c r="AN100" i="61"/>
  <c r="BQ100" i="61" s="1"/>
  <c r="AO100" i="61"/>
  <c r="BR100" i="61" s="1"/>
  <c r="AO107" i="61"/>
  <c r="BR107" i="61" s="1"/>
  <c r="AK107" i="61"/>
  <c r="BN107" i="61" s="1"/>
  <c r="AQ107" i="61"/>
  <c r="BT107" i="61" s="1"/>
  <c r="AH107" i="61"/>
  <c r="BK107" i="61" s="1"/>
  <c r="AI107" i="61"/>
  <c r="BL107" i="61" s="1"/>
  <c r="AJ107" i="61"/>
  <c r="BM107" i="61" s="1"/>
  <c r="AM107" i="61"/>
  <c r="BP107" i="61" s="1"/>
  <c r="AL107" i="61"/>
  <c r="BO107" i="61" s="1"/>
  <c r="AN107" i="61"/>
  <c r="BQ107" i="61" s="1"/>
  <c r="AP107" i="61"/>
  <c r="BS107" i="61" s="1"/>
  <c r="AH271" i="61"/>
  <c r="BK271" i="61" s="1"/>
  <c r="AI271" i="61"/>
  <c r="BL271" i="61" s="1"/>
  <c r="AJ271" i="61"/>
  <c r="BM271" i="61" s="1"/>
  <c r="AN271" i="61"/>
  <c r="BQ271" i="61" s="1"/>
  <c r="AM271" i="61"/>
  <c r="BP271" i="61" s="1"/>
  <c r="AP271" i="61"/>
  <c r="BS271" i="61" s="1"/>
  <c r="AO271" i="61"/>
  <c r="BR271" i="61" s="1"/>
  <c r="AQ271" i="61"/>
  <c r="BT271" i="61" s="1"/>
  <c r="AL271" i="61"/>
  <c r="BO271" i="61" s="1"/>
  <c r="AK271" i="61"/>
  <c r="BN271" i="61" s="1"/>
  <c r="AH230" i="61"/>
  <c r="BK230" i="61" s="1"/>
  <c r="AQ230" i="61"/>
  <c r="BT230" i="61" s="1"/>
  <c r="AL230" i="61"/>
  <c r="BO230" i="61" s="1"/>
  <c r="AP230" i="61"/>
  <c r="BS230" i="61" s="1"/>
  <c r="AO230" i="61"/>
  <c r="BR230" i="61" s="1"/>
  <c r="AJ230" i="61"/>
  <c r="BM230" i="61" s="1"/>
  <c r="AN230" i="61"/>
  <c r="BQ230" i="61" s="1"/>
  <c r="AI230" i="61"/>
  <c r="BL230" i="61" s="1"/>
  <c r="AK230" i="61"/>
  <c r="BN230" i="61" s="1"/>
  <c r="AM230" i="61"/>
  <c r="BP230" i="61" s="1"/>
  <c r="AP56" i="61"/>
  <c r="BS56" i="61" s="1"/>
  <c r="AM56" i="61"/>
  <c r="BP56" i="61" s="1"/>
  <c r="AH56" i="61"/>
  <c r="BK56" i="61" s="1"/>
  <c r="AI56" i="61"/>
  <c r="BL56" i="61" s="1"/>
  <c r="AK56" i="61"/>
  <c r="BN56" i="61" s="1"/>
  <c r="AQ56" i="61"/>
  <c r="BT56" i="61" s="1"/>
  <c r="AL56" i="61"/>
  <c r="BO56" i="61" s="1"/>
  <c r="AO56" i="61"/>
  <c r="BR56" i="61" s="1"/>
  <c r="AJ56" i="61"/>
  <c r="BM56" i="61" s="1"/>
  <c r="AN56" i="61"/>
  <c r="BQ56" i="61" s="1"/>
  <c r="AL198" i="61"/>
  <c r="BO198" i="61" s="1"/>
  <c r="AI198" i="61"/>
  <c r="BL198" i="61" s="1"/>
  <c r="AQ198" i="61"/>
  <c r="BT198" i="61" s="1"/>
  <c r="AH198" i="61"/>
  <c r="BK198" i="61" s="1"/>
  <c r="AJ198" i="61"/>
  <c r="BM198" i="61" s="1"/>
  <c r="AK198" i="61"/>
  <c r="BN198" i="61" s="1"/>
  <c r="AM198" i="61"/>
  <c r="BP198" i="61" s="1"/>
  <c r="AO198" i="61"/>
  <c r="BR198" i="61" s="1"/>
  <c r="AN198" i="61"/>
  <c r="BQ198" i="61" s="1"/>
  <c r="AP198" i="61"/>
  <c r="BS198" i="61" s="1"/>
  <c r="AN69" i="61"/>
  <c r="BQ69" i="61" s="1"/>
  <c r="AP69" i="61"/>
  <c r="BS69" i="61" s="1"/>
  <c r="AO69" i="61"/>
  <c r="BR69" i="61" s="1"/>
  <c r="AQ69" i="61"/>
  <c r="BT69" i="61" s="1"/>
  <c r="AI69" i="61"/>
  <c r="BL69" i="61" s="1"/>
  <c r="AH69" i="61"/>
  <c r="BK69" i="61" s="1"/>
  <c r="AJ69" i="61"/>
  <c r="BM69" i="61" s="1"/>
  <c r="AL69" i="61"/>
  <c r="BO69" i="61" s="1"/>
  <c r="AK69" i="61"/>
  <c r="BN69" i="61" s="1"/>
  <c r="AM69" i="61"/>
  <c r="BP69" i="61" s="1"/>
  <c r="AQ120" i="61"/>
  <c r="BT120" i="61" s="1"/>
  <c r="AP120" i="61"/>
  <c r="BS120" i="61" s="1"/>
  <c r="AI120" i="61"/>
  <c r="BL120" i="61" s="1"/>
  <c r="AJ120" i="61"/>
  <c r="BM120" i="61" s="1"/>
  <c r="AL120" i="61"/>
  <c r="BO120" i="61" s="1"/>
  <c r="AN120" i="61"/>
  <c r="BQ120" i="61" s="1"/>
  <c r="AK120" i="61"/>
  <c r="BN120" i="61" s="1"/>
  <c r="AH120" i="61"/>
  <c r="BK120" i="61" s="1"/>
  <c r="AM120" i="61"/>
  <c r="BP120" i="61" s="1"/>
  <c r="AO120" i="61"/>
  <c r="BR120" i="61" s="1"/>
  <c r="AJ255" i="61"/>
  <c r="BM255" i="61" s="1"/>
  <c r="AM255" i="61"/>
  <c r="BP255" i="61" s="1"/>
  <c r="AP255" i="61"/>
  <c r="BS255" i="61" s="1"/>
  <c r="AQ255" i="61"/>
  <c r="BT255" i="61" s="1"/>
  <c r="AN255" i="61"/>
  <c r="BQ255" i="61" s="1"/>
  <c r="AH255" i="61"/>
  <c r="BK255" i="61" s="1"/>
  <c r="AI255" i="61"/>
  <c r="BL255" i="61" s="1"/>
  <c r="AK255" i="61"/>
  <c r="BN255" i="61" s="1"/>
  <c r="AL255" i="61"/>
  <c r="BO255" i="61" s="1"/>
  <c r="AO255" i="61"/>
  <c r="BR255" i="61" s="1"/>
  <c r="AI20" i="61"/>
  <c r="BL20" i="61" s="1"/>
  <c r="AJ20" i="61"/>
  <c r="BM20" i="61" s="1"/>
  <c r="AK20" i="61"/>
  <c r="BN20" i="61" s="1"/>
  <c r="AP20" i="61"/>
  <c r="BS20" i="61" s="1"/>
  <c r="AH20" i="61"/>
  <c r="BK20" i="61" s="1"/>
  <c r="AL20" i="61"/>
  <c r="BO20" i="61" s="1"/>
  <c r="AQ20" i="61"/>
  <c r="BT20" i="61" s="1"/>
  <c r="AM20" i="61"/>
  <c r="BP20" i="61" s="1"/>
  <c r="AN20" i="61"/>
  <c r="BQ20" i="61" s="1"/>
  <c r="AO20" i="61"/>
  <c r="BR20" i="61" s="1"/>
  <c r="AP176" i="61"/>
  <c r="BS176" i="61" s="1"/>
  <c r="AH176" i="61"/>
  <c r="BK176" i="61" s="1"/>
  <c r="AM176" i="61"/>
  <c r="BP176" i="61" s="1"/>
  <c r="AI176" i="61"/>
  <c r="BL176" i="61" s="1"/>
  <c r="AL176" i="61"/>
  <c r="BO176" i="61" s="1"/>
  <c r="AJ176" i="61"/>
  <c r="BM176" i="61" s="1"/>
  <c r="AK176" i="61"/>
  <c r="BN176" i="61" s="1"/>
  <c r="AN176" i="61"/>
  <c r="BQ176" i="61" s="1"/>
  <c r="AQ176" i="61"/>
  <c r="BT176" i="61" s="1"/>
  <c r="AO176" i="61"/>
  <c r="BR176" i="61" s="1"/>
  <c r="AH144" i="61"/>
  <c r="BK144" i="61" s="1"/>
  <c r="AO144" i="61"/>
  <c r="BR144" i="61" s="1"/>
  <c r="AP144" i="61"/>
  <c r="BS144" i="61" s="1"/>
  <c r="AQ144" i="61"/>
  <c r="BT144" i="61" s="1"/>
  <c r="AI144" i="61"/>
  <c r="BL144" i="61" s="1"/>
  <c r="AN144" i="61"/>
  <c r="BQ144" i="61" s="1"/>
  <c r="AM144" i="61"/>
  <c r="BP144" i="61" s="1"/>
  <c r="AK144" i="61"/>
  <c r="BN144" i="61" s="1"/>
  <c r="AJ144" i="61"/>
  <c r="BM144" i="61" s="1"/>
  <c r="AL144" i="61"/>
  <c r="BO144" i="61" s="1"/>
  <c r="AQ211" i="61"/>
  <c r="BT211" i="61" s="1"/>
  <c r="AP211" i="61"/>
  <c r="BS211" i="61" s="1"/>
  <c r="AL211" i="61"/>
  <c r="BO211" i="61" s="1"/>
  <c r="AJ211" i="61"/>
  <c r="BM211" i="61" s="1"/>
  <c r="AN211" i="61"/>
  <c r="BQ211" i="61" s="1"/>
  <c r="AK211" i="61"/>
  <c r="BN211" i="61" s="1"/>
  <c r="AH211" i="61"/>
  <c r="BK211" i="61" s="1"/>
  <c r="AI211" i="61"/>
  <c r="BL211" i="61" s="1"/>
  <c r="AM211" i="61"/>
  <c r="BP211" i="61" s="1"/>
  <c r="AO211" i="61"/>
  <c r="BR211" i="61" s="1"/>
  <c r="AP89" i="61"/>
  <c r="BS89" i="61" s="1"/>
  <c r="AI89" i="61"/>
  <c r="BL89" i="61" s="1"/>
  <c r="AH89" i="61"/>
  <c r="BK89" i="61" s="1"/>
  <c r="AM89" i="61"/>
  <c r="BP89" i="61" s="1"/>
  <c r="AK89" i="61"/>
  <c r="BN89" i="61" s="1"/>
  <c r="AL89" i="61"/>
  <c r="BO89" i="61" s="1"/>
  <c r="AN89" i="61"/>
  <c r="BQ89" i="61" s="1"/>
  <c r="AJ89" i="61"/>
  <c r="BM89" i="61" s="1"/>
  <c r="AQ89" i="61"/>
  <c r="BT89" i="61" s="1"/>
  <c r="AO89" i="61"/>
  <c r="BR89" i="61" s="1"/>
  <c r="AM127" i="61"/>
  <c r="BP127" i="61" s="1"/>
  <c r="AN127" i="61"/>
  <c r="BQ127" i="61" s="1"/>
  <c r="AO127" i="61"/>
  <c r="BR127" i="61" s="1"/>
  <c r="AI127" i="61"/>
  <c r="BL127" i="61" s="1"/>
  <c r="AJ127" i="61"/>
  <c r="BM127" i="61" s="1"/>
  <c r="AQ127" i="61"/>
  <c r="BT127" i="61" s="1"/>
  <c r="AK127" i="61"/>
  <c r="BN127" i="61" s="1"/>
  <c r="AL127" i="61"/>
  <c r="BO127" i="61" s="1"/>
  <c r="AP127" i="61"/>
  <c r="BS127" i="61" s="1"/>
  <c r="AH127" i="61"/>
  <c r="BK127" i="61" s="1"/>
  <c r="AH323" i="61"/>
  <c r="BK323" i="61" s="1"/>
  <c r="AI323" i="61"/>
  <c r="BL323" i="61" s="1"/>
  <c r="AO323" i="61"/>
  <c r="BR323" i="61" s="1"/>
  <c r="AP323" i="61"/>
  <c r="BS323" i="61" s="1"/>
  <c r="AQ323" i="61"/>
  <c r="BT323" i="61" s="1"/>
  <c r="AJ323" i="61"/>
  <c r="BM323" i="61" s="1"/>
  <c r="AM323" i="61"/>
  <c r="BP323" i="61" s="1"/>
  <c r="AN323" i="61"/>
  <c r="BQ323" i="61" s="1"/>
  <c r="AL323" i="61"/>
  <c r="BO323" i="61" s="1"/>
  <c r="AK323" i="61"/>
  <c r="BN323" i="61" s="1"/>
  <c r="AQ88" i="61"/>
  <c r="BT88" i="61" s="1"/>
  <c r="AN88" i="61"/>
  <c r="BQ88" i="61" s="1"/>
  <c r="AJ88" i="61"/>
  <c r="BM88" i="61" s="1"/>
  <c r="AH88" i="61"/>
  <c r="BK88" i="61" s="1"/>
  <c r="AM88" i="61"/>
  <c r="BP88" i="61" s="1"/>
  <c r="AL88" i="61"/>
  <c r="BO88" i="61" s="1"/>
  <c r="AI88" i="61"/>
  <c r="BL88" i="61" s="1"/>
  <c r="AK88" i="61"/>
  <c r="BN88" i="61" s="1"/>
  <c r="AP88" i="61"/>
  <c r="BS88" i="61" s="1"/>
  <c r="AO88" i="61"/>
  <c r="BR88" i="61" s="1"/>
  <c r="AO294" i="61"/>
  <c r="BR294" i="61" s="1"/>
  <c r="AH294" i="61"/>
  <c r="BK294" i="61" s="1"/>
  <c r="AP294" i="61"/>
  <c r="BS294" i="61" s="1"/>
  <c r="AL294" i="61"/>
  <c r="BO294" i="61" s="1"/>
  <c r="AI294" i="61"/>
  <c r="BL294" i="61" s="1"/>
  <c r="AJ294" i="61"/>
  <c r="BM294" i="61" s="1"/>
  <c r="AM294" i="61"/>
  <c r="BP294" i="61" s="1"/>
  <c r="AQ294" i="61"/>
  <c r="BT294" i="61" s="1"/>
  <c r="AK294" i="61"/>
  <c r="BN294" i="61" s="1"/>
  <c r="AN294" i="61"/>
  <c r="BQ294" i="61" s="1"/>
  <c r="AI173" i="61"/>
  <c r="BL173" i="61" s="1"/>
  <c r="AJ173" i="61"/>
  <c r="BM173" i="61" s="1"/>
  <c r="AH173" i="61"/>
  <c r="BK173" i="61" s="1"/>
  <c r="AK173" i="61"/>
  <c r="BN173" i="61" s="1"/>
  <c r="AP173" i="61"/>
  <c r="BS173" i="61" s="1"/>
  <c r="AQ173" i="61"/>
  <c r="BT173" i="61" s="1"/>
  <c r="AL173" i="61"/>
  <c r="BO173" i="61" s="1"/>
  <c r="AN173" i="61"/>
  <c r="BQ173" i="61" s="1"/>
  <c r="AO173" i="61"/>
  <c r="BR173" i="61" s="1"/>
  <c r="AM173" i="61"/>
  <c r="BP173" i="61" s="1"/>
  <c r="AO13" i="61"/>
  <c r="BR13" i="61" s="1"/>
  <c r="AP13" i="61"/>
  <c r="BS13" i="61" s="1"/>
  <c r="AQ13" i="61"/>
  <c r="BT13" i="61" s="1"/>
  <c r="AJ13" i="61"/>
  <c r="BM13" i="61" s="1"/>
  <c r="AI13" i="61"/>
  <c r="BL13" i="61" s="1"/>
  <c r="AH13" i="61"/>
  <c r="BK13" i="61" s="1"/>
  <c r="AL13" i="61"/>
  <c r="BO13" i="61" s="1"/>
  <c r="AM13" i="61"/>
  <c r="BP13" i="61" s="1"/>
  <c r="AN13" i="61"/>
  <c r="BQ13" i="61" s="1"/>
  <c r="AK13" i="61"/>
  <c r="BN13" i="61" s="1"/>
  <c r="AM276" i="61"/>
  <c r="BP276" i="61" s="1"/>
  <c r="AQ276" i="61"/>
  <c r="BT276" i="61" s="1"/>
  <c r="AN276" i="61"/>
  <c r="BQ276" i="61" s="1"/>
  <c r="AP276" i="61"/>
  <c r="BS276" i="61" s="1"/>
  <c r="AL276" i="61"/>
  <c r="BO276" i="61" s="1"/>
  <c r="AO276" i="61"/>
  <c r="BR276" i="61" s="1"/>
  <c r="AJ276" i="61"/>
  <c r="BM276" i="61" s="1"/>
  <c r="AH276" i="61"/>
  <c r="BK276" i="61" s="1"/>
  <c r="AK276" i="61"/>
  <c r="BN276" i="61" s="1"/>
  <c r="AI276" i="61"/>
  <c r="BL276" i="61" s="1"/>
  <c r="AK169" i="61"/>
  <c r="BN169" i="61" s="1"/>
  <c r="AJ169" i="61"/>
  <c r="BM169" i="61" s="1"/>
  <c r="AO169" i="61"/>
  <c r="BR169" i="61" s="1"/>
  <c r="AH169" i="61"/>
  <c r="BK169" i="61" s="1"/>
  <c r="AL169" i="61"/>
  <c r="BO169" i="61" s="1"/>
  <c r="AQ169" i="61"/>
  <c r="BT169" i="61" s="1"/>
  <c r="AI169" i="61"/>
  <c r="BL169" i="61" s="1"/>
  <c r="AP169" i="61"/>
  <c r="BS169" i="61" s="1"/>
  <c r="AN169" i="61"/>
  <c r="BQ169" i="61" s="1"/>
  <c r="AM169" i="61"/>
  <c r="BP169" i="61" s="1"/>
  <c r="AN199" i="61"/>
  <c r="BQ199" i="61" s="1"/>
  <c r="AK199" i="61"/>
  <c r="BN199" i="61" s="1"/>
  <c r="AP199" i="61"/>
  <c r="BS199" i="61" s="1"/>
  <c r="AJ199" i="61"/>
  <c r="BM199" i="61" s="1"/>
  <c r="AH199" i="61"/>
  <c r="BK199" i="61" s="1"/>
  <c r="AQ199" i="61"/>
  <c r="BT199" i="61" s="1"/>
  <c r="AI199" i="61"/>
  <c r="BL199" i="61" s="1"/>
  <c r="AL199" i="61"/>
  <c r="BO199" i="61" s="1"/>
  <c r="AM199" i="61"/>
  <c r="BP199" i="61" s="1"/>
  <c r="AO199" i="61"/>
  <c r="BR199" i="61" s="1"/>
  <c r="AP46" i="61"/>
  <c r="BS46" i="61" s="1"/>
  <c r="AH46" i="61"/>
  <c r="BK46" i="61" s="1"/>
  <c r="AN46" i="61"/>
  <c r="BQ46" i="61" s="1"/>
  <c r="AM46" i="61"/>
  <c r="BP46" i="61" s="1"/>
  <c r="AQ46" i="61"/>
  <c r="BT46" i="61" s="1"/>
  <c r="AJ46" i="61"/>
  <c r="BM46" i="61" s="1"/>
  <c r="AO46" i="61"/>
  <c r="BR46" i="61" s="1"/>
  <c r="AK46" i="61"/>
  <c r="BN46" i="61" s="1"/>
  <c r="AL46" i="61"/>
  <c r="BO46" i="61" s="1"/>
  <c r="AI46" i="61"/>
  <c r="BL46" i="61" s="1"/>
  <c r="AL47" i="61"/>
  <c r="BO47" i="61" s="1"/>
  <c r="AJ47" i="61"/>
  <c r="BM47" i="61" s="1"/>
  <c r="AK47" i="61"/>
  <c r="BN47" i="61" s="1"/>
  <c r="AQ47" i="61"/>
  <c r="BT47" i="61" s="1"/>
  <c r="AM47" i="61"/>
  <c r="BP47" i="61" s="1"/>
  <c r="AI47" i="61"/>
  <c r="BL47" i="61" s="1"/>
  <c r="AO47" i="61"/>
  <c r="BR47" i="61" s="1"/>
  <c r="AN47" i="61"/>
  <c r="BQ47" i="61" s="1"/>
  <c r="AP47" i="61"/>
  <c r="BS47" i="61" s="1"/>
  <c r="AH47" i="61"/>
  <c r="BK47" i="61" s="1"/>
  <c r="AP37" i="61"/>
  <c r="BS37" i="61" s="1"/>
  <c r="AH37" i="61"/>
  <c r="BK37" i="61" s="1"/>
  <c r="AJ37" i="61"/>
  <c r="BM37" i="61" s="1"/>
  <c r="AO37" i="61"/>
  <c r="BR37" i="61" s="1"/>
  <c r="AN37" i="61"/>
  <c r="BQ37" i="61" s="1"/>
  <c r="AI37" i="61"/>
  <c r="BL37" i="61" s="1"/>
  <c r="AK37" i="61"/>
  <c r="BN37" i="61" s="1"/>
  <c r="AQ37" i="61"/>
  <c r="BT37" i="61" s="1"/>
  <c r="AM37" i="61"/>
  <c r="BP37" i="61" s="1"/>
  <c r="AL37" i="61"/>
  <c r="BO37" i="61" s="1"/>
  <c r="AN118" i="61"/>
  <c r="BQ118" i="61" s="1"/>
  <c r="AI118" i="61"/>
  <c r="BL118" i="61" s="1"/>
  <c r="AJ118" i="61"/>
  <c r="BM118" i="61" s="1"/>
  <c r="AO118" i="61"/>
  <c r="BR118" i="61" s="1"/>
  <c r="AQ118" i="61"/>
  <c r="BT118" i="61" s="1"/>
  <c r="AL118" i="61"/>
  <c r="BO118" i="61" s="1"/>
  <c r="AM118" i="61"/>
  <c r="BP118" i="61" s="1"/>
  <c r="AH118" i="61"/>
  <c r="BK118" i="61" s="1"/>
  <c r="AK118" i="61"/>
  <c r="BN118" i="61" s="1"/>
  <c r="AP118" i="61"/>
  <c r="BS118" i="61" s="1"/>
  <c r="AO94" i="61"/>
  <c r="BR94" i="61" s="1"/>
  <c r="AN94" i="61"/>
  <c r="BQ94" i="61" s="1"/>
  <c r="AH94" i="61"/>
  <c r="BK94" i="61" s="1"/>
  <c r="AI94" i="61"/>
  <c r="BL94" i="61" s="1"/>
  <c r="AL94" i="61"/>
  <c r="BO94" i="61" s="1"/>
  <c r="AK94" i="61"/>
  <c r="BN94" i="61" s="1"/>
  <c r="AJ94" i="61"/>
  <c r="BM94" i="61" s="1"/>
  <c r="AM94" i="61"/>
  <c r="BP94" i="61" s="1"/>
  <c r="AQ94" i="61"/>
  <c r="BT94" i="61" s="1"/>
  <c r="AP94" i="61"/>
  <c r="BS94" i="61" s="1"/>
  <c r="AK113" i="61"/>
  <c r="BN113" i="61" s="1"/>
  <c r="AH113" i="61"/>
  <c r="BK113" i="61" s="1"/>
  <c r="AL113" i="61"/>
  <c r="BO113" i="61" s="1"/>
  <c r="AM113" i="61"/>
  <c r="BP113" i="61" s="1"/>
  <c r="AO113" i="61"/>
  <c r="BR113" i="61" s="1"/>
  <c r="AI113" i="61"/>
  <c r="BL113" i="61" s="1"/>
  <c r="AN113" i="61"/>
  <c r="BQ113" i="61" s="1"/>
  <c r="AJ113" i="61"/>
  <c r="BM113" i="61" s="1"/>
  <c r="AP113" i="61"/>
  <c r="BS113" i="61" s="1"/>
  <c r="AQ113" i="61"/>
  <c r="BT113" i="61" s="1"/>
  <c r="AN261" i="61"/>
  <c r="BQ261" i="61" s="1"/>
  <c r="AL261" i="61"/>
  <c r="BO261" i="61" s="1"/>
  <c r="AM261" i="61"/>
  <c r="BP261" i="61" s="1"/>
  <c r="AK261" i="61"/>
  <c r="BN261" i="61" s="1"/>
  <c r="AJ261" i="61"/>
  <c r="BM261" i="61" s="1"/>
  <c r="AI261" i="61"/>
  <c r="BL261" i="61" s="1"/>
  <c r="AP261" i="61"/>
  <c r="BS261" i="61" s="1"/>
  <c r="AO261" i="61"/>
  <c r="BR261" i="61" s="1"/>
  <c r="AQ261" i="61"/>
  <c r="BT261" i="61" s="1"/>
  <c r="AH261" i="61"/>
  <c r="BK261" i="61" s="1"/>
  <c r="AQ15" i="61"/>
  <c r="BT15" i="61" s="1"/>
  <c r="AN15" i="61"/>
  <c r="BQ15" i="61" s="1"/>
  <c r="AJ15" i="61"/>
  <c r="BM15" i="61" s="1"/>
  <c r="AK15" i="61"/>
  <c r="BN15" i="61" s="1"/>
  <c r="AP15" i="61"/>
  <c r="BS15" i="61" s="1"/>
  <c r="AH15" i="61"/>
  <c r="BK15" i="61" s="1"/>
  <c r="AI15" i="61"/>
  <c r="BL15" i="61" s="1"/>
  <c r="AM15" i="61"/>
  <c r="BP15" i="61" s="1"/>
  <c r="AO15" i="61"/>
  <c r="BR15" i="61" s="1"/>
  <c r="AL15" i="61"/>
  <c r="BO15" i="61" s="1"/>
  <c r="AP75" i="61"/>
  <c r="BS75" i="61" s="1"/>
  <c r="AH75" i="61"/>
  <c r="BK75" i="61" s="1"/>
  <c r="AQ75" i="61"/>
  <c r="BT75" i="61" s="1"/>
  <c r="AM75" i="61"/>
  <c r="BP75" i="61" s="1"/>
  <c r="AK75" i="61"/>
  <c r="BN75" i="61" s="1"/>
  <c r="AI75" i="61"/>
  <c r="BL75" i="61" s="1"/>
  <c r="AN75" i="61"/>
  <c r="BQ75" i="61" s="1"/>
  <c r="AL75" i="61"/>
  <c r="BO75" i="61" s="1"/>
  <c r="AO75" i="61"/>
  <c r="BR75" i="61" s="1"/>
  <c r="AJ75" i="61"/>
  <c r="BM75" i="61" s="1"/>
  <c r="AN279" i="61"/>
  <c r="BQ279" i="61" s="1"/>
  <c r="AK279" i="61"/>
  <c r="BN279" i="61" s="1"/>
  <c r="AQ279" i="61"/>
  <c r="BT279" i="61" s="1"/>
  <c r="AH279" i="61"/>
  <c r="BK279" i="61" s="1"/>
  <c r="AL279" i="61"/>
  <c r="BO279" i="61" s="1"/>
  <c r="AM279" i="61"/>
  <c r="BP279" i="61" s="1"/>
  <c r="AP279" i="61"/>
  <c r="BS279" i="61" s="1"/>
  <c r="AI279" i="61"/>
  <c r="BL279" i="61" s="1"/>
  <c r="AO279" i="61"/>
  <c r="BR279" i="61" s="1"/>
  <c r="AJ279" i="61"/>
  <c r="BM279" i="61" s="1"/>
  <c r="AO220" i="61"/>
  <c r="BR220" i="61" s="1"/>
  <c r="AK220" i="61"/>
  <c r="BN220" i="61" s="1"/>
  <c r="AH220" i="61"/>
  <c r="BK220" i="61" s="1"/>
  <c r="AL220" i="61"/>
  <c r="BO220" i="61" s="1"/>
  <c r="AI220" i="61"/>
  <c r="BL220" i="61" s="1"/>
  <c r="AN220" i="61"/>
  <c r="BQ220" i="61" s="1"/>
  <c r="AM220" i="61"/>
  <c r="BP220" i="61" s="1"/>
  <c r="AQ220" i="61"/>
  <c r="BT220" i="61" s="1"/>
  <c r="AP220" i="61"/>
  <c r="BS220" i="61" s="1"/>
  <c r="AJ220" i="61"/>
  <c r="BM220" i="61" s="1"/>
  <c r="AK224" i="61"/>
  <c r="BN224" i="61" s="1"/>
  <c r="AL224" i="61"/>
  <c r="BO224" i="61" s="1"/>
  <c r="AI224" i="61"/>
  <c r="BL224" i="61" s="1"/>
  <c r="AJ224" i="61"/>
  <c r="BM224" i="61" s="1"/>
  <c r="AM224" i="61"/>
  <c r="BP224" i="61" s="1"/>
  <c r="AP224" i="61"/>
  <c r="BS224" i="61" s="1"/>
  <c r="AQ224" i="61"/>
  <c r="BT224" i="61" s="1"/>
  <c r="AH224" i="61"/>
  <c r="BK224" i="61" s="1"/>
  <c r="AO224" i="61"/>
  <c r="BR224" i="61" s="1"/>
  <c r="AN224" i="61"/>
  <c r="BQ224" i="61" s="1"/>
  <c r="AL273" i="61"/>
  <c r="BO273" i="61" s="1"/>
  <c r="AO273" i="61"/>
  <c r="BR273" i="61" s="1"/>
  <c r="AP273" i="61"/>
  <c r="BS273" i="61" s="1"/>
  <c r="AM273" i="61"/>
  <c r="BP273" i="61" s="1"/>
  <c r="AN273" i="61"/>
  <c r="BQ273" i="61" s="1"/>
  <c r="AK273" i="61"/>
  <c r="BN273" i="61" s="1"/>
  <c r="AQ273" i="61"/>
  <c r="BT273" i="61" s="1"/>
  <c r="AJ273" i="61"/>
  <c r="BM273" i="61" s="1"/>
  <c r="AH273" i="61"/>
  <c r="BK273" i="61" s="1"/>
  <c r="AI273" i="61"/>
  <c r="BL273" i="61" s="1"/>
  <c r="AJ187" i="61"/>
  <c r="BM187" i="61" s="1"/>
  <c r="AL187" i="61"/>
  <c r="BO187" i="61" s="1"/>
  <c r="AH187" i="61"/>
  <c r="BK187" i="61" s="1"/>
  <c r="AI187" i="61"/>
  <c r="BL187" i="61" s="1"/>
  <c r="AN187" i="61"/>
  <c r="BQ187" i="61" s="1"/>
  <c r="AO187" i="61"/>
  <c r="BR187" i="61" s="1"/>
  <c r="AQ187" i="61"/>
  <c r="BT187" i="61" s="1"/>
  <c r="AK187" i="61"/>
  <c r="BN187" i="61" s="1"/>
  <c r="AP187" i="61"/>
  <c r="BS187" i="61" s="1"/>
  <c r="AM187" i="61"/>
  <c r="BP187" i="61" s="1"/>
  <c r="AN305" i="61"/>
  <c r="BQ305" i="61" s="1"/>
  <c r="AQ305" i="61"/>
  <c r="BT305" i="61" s="1"/>
  <c r="AL305" i="61"/>
  <c r="BO305" i="61" s="1"/>
  <c r="AM305" i="61"/>
  <c r="BP305" i="61" s="1"/>
  <c r="AO305" i="61"/>
  <c r="BR305" i="61" s="1"/>
  <c r="AH305" i="61"/>
  <c r="BK305" i="61" s="1"/>
  <c r="AI305" i="61"/>
  <c r="BL305" i="61" s="1"/>
  <c r="AJ305" i="61"/>
  <c r="BM305" i="61" s="1"/>
  <c r="AP305" i="61"/>
  <c r="BS305" i="61" s="1"/>
  <c r="AK305" i="61"/>
  <c r="BN305" i="61" s="1"/>
  <c r="AH257" i="61"/>
  <c r="BK257" i="61" s="1"/>
  <c r="AJ257" i="61"/>
  <c r="BM257" i="61" s="1"/>
  <c r="AL257" i="61"/>
  <c r="BO257" i="61" s="1"/>
  <c r="AP257" i="61"/>
  <c r="BS257" i="61" s="1"/>
  <c r="AQ257" i="61"/>
  <c r="BT257" i="61" s="1"/>
  <c r="AM257" i="61"/>
  <c r="BP257" i="61" s="1"/>
  <c r="AK257" i="61"/>
  <c r="BN257" i="61" s="1"/>
  <c r="AI257" i="61"/>
  <c r="BL257" i="61" s="1"/>
  <c r="AO257" i="61"/>
  <c r="BR257" i="61" s="1"/>
  <c r="AN257" i="61"/>
  <c r="BQ257" i="61" s="1"/>
  <c r="AQ30" i="61"/>
  <c r="BT30" i="61" s="1"/>
  <c r="AK30" i="61"/>
  <c r="BN30" i="61" s="1"/>
  <c r="AJ30" i="61"/>
  <c r="BM30" i="61" s="1"/>
  <c r="AL30" i="61"/>
  <c r="BO30" i="61" s="1"/>
  <c r="AM30" i="61"/>
  <c r="BP30" i="61" s="1"/>
  <c r="AN30" i="61"/>
  <c r="BQ30" i="61" s="1"/>
  <c r="AI30" i="61"/>
  <c r="BL30" i="61" s="1"/>
  <c r="AO30" i="61"/>
  <c r="BR30" i="61" s="1"/>
  <c r="AH30" i="61"/>
  <c r="BK30" i="61" s="1"/>
  <c r="AP30" i="61"/>
  <c r="BS30" i="61" s="1"/>
  <c r="AN256" i="61"/>
  <c r="BQ256" i="61" s="1"/>
  <c r="AK256" i="61"/>
  <c r="BN256" i="61" s="1"/>
  <c r="AH256" i="61"/>
  <c r="BK256" i="61" s="1"/>
  <c r="AM256" i="61"/>
  <c r="BP256" i="61" s="1"/>
  <c r="AL256" i="61"/>
  <c r="BO256" i="61" s="1"/>
  <c r="AI256" i="61"/>
  <c r="BL256" i="61" s="1"/>
  <c r="AO256" i="61"/>
  <c r="BR256" i="61" s="1"/>
  <c r="AP256" i="61"/>
  <c r="BS256" i="61" s="1"/>
  <c r="AJ256" i="61"/>
  <c r="BM256" i="61" s="1"/>
  <c r="AQ256" i="61"/>
  <c r="BT256" i="61" s="1"/>
  <c r="AL126" i="61"/>
  <c r="BO126" i="61" s="1"/>
  <c r="AM126" i="61"/>
  <c r="BP126" i="61" s="1"/>
  <c r="AQ126" i="61"/>
  <c r="BT126" i="61" s="1"/>
  <c r="AK126" i="61"/>
  <c r="BN126" i="61" s="1"/>
  <c r="AN126" i="61"/>
  <c r="BQ126" i="61" s="1"/>
  <c r="AO126" i="61"/>
  <c r="BR126" i="61" s="1"/>
  <c r="AI126" i="61"/>
  <c r="BL126" i="61" s="1"/>
  <c r="AJ126" i="61"/>
  <c r="BM126" i="61" s="1"/>
  <c r="AP126" i="61"/>
  <c r="BS126" i="61" s="1"/>
  <c r="AH126" i="61"/>
  <c r="BK126" i="61" s="1"/>
  <c r="AK164" i="61"/>
  <c r="BN164" i="61" s="1"/>
  <c r="AI164" i="61"/>
  <c r="BL164" i="61" s="1"/>
  <c r="AN164" i="61"/>
  <c r="BQ164" i="61" s="1"/>
  <c r="AJ164" i="61"/>
  <c r="BM164" i="61" s="1"/>
  <c r="AM164" i="61"/>
  <c r="BP164" i="61" s="1"/>
  <c r="AL164" i="61"/>
  <c r="BO164" i="61" s="1"/>
  <c r="AO164" i="61"/>
  <c r="BR164" i="61" s="1"/>
  <c r="AP164" i="61"/>
  <c r="BS164" i="61" s="1"/>
  <c r="AQ164" i="61"/>
  <c r="BT164" i="61" s="1"/>
  <c r="AH164" i="61"/>
  <c r="BK164" i="61" s="1"/>
  <c r="AI141" i="61"/>
  <c r="BL141" i="61" s="1"/>
  <c r="AQ141" i="61"/>
  <c r="BT141" i="61" s="1"/>
  <c r="AK141" i="61"/>
  <c r="BN141" i="61" s="1"/>
  <c r="AN141" i="61"/>
  <c r="BQ141" i="61" s="1"/>
  <c r="AJ141" i="61"/>
  <c r="BM141" i="61" s="1"/>
  <c r="AM141" i="61"/>
  <c r="BP141" i="61" s="1"/>
  <c r="AP141" i="61"/>
  <c r="BS141" i="61" s="1"/>
  <c r="AH141" i="61"/>
  <c r="BK141" i="61" s="1"/>
  <c r="AO141" i="61"/>
  <c r="BR141" i="61" s="1"/>
  <c r="AL141" i="61"/>
  <c r="BO141" i="61" s="1"/>
  <c r="AN335" i="61"/>
  <c r="BQ335" i="61" s="1"/>
  <c r="AJ335" i="61"/>
  <c r="BM335" i="61" s="1"/>
  <c r="AP335" i="61"/>
  <c r="BS335" i="61" s="1"/>
  <c r="AQ335" i="61"/>
  <c r="BT335" i="61" s="1"/>
  <c r="AM335" i="61"/>
  <c r="BP335" i="61" s="1"/>
  <c r="AO335" i="61"/>
  <c r="BR335" i="61" s="1"/>
  <c r="AK335" i="61"/>
  <c r="BN335" i="61" s="1"/>
  <c r="AH335" i="61"/>
  <c r="BK335" i="61" s="1"/>
  <c r="AI335" i="61"/>
  <c r="BL335" i="61" s="1"/>
  <c r="AL335" i="61"/>
  <c r="BO335" i="61" s="1"/>
  <c r="AH147" i="61"/>
  <c r="BK147" i="61" s="1"/>
  <c r="AO147" i="61"/>
  <c r="BR147" i="61" s="1"/>
  <c r="AI147" i="61"/>
  <c r="BL147" i="61" s="1"/>
  <c r="AJ147" i="61"/>
  <c r="BM147" i="61" s="1"/>
  <c r="AL147" i="61"/>
  <c r="BO147" i="61" s="1"/>
  <c r="AP147" i="61"/>
  <c r="BS147" i="61" s="1"/>
  <c r="AQ147" i="61"/>
  <c r="BT147" i="61" s="1"/>
  <c r="AM147" i="61"/>
  <c r="BP147" i="61" s="1"/>
  <c r="AN147" i="61"/>
  <c r="BQ147" i="61" s="1"/>
  <c r="AK147" i="61"/>
  <c r="BN147" i="61" s="1"/>
  <c r="AP223" i="61"/>
  <c r="BS223" i="61" s="1"/>
  <c r="AN223" i="61"/>
  <c r="BQ223" i="61" s="1"/>
  <c r="AI223" i="61"/>
  <c r="BL223" i="61" s="1"/>
  <c r="AO223" i="61"/>
  <c r="BR223" i="61" s="1"/>
  <c r="AL223" i="61"/>
  <c r="BO223" i="61" s="1"/>
  <c r="AH223" i="61"/>
  <c r="BK223" i="61" s="1"/>
  <c r="AM223" i="61"/>
  <c r="BP223" i="61" s="1"/>
  <c r="AJ223" i="61"/>
  <c r="BM223" i="61" s="1"/>
  <c r="AQ223" i="61"/>
  <c r="BT223" i="61" s="1"/>
  <c r="AK223" i="61"/>
  <c r="BN223" i="61" s="1"/>
  <c r="AI251" i="61"/>
  <c r="BL251" i="61" s="1"/>
  <c r="AH251" i="61"/>
  <c r="BK251" i="61" s="1"/>
  <c r="AM251" i="61"/>
  <c r="BP251" i="61" s="1"/>
  <c r="AO251" i="61"/>
  <c r="BR251" i="61" s="1"/>
  <c r="AP251" i="61"/>
  <c r="BS251" i="61" s="1"/>
  <c r="AQ251" i="61"/>
  <c r="BT251" i="61" s="1"/>
  <c r="AJ251" i="61"/>
  <c r="BM251" i="61" s="1"/>
  <c r="AN251" i="61"/>
  <c r="BQ251" i="61" s="1"/>
  <c r="AL251" i="61"/>
  <c r="BO251" i="61" s="1"/>
  <c r="AK251" i="61"/>
  <c r="BN251" i="61" s="1"/>
  <c r="AK109" i="61"/>
  <c r="BN109" i="61" s="1"/>
  <c r="AN109" i="61"/>
  <c r="BQ109" i="61" s="1"/>
  <c r="AJ109" i="61"/>
  <c r="BM109" i="61" s="1"/>
  <c r="AH109" i="61"/>
  <c r="BK109" i="61" s="1"/>
  <c r="AQ109" i="61"/>
  <c r="BT109" i="61" s="1"/>
  <c r="AM109" i="61"/>
  <c r="BP109" i="61" s="1"/>
  <c r="AP109" i="61"/>
  <c r="BS109" i="61" s="1"/>
  <c r="AL109" i="61"/>
  <c r="BO109" i="61" s="1"/>
  <c r="AI109" i="61"/>
  <c r="BL109" i="61" s="1"/>
  <c r="AO109" i="61"/>
  <c r="BR109" i="61" s="1"/>
  <c r="AN207" i="61"/>
  <c r="BQ207" i="61" s="1"/>
  <c r="AP207" i="61"/>
  <c r="BS207" i="61" s="1"/>
  <c r="AO207" i="61"/>
  <c r="BR207" i="61" s="1"/>
  <c r="AJ207" i="61"/>
  <c r="BM207" i="61" s="1"/>
  <c r="AH207" i="61"/>
  <c r="BK207" i="61" s="1"/>
  <c r="AM207" i="61"/>
  <c r="BP207" i="61" s="1"/>
  <c r="AI207" i="61"/>
  <c r="BL207" i="61" s="1"/>
  <c r="AQ207" i="61"/>
  <c r="BT207" i="61" s="1"/>
  <c r="AL207" i="61"/>
  <c r="BO207" i="61" s="1"/>
  <c r="AK207" i="61"/>
  <c r="BN207" i="61" s="1"/>
  <c r="AP103" i="61"/>
  <c r="BS103" i="61" s="1"/>
  <c r="AL103" i="61"/>
  <c r="BO103" i="61" s="1"/>
  <c r="AO103" i="61"/>
  <c r="BR103" i="61" s="1"/>
  <c r="AI103" i="61"/>
  <c r="BL103" i="61" s="1"/>
  <c r="AM103" i="61"/>
  <c r="BP103" i="61" s="1"/>
  <c r="AN103" i="61"/>
  <c r="BQ103" i="61" s="1"/>
  <c r="AJ103" i="61"/>
  <c r="BM103" i="61" s="1"/>
  <c r="AQ103" i="61"/>
  <c r="BT103" i="61" s="1"/>
  <c r="AH103" i="61"/>
  <c r="BK103" i="61" s="1"/>
  <c r="AK103" i="61"/>
  <c r="BN103" i="61" s="1"/>
  <c r="AJ158" i="61"/>
  <c r="BM158" i="61" s="1"/>
  <c r="AL158" i="61"/>
  <c r="BO158" i="61" s="1"/>
  <c r="AI158" i="61"/>
  <c r="BL158" i="61" s="1"/>
  <c r="AO158" i="61"/>
  <c r="BR158" i="61" s="1"/>
  <c r="AH158" i="61"/>
  <c r="BK158" i="61" s="1"/>
  <c r="AN158" i="61"/>
  <c r="BQ158" i="61" s="1"/>
  <c r="AK158" i="61"/>
  <c r="BN158" i="61" s="1"/>
  <c r="AP158" i="61"/>
  <c r="BS158" i="61" s="1"/>
  <c r="AQ158" i="61"/>
  <c r="BT158" i="61" s="1"/>
  <c r="AM158" i="61"/>
  <c r="BP158" i="61" s="1"/>
  <c r="AI21" i="61"/>
  <c r="BL21" i="61" s="1"/>
  <c r="AK21" i="61"/>
  <c r="BN21" i="61" s="1"/>
  <c r="AO21" i="61"/>
  <c r="BR21" i="61" s="1"/>
  <c r="AJ21" i="61"/>
  <c r="BM21" i="61" s="1"/>
  <c r="AN21" i="61"/>
  <c r="BQ21" i="61" s="1"/>
  <c r="AH21" i="61"/>
  <c r="BK21" i="61" s="1"/>
  <c r="AL21" i="61"/>
  <c r="BO21" i="61" s="1"/>
  <c r="AM21" i="61"/>
  <c r="BP21" i="61" s="1"/>
  <c r="AP21" i="61"/>
  <c r="BS21" i="61" s="1"/>
  <c r="AQ21" i="61"/>
  <c r="BT21" i="61" s="1"/>
  <c r="AP159" i="61"/>
  <c r="BS159" i="61" s="1"/>
  <c r="AK159" i="61"/>
  <c r="BN159" i="61" s="1"/>
  <c r="AJ159" i="61"/>
  <c r="BM159" i="61" s="1"/>
  <c r="AL159" i="61"/>
  <c r="BO159" i="61" s="1"/>
  <c r="AN159" i="61"/>
  <c r="BQ159" i="61" s="1"/>
  <c r="AM159" i="61"/>
  <c r="BP159" i="61" s="1"/>
  <c r="AQ159" i="61"/>
  <c r="BT159" i="61" s="1"/>
  <c r="AO159" i="61"/>
  <c r="BR159" i="61" s="1"/>
  <c r="AH159" i="61"/>
  <c r="BK159" i="61" s="1"/>
  <c r="AI159" i="61"/>
  <c r="BL159" i="61" s="1"/>
  <c r="AL266" i="61"/>
  <c r="BO266" i="61" s="1"/>
  <c r="AQ266" i="61"/>
  <c r="BT266" i="61" s="1"/>
  <c r="AN266" i="61"/>
  <c r="BQ266" i="61" s="1"/>
  <c r="AI266" i="61"/>
  <c r="BL266" i="61" s="1"/>
  <c r="AJ266" i="61"/>
  <c r="BM266" i="61" s="1"/>
  <c r="AM266" i="61"/>
  <c r="BP266" i="61" s="1"/>
  <c r="AP266" i="61"/>
  <c r="BS266" i="61" s="1"/>
  <c r="AH266" i="61"/>
  <c r="BK266" i="61" s="1"/>
  <c r="AO266" i="61"/>
  <c r="BR266" i="61" s="1"/>
  <c r="AK266" i="61"/>
  <c r="BN266" i="61" s="1"/>
  <c r="AI221" i="61"/>
  <c r="BL221" i="61" s="1"/>
  <c r="AO221" i="61"/>
  <c r="BR221" i="61" s="1"/>
  <c r="AK221" i="61"/>
  <c r="BN221" i="61" s="1"/>
  <c r="AQ221" i="61"/>
  <c r="BT221" i="61" s="1"/>
  <c r="AN221" i="61"/>
  <c r="BQ221" i="61" s="1"/>
  <c r="AH221" i="61"/>
  <c r="BK221" i="61" s="1"/>
  <c r="AJ221" i="61"/>
  <c r="BM221" i="61" s="1"/>
  <c r="AM221" i="61"/>
  <c r="BP221" i="61" s="1"/>
  <c r="AL221" i="61"/>
  <c r="BO221" i="61" s="1"/>
  <c r="AP221" i="61"/>
  <c r="BS221" i="61" s="1"/>
  <c r="AH157" i="61"/>
  <c r="BK157" i="61" s="1"/>
  <c r="AN157" i="61"/>
  <c r="BQ157" i="61" s="1"/>
  <c r="AP157" i="61"/>
  <c r="BS157" i="61" s="1"/>
  <c r="AO157" i="61"/>
  <c r="BR157" i="61" s="1"/>
  <c r="AM157" i="61"/>
  <c r="BP157" i="61" s="1"/>
  <c r="AK157" i="61"/>
  <c r="BN157" i="61" s="1"/>
  <c r="AJ157" i="61"/>
  <c r="BM157" i="61" s="1"/>
  <c r="AQ157" i="61"/>
  <c r="BT157" i="61" s="1"/>
  <c r="AL157" i="61"/>
  <c r="BO157" i="61" s="1"/>
  <c r="AI157" i="61"/>
  <c r="BL157" i="61" s="1"/>
  <c r="AO291" i="61"/>
  <c r="BR291" i="61" s="1"/>
  <c r="AM291" i="61"/>
  <c r="BP291" i="61" s="1"/>
  <c r="AJ291" i="61"/>
  <c r="BM291" i="61" s="1"/>
  <c r="AL291" i="61"/>
  <c r="BO291" i="61" s="1"/>
  <c r="AI291" i="61"/>
  <c r="BL291" i="61" s="1"/>
  <c r="AP291" i="61"/>
  <c r="BS291" i="61" s="1"/>
  <c r="AK291" i="61"/>
  <c r="BN291" i="61" s="1"/>
  <c r="AN291" i="61"/>
  <c r="BQ291" i="61" s="1"/>
  <c r="AQ291" i="61"/>
  <c r="BT291" i="61" s="1"/>
  <c r="AH291" i="61"/>
  <c r="BK291" i="61" s="1"/>
  <c r="AQ312" i="61"/>
  <c r="BT312" i="61" s="1"/>
  <c r="AP312" i="61"/>
  <c r="BS312" i="61" s="1"/>
  <c r="AL312" i="61"/>
  <c r="BO312" i="61" s="1"/>
  <c r="AO312" i="61"/>
  <c r="BR312" i="61" s="1"/>
  <c r="AI312" i="61"/>
  <c r="BL312" i="61" s="1"/>
  <c r="AK312" i="61"/>
  <c r="BN312" i="61" s="1"/>
  <c r="AN312" i="61"/>
  <c r="BQ312" i="61" s="1"/>
  <c r="AM312" i="61"/>
  <c r="BP312" i="61" s="1"/>
  <c r="AH312" i="61"/>
  <c r="BK312" i="61" s="1"/>
  <c r="AJ312" i="61"/>
  <c r="BM312" i="61" s="1"/>
  <c r="AQ193" i="61"/>
  <c r="BT193" i="61" s="1"/>
  <c r="AN193" i="61"/>
  <c r="BQ193" i="61" s="1"/>
  <c r="AM193" i="61"/>
  <c r="BP193" i="61" s="1"/>
  <c r="AP193" i="61"/>
  <c r="BS193" i="61" s="1"/>
  <c r="AO193" i="61"/>
  <c r="BR193" i="61" s="1"/>
  <c r="AJ193" i="61"/>
  <c r="BM193" i="61" s="1"/>
  <c r="AK193" i="61"/>
  <c r="BN193" i="61" s="1"/>
  <c r="AL193" i="61"/>
  <c r="BO193" i="61" s="1"/>
  <c r="AI193" i="61"/>
  <c r="BL193" i="61" s="1"/>
  <c r="AH193" i="61"/>
  <c r="BK193" i="61" s="1"/>
  <c r="AK150" i="61"/>
  <c r="BN150" i="61" s="1"/>
  <c r="AH150" i="61"/>
  <c r="BK150" i="61" s="1"/>
  <c r="AJ150" i="61"/>
  <c r="BM150" i="61" s="1"/>
  <c r="AI150" i="61"/>
  <c r="BL150" i="61" s="1"/>
  <c r="AM150" i="61"/>
  <c r="BP150" i="61" s="1"/>
  <c r="AL150" i="61"/>
  <c r="BO150" i="61" s="1"/>
  <c r="AN150" i="61"/>
  <c r="BQ150" i="61" s="1"/>
  <c r="AO150" i="61"/>
  <c r="BR150" i="61" s="1"/>
  <c r="AP150" i="61"/>
  <c r="BS150" i="61" s="1"/>
  <c r="AQ150" i="61"/>
  <c r="BT150" i="61" s="1"/>
  <c r="AH65" i="61"/>
  <c r="BK65" i="61" s="1"/>
  <c r="AM65" i="61"/>
  <c r="BP65" i="61" s="1"/>
  <c r="AI65" i="61"/>
  <c r="BL65" i="61" s="1"/>
  <c r="AO65" i="61"/>
  <c r="BR65" i="61" s="1"/>
  <c r="AK65" i="61"/>
  <c r="BN65" i="61" s="1"/>
  <c r="AQ65" i="61"/>
  <c r="BT65" i="61" s="1"/>
  <c r="AN65" i="61"/>
  <c r="BQ65" i="61" s="1"/>
  <c r="AL65" i="61"/>
  <c r="BO65" i="61" s="1"/>
  <c r="AP65" i="61"/>
  <c r="BS65" i="61" s="1"/>
  <c r="AJ65" i="61"/>
  <c r="BM65" i="61" s="1"/>
  <c r="AL200" i="61"/>
  <c r="BO200" i="61" s="1"/>
  <c r="AJ200" i="61"/>
  <c r="BM200" i="61" s="1"/>
  <c r="AK200" i="61"/>
  <c r="BN200" i="61" s="1"/>
  <c r="AI200" i="61"/>
  <c r="BL200" i="61" s="1"/>
  <c r="AQ200" i="61"/>
  <c r="BT200" i="61" s="1"/>
  <c r="AH200" i="61"/>
  <c r="BK200" i="61" s="1"/>
  <c r="AN200" i="61"/>
  <c r="BQ200" i="61" s="1"/>
  <c r="AP200" i="61"/>
  <c r="BS200" i="61" s="1"/>
  <c r="AO200" i="61"/>
  <c r="BR200" i="61" s="1"/>
  <c r="AM200" i="61"/>
  <c r="BP200" i="61" s="1"/>
  <c r="AN36" i="61"/>
  <c r="BQ36" i="61" s="1"/>
  <c r="AK36" i="61"/>
  <c r="BN36" i="61" s="1"/>
  <c r="AQ36" i="61"/>
  <c r="BT36" i="61" s="1"/>
  <c r="AJ36" i="61"/>
  <c r="BM36" i="61" s="1"/>
  <c r="AL36" i="61"/>
  <c r="BO36" i="61" s="1"/>
  <c r="AH36" i="61"/>
  <c r="BK36" i="61" s="1"/>
  <c r="AO36" i="61"/>
  <c r="BR36" i="61" s="1"/>
  <c r="AM36" i="61"/>
  <c r="BP36" i="61" s="1"/>
  <c r="AI36" i="61"/>
  <c r="BL36" i="61" s="1"/>
  <c r="AP36" i="61"/>
  <c r="BS36" i="61" s="1"/>
  <c r="AQ51" i="61"/>
  <c r="BT51" i="61" s="1"/>
  <c r="AI51" i="61"/>
  <c r="BL51" i="61" s="1"/>
  <c r="AM51" i="61"/>
  <c r="BP51" i="61" s="1"/>
  <c r="AK51" i="61"/>
  <c r="BN51" i="61" s="1"/>
  <c r="AJ51" i="61"/>
  <c r="BM51" i="61" s="1"/>
  <c r="AN51" i="61"/>
  <c r="BQ51" i="61" s="1"/>
  <c r="AH51" i="61"/>
  <c r="BK51" i="61" s="1"/>
  <c r="AO51" i="61"/>
  <c r="BR51" i="61" s="1"/>
  <c r="AL51" i="61"/>
  <c r="BO51" i="61" s="1"/>
  <c r="AP51" i="61"/>
  <c r="BS51" i="61" s="1"/>
  <c r="AQ174" i="61"/>
  <c r="BT174" i="61" s="1"/>
  <c r="AN174" i="61"/>
  <c r="BQ174" i="61" s="1"/>
  <c r="AL174" i="61"/>
  <c r="BO174" i="61" s="1"/>
  <c r="AK174" i="61"/>
  <c r="BN174" i="61" s="1"/>
  <c r="AH174" i="61"/>
  <c r="BK174" i="61" s="1"/>
  <c r="AM174" i="61"/>
  <c r="BP174" i="61" s="1"/>
  <c r="AO174" i="61"/>
  <c r="BR174" i="61" s="1"/>
  <c r="AP174" i="61"/>
  <c r="BS174" i="61" s="1"/>
  <c r="AJ174" i="61"/>
  <c r="BM174" i="61" s="1"/>
  <c r="AI174" i="61"/>
  <c r="BL174" i="61" s="1"/>
  <c r="AN194" i="61"/>
  <c r="BQ194" i="61" s="1"/>
  <c r="AQ194" i="61"/>
  <c r="BT194" i="61" s="1"/>
  <c r="AM194" i="61"/>
  <c r="BP194" i="61" s="1"/>
  <c r="AK194" i="61"/>
  <c r="BN194" i="61" s="1"/>
  <c r="AI194" i="61"/>
  <c r="BL194" i="61" s="1"/>
  <c r="AO194" i="61"/>
  <c r="BR194" i="61" s="1"/>
  <c r="AP194" i="61"/>
  <c r="BS194" i="61" s="1"/>
  <c r="AJ194" i="61"/>
  <c r="BM194" i="61" s="1"/>
  <c r="AL194" i="61"/>
  <c r="BO194" i="61" s="1"/>
  <c r="AH194" i="61"/>
  <c r="BK194" i="61" s="1"/>
  <c r="AQ73" i="61"/>
  <c r="BT73" i="61" s="1"/>
  <c r="AI73" i="61"/>
  <c r="BL73" i="61" s="1"/>
  <c r="AM73" i="61"/>
  <c r="BP73" i="61" s="1"/>
  <c r="AH73" i="61"/>
  <c r="BK73" i="61" s="1"/>
  <c r="AJ73" i="61"/>
  <c r="BM73" i="61" s="1"/>
  <c r="AN73" i="61"/>
  <c r="BQ73" i="61" s="1"/>
  <c r="AP73" i="61"/>
  <c r="BS73" i="61" s="1"/>
  <c r="AO73" i="61"/>
  <c r="BR73" i="61" s="1"/>
  <c r="AL73" i="61"/>
  <c r="BO73" i="61" s="1"/>
  <c r="AK73" i="61"/>
  <c r="BN73" i="61" s="1"/>
  <c r="AN64" i="61"/>
  <c r="BQ64" i="61" s="1"/>
  <c r="AM64" i="61"/>
  <c r="BP64" i="61" s="1"/>
  <c r="AQ64" i="61"/>
  <c r="BT64" i="61" s="1"/>
  <c r="AL64" i="61"/>
  <c r="BO64" i="61" s="1"/>
  <c r="AJ64" i="61"/>
  <c r="BM64" i="61" s="1"/>
  <c r="AK64" i="61"/>
  <c r="BN64" i="61" s="1"/>
  <c r="AH64" i="61"/>
  <c r="BK64" i="61" s="1"/>
  <c r="AP64" i="61"/>
  <c r="BS64" i="61" s="1"/>
  <c r="AO64" i="61"/>
  <c r="BR64" i="61" s="1"/>
  <c r="AI64" i="61"/>
  <c r="BL64" i="61" s="1"/>
  <c r="AN310" i="61"/>
  <c r="BQ310" i="61" s="1"/>
  <c r="AH310" i="61"/>
  <c r="BK310" i="61" s="1"/>
  <c r="AM310" i="61"/>
  <c r="BP310" i="61" s="1"/>
  <c r="AI310" i="61"/>
  <c r="BL310" i="61" s="1"/>
  <c r="AL310" i="61"/>
  <c r="BO310" i="61" s="1"/>
  <c r="AQ310" i="61"/>
  <c r="BT310" i="61" s="1"/>
  <c r="AJ310" i="61"/>
  <c r="BM310" i="61" s="1"/>
  <c r="AP310" i="61"/>
  <c r="BS310" i="61" s="1"/>
  <c r="AK310" i="61"/>
  <c r="BN310" i="61" s="1"/>
  <c r="AO310" i="61"/>
  <c r="BR310" i="61" s="1"/>
  <c r="AI24" i="61"/>
  <c r="BL24" i="61" s="1"/>
  <c r="AN24" i="61"/>
  <c r="BQ24" i="61" s="1"/>
  <c r="AP24" i="61"/>
  <c r="BS24" i="61" s="1"/>
  <c r="AH24" i="61"/>
  <c r="BK24" i="61" s="1"/>
  <c r="AK24" i="61"/>
  <c r="BN24" i="61" s="1"/>
  <c r="AJ24" i="61"/>
  <c r="BM24" i="61" s="1"/>
  <c r="AM24" i="61"/>
  <c r="BP24" i="61" s="1"/>
  <c r="AQ24" i="61"/>
  <c r="BT24" i="61" s="1"/>
  <c r="AL24" i="61"/>
  <c r="BO24" i="61" s="1"/>
  <c r="AO24" i="61"/>
  <c r="BR24" i="61" s="1"/>
  <c r="AH278" i="61"/>
  <c r="BK278" i="61" s="1"/>
  <c r="AJ278" i="61"/>
  <c r="BM278" i="61" s="1"/>
  <c r="AI278" i="61"/>
  <c r="BL278" i="61" s="1"/>
  <c r="AK278" i="61"/>
  <c r="BN278" i="61" s="1"/>
  <c r="AL278" i="61"/>
  <c r="BO278" i="61" s="1"/>
  <c r="AQ278" i="61"/>
  <c r="BT278" i="61" s="1"/>
  <c r="AM278" i="61"/>
  <c r="BP278" i="61" s="1"/>
  <c r="AO278" i="61"/>
  <c r="BR278" i="61" s="1"/>
  <c r="AP278" i="61"/>
  <c r="BS278" i="61" s="1"/>
  <c r="AN278" i="61"/>
  <c r="BQ278" i="61" s="1"/>
  <c r="AI165" i="61"/>
  <c r="BL165" i="61" s="1"/>
  <c r="AP165" i="61"/>
  <c r="BS165" i="61" s="1"/>
  <c r="AM165" i="61"/>
  <c r="BP165" i="61" s="1"/>
  <c r="AN165" i="61"/>
  <c r="BQ165" i="61" s="1"/>
  <c r="AO165" i="61"/>
  <c r="BR165" i="61" s="1"/>
  <c r="AK165" i="61"/>
  <c r="BN165" i="61" s="1"/>
  <c r="AL165" i="61"/>
  <c r="BO165" i="61" s="1"/>
  <c r="AQ165" i="61"/>
  <c r="BT165" i="61" s="1"/>
  <c r="AJ165" i="61"/>
  <c r="BM165" i="61" s="1"/>
  <c r="AH165" i="61"/>
  <c r="BK165" i="61" s="1"/>
  <c r="AJ336" i="61"/>
  <c r="BM336" i="61" s="1"/>
  <c r="AP336" i="61"/>
  <c r="BS336" i="61" s="1"/>
  <c r="AQ336" i="61"/>
  <c r="BT336" i="61" s="1"/>
  <c r="AO336" i="61"/>
  <c r="BR336" i="61" s="1"/>
  <c r="AM336" i="61"/>
  <c r="BP336" i="61" s="1"/>
  <c r="AH336" i="61"/>
  <c r="BK336" i="61" s="1"/>
  <c r="AN336" i="61"/>
  <c r="BQ336" i="61" s="1"/>
  <c r="AK336" i="61"/>
  <c r="BN336" i="61" s="1"/>
  <c r="AL336" i="61"/>
  <c r="BO336" i="61" s="1"/>
  <c r="AI336" i="61"/>
  <c r="BL336" i="61" s="1"/>
  <c r="AL151" i="61"/>
  <c r="BO151" i="61" s="1"/>
  <c r="AM151" i="61"/>
  <c r="BP151" i="61" s="1"/>
  <c r="AH151" i="61"/>
  <c r="BK151" i="61" s="1"/>
  <c r="AN151" i="61"/>
  <c r="BQ151" i="61" s="1"/>
  <c r="AP151" i="61"/>
  <c r="BS151" i="61" s="1"/>
  <c r="AI151" i="61"/>
  <c r="BL151" i="61" s="1"/>
  <c r="AJ151" i="61"/>
  <c r="BM151" i="61" s="1"/>
  <c r="AK151" i="61"/>
  <c r="BN151" i="61" s="1"/>
  <c r="AQ151" i="61"/>
  <c r="BT151" i="61" s="1"/>
  <c r="AO151" i="61"/>
  <c r="BR151" i="61" s="1"/>
  <c r="AP153" i="61"/>
  <c r="BS153" i="61" s="1"/>
  <c r="AQ153" i="61"/>
  <c r="BT153" i="61" s="1"/>
  <c r="AI153" i="61"/>
  <c r="BL153" i="61" s="1"/>
  <c r="AN153" i="61"/>
  <c r="BQ153" i="61" s="1"/>
  <c r="AM153" i="61"/>
  <c r="BP153" i="61" s="1"/>
  <c r="AO153" i="61"/>
  <c r="BR153" i="61" s="1"/>
  <c r="AJ153" i="61"/>
  <c r="BM153" i="61" s="1"/>
  <c r="AK153" i="61"/>
  <c r="BN153" i="61" s="1"/>
  <c r="AH153" i="61"/>
  <c r="BK153" i="61" s="1"/>
  <c r="AL153" i="61"/>
  <c r="BO153" i="61" s="1"/>
  <c r="AL237" i="61"/>
  <c r="BO237" i="61" s="1"/>
  <c r="AM237" i="61"/>
  <c r="BP237" i="61" s="1"/>
  <c r="AN237" i="61"/>
  <c r="BQ237" i="61" s="1"/>
  <c r="AO237" i="61"/>
  <c r="BR237" i="61" s="1"/>
  <c r="AK237" i="61"/>
  <c r="BN237" i="61" s="1"/>
  <c r="AI237" i="61"/>
  <c r="BL237" i="61" s="1"/>
  <c r="AP237" i="61"/>
  <c r="BS237" i="61" s="1"/>
  <c r="AH237" i="61"/>
  <c r="BK237" i="61" s="1"/>
  <c r="AJ237" i="61"/>
  <c r="BM237" i="61" s="1"/>
  <c r="AQ237" i="61"/>
  <c r="BT237" i="61" s="1"/>
  <c r="AN332" i="61"/>
  <c r="BQ332" i="61" s="1"/>
  <c r="AI332" i="61"/>
  <c r="BL332" i="61" s="1"/>
  <c r="AM332" i="61"/>
  <c r="BP332" i="61" s="1"/>
  <c r="AQ332" i="61"/>
  <c r="BT332" i="61" s="1"/>
  <c r="AH332" i="61"/>
  <c r="BK332" i="61" s="1"/>
  <c r="AP332" i="61"/>
  <c r="BS332" i="61" s="1"/>
  <c r="AJ332" i="61"/>
  <c r="BM332" i="61" s="1"/>
  <c r="AK332" i="61"/>
  <c r="BN332" i="61" s="1"/>
  <c r="AL332" i="61"/>
  <c r="BO332" i="61" s="1"/>
  <c r="AO332" i="61"/>
  <c r="BR332" i="61" s="1"/>
  <c r="AM192" i="61"/>
  <c r="BP192" i="61" s="1"/>
  <c r="AN192" i="61"/>
  <c r="BQ192" i="61" s="1"/>
  <c r="AO192" i="61"/>
  <c r="BR192" i="61" s="1"/>
  <c r="AL192" i="61"/>
  <c r="BO192" i="61" s="1"/>
  <c r="AJ192" i="61"/>
  <c r="BM192" i="61" s="1"/>
  <c r="AK192" i="61"/>
  <c r="BN192" i="61" s="1"/>
  <c r="AP192" i="61"/>
  <c r="BS192" i="61" s="1"/>
  <c r="AQ192" i="61"/>
  <c r="BT192" i="61" s="1"/>
  <c r="AI192" i="61"/>
  <c r="BL192" i="61" s="1"/>
  <c r="AH192" i="61"/>
  <c r="BK192" i="61" s="1"/>
  <c r="AI117" i="61"/>
  <c r="BL117" i="61" s="1"/>
  <c r="AN117" i="61"/>
  <c r="BQ117" i="61" s="1"/>
  <c r="AP117" i="61"/>
  <c r="BS117" i="61" s="1"/>
  <c r="AO117" i="61"/>
  <c r="BR117" i="61" s="1"/>
  <c r="AH117" i="61"/>
  <c r="BK117" i="61" s="1"/>
  <c r="AQ117" i="61"/>
  <c r="BT117" i="61" s="1"/>
  <c r="AK117" i="61"/>
  <c r="BN117" i="61" s="1"/>
  <c r="AL117" i="61"/>
  <c r="BO117" i="61" s="1"/>
  <c r="AJ117" i="61"/>
  <c r="BM117" i="61" s="1"/>
  <c r="AM117" i="61"/>
  <c r="BP117" i="61" s="1"/>
  <c r="AQ225" i="61"/>
  <c r="BT225" i="61" s="1"/>
  <c r="AP225" i="61"/>
  <c r="BS225" i="61" s="1"/>
  <c r="AL225" i="61"/>
  <c r="BO225" i="61" s="1"/>
  <c r="AO225" i="61"/>
  <c r="BR225" i="61" s="1"/>
  <c r="AM225" i="61"/>
  <c r="BP225" i="61" s="1"/>
  <c r="AK225" i="61"/>
  <c r="BN225" i="61" s="1"/>
  <c r="AI225" i="61"/>
  <c r="BL225" i="61" s="1"/>
  <c r="AN225" i="61"/>
  <c r="BQ225" i="61" s="1"/>
  <c r="AH225" i="61"/>
  <c r="BK225" i="61" s="1"/>
  <c r="AJ225" i="61"/>
  <c r="BM225" i="61" s="1"/>
  <c r="AQ114" i="61"/>
  <c r="BT114" i="61" s="1"/>
  <c r="AN114" i="61"/>
  <c r="BQ114" i="61" s="1"/>
  <c r="AM114" i="61"/>
  <c r="BP114" i="61" s="1"/>
  <c r="AI114" i="61"/>
  <c r="BL114" i="61" s="1"/>
  <c r="AJ114" i="61"/>
  <c r="BM114" i="61" s="1"/>
  <c r="AH114" i="61"/>
  <c r="BK114" i="61" s="1"/>
  <c r="AL114" i="61"/>
  <c r="BO114" i="61" s="1"/>
  <c r="AP114" i="61"/>
  <c r="BS114" i="61" s="1"/>
  <c r="AO114" i="61"/>
  <c r="BR114" i="61" s="1"/>
  <c r="AK114" i="61"/>
  <c r="BN114" i="61" s="1"/>
  <c r="AO160" i="61"/>
  <c r="BR160" i="61" s="1"/>
  <c r="AI160" i="61"/>
  <c r="BL160" i="61" s="1"/>
  <c r="AJ160" i="61"/>
  <c r="BM160" i="61" s="1"/>
  <c r="AQ160" i="61"/>
  <c r="BT160" i="61" s="1"/>
  <c r="AL160" i="61"/>
  <c r="BO160" i="61" s="1"/>
  <c r="AM160" i="61"/>
  <c r="BP160" i="61" s="1"/>
  <c r="AH160" i="61"/>
  <c r="BK160" i="61" s="1"/>
  <c r="AK160" i="61"/>
  <c r="BN160" i="61" s="1"/>
  <c r="AP160" i="61"/>
  <c r="BS160" i="61" s="1"/>
  <c r="AN160" i="61"/>
  <c r="BQ160" i="61" s="1"/>
  <c r="AH314" i="61"/>
  <c r="BK314" i="61" s="1"/>
  <c r="AP314" i="61"/>
  <c r="BS314" i="61" s="1"/>
  <c r="AN314" i="61"/>
  <c r="BQ314" i="61" s="1"/>
  <c r="AJ314" i="61"/>
  <c r="BM314" i="61" s="1"/>
  <c r="AM314" i="61"/>
  <c r="BP314" i="61" s="1"/>
  <c r="AI314" i="61"/>
  <c r="BL314" i="61" s="1"/>
  <c r="AO314" i="61"/>
  <c r="BR314" i="61" s="1"/>
  <c r="AQ314" i="61"/>
  <c r="BT314" i="61" s="1"/>
  <c r="AL314" i="61"/>
  <c r="BO314" i="61" s="1"/>
  <c r="AK314" i="61"/>
  <c r="BN314" i="61" s="1"/>
  <c r="AL295" i="61"/>
  <c r="BO295" i="61" s="1"/>
  <c r="AO295" i="61"/>
  <c r="BR295" i="61" s="1"/>
  <c r="AJ295" i="61"/>
  <c r="BM295" i="61" s="1"/>
  <c r="AM295" i="61"/>
  <c r="BP295" i="61" s="1"/>
  <c r="AN295" i="61"/>
  <c r="BQ295" i="61" s="1"/>
  <c r="AQ295" i="61"/>
  <c r="BT295" i="61" s="1"/>
  <c r="AH295" i="61"/>
  <c r="BK295" i="61" s="1"/>
  <c r="AP295" i="61"/>
  <c r="BS295" i="61" s="1"/>
  <c r="AI295" i="61"/>
  <c r="BL295" i="61" s="1"/>
  <c r="AK295" i="61"/>
  <c r="BN295" i="61" s="1"/>
  <c r="AJ8" i="61"/>
  <c r="BM8" i="61" s="1"/>
  <c r="AL8" i="61"/>
  <c r="BO8" i="61" s="1"/>
  <c r="AM8" i="61"/>
  <c r="BP8" i="61" s="1"/>
  <c r="AP8" i="61"/>
  <c r="BS8" i="61" s="1"/>
  <c r="AH8" i="61"/>
  <c r="BK8" i="61" s="1"/>
  <c r="AN8" i="61"/>
  <c r="BQ8" i="61" s="1"/>
  <c r="AI8" i="61"/>
  <c r="BL8" i="61" s="1"/>
  <c r="AQ8" i="61"/>
  <c r="BT8" i="61" s="1"/>
  <c r="AO8" i="61"/>
  <c r="BR8" i="61" s="1"/>
  <c r="AK8" i="61"/>
  <c r="BN8" i="61" s="1"/>
  <c r="AH63" i="61"/>
  <c r="BK63" i="61" s="1"/>
  <c r="AN63" i="61"/>
  <c r="BQ63" i="61" s="1"/>
  <c r="AK63" i="61"/>
  <c r="BN63" i="61" s="1"/>
  <c r="AP63" i="61"/>
  <c r="BS63" i="61" s="1"/>
  <c r="AI63" i="61"/>
  <c r="BL63" i="61" s="1"/>
  <c r="AL63" i="61"/>
  <c r="BO63" i="61" s="1"/>
  <c r="AO63" i="61"/>
  <c r="BR63" i="61" s="1"/>
  <c r="AJ63" i="61"/>
  <c r="BM63" i="61" s="1"/>
  <c r="AM63" i="61"/>
  <c r="BP63" i="61" s="1"/>
  <c r="AQ63" i="61"/>
  <c r="BT63" i="61" s="1"/>
  <c r="AJ155" i="61"/>
  <c r="BM155" i="61" s="1"/>
  <c r="AK155" i="61"/>
  <c r="BN155" i="61" s="1"/>
  <c r="AI155" i="61"/>
  <c r="BL155" i="61" s="1"/>
  <c r="AL155" i="61"/>
  <c r="BO155" i="61" s="1"/>
  <c r="AN155" i="61"/>
  <c r="BQ155" i="61" s="1"/>
  <c r="AH155" i="61"/>
  <c r="BK155" i="61" s="1"/>
  <c r="AP155" i="61"/>
  <c r="BS155" i="61" s="1"/>
  <c r="AQ155" i="61"/>
  <c r="BT155" i="61" s="1"/>
  <c r="AO155" i="61"/>
  <c r="BR155" i="61" s="1"/>
  <c r="AM155" i="61"/>
  <c r="BP155" i="61" s="1"/>
  <c r="AP161" i="61"/>
  <c r="BS161" i="61" s="1"/>
  <c r="AH161" i="61"/>
  <c r="BK161" i="61" s="1"/>
  <c r="AO161" i="61"/>
  <c r="BR161" i="61" s="1"/>
  <c r="AI161" i="61"/>
  <c r="BL161" i="61" s="1"/>
  <c r="AL161" i="61"/>
  <c r="BO161" i="61" s="1"/>
  <c r="AQ161" i="61"/>
  <c r="BT161" i="61" s="1"/>
  <c r="AN161" i="61"/>
  <c r="BQ161" i="61" s="1"/>
  <c r="AM161" i="61"/>
  <c r="BP161" i="61" s="1"/>
  <c r="AK161" i="61"/>
  <c r="BN161" i="61" s="1"/>
  <c r="AJ161" i="61"/>
  <c r="BM161" i="61" s="1"/>
  <c r="AL68" i="61"/>
  <c r="BO68" i="61" s="1"/>
  <c r="AO68" i="61"/>
  <c r="BR68" i="61" s="1"/>
  <c r="AJ68" i="61"/>
  <c r="BM68" i="61" s="1"/>
  <c r="AK68" i="61"/>
  <c r="BN68" i="61" s="1"/>
  <c r="AN68" i="61"/>
  <c r="BQ68" i="61" s="1"/>
  <c r="AH68" i="61"/>
  <c r="BK68" i="61" s="1"/>
  <c r="AP68" i="61"/>
  <c r="BS68" i="61" s="1"/>
  <c r="AQ68" i="61"/>
  <c r="BT68" i="61" s="1"/>
  <c r="AI68" i="61"/>
  <c r="BL68" i="61" s="1"/>
  <c r="AM68" i="61"/>
  <c r="BP68" i="61" s="1"/>
  <c r="AJ28" i="61"/>
  <c r="BM28" i="61" s="1"/>
  <c r="AI28" i="61"/>
  <c r="BL28" i="61" s="1"/>
  <c r="AH28" i="61"/>
  <c r="BK28" i="61" s="1"/>
  <c r="AL28" i="61"/>
  <c r="BO28" i="61" s="1"/>
  <c r="AM28" i="61"/>
  <c r="BP28" i="61" s="1"/>
  <c r="AQ28" i="61"/>
  <c r="BT28" i="61" s="1"/>
  <c r="AK28" i="61"/>
  <c r="BN28" i="61" s="1"/>
  <c r="AO28" i="61"/>
  <c r="BR28" i="61" s="1"/>
  <c r="AP28" i="61"/>
  <c r="BS28" i="61" s="1"/>
  <c r="AN28" i="61"/>
  <c r="BQ28" i="61" s="1"/>
  <c r="AO130" i="61"/>
  <c r="BR130" i="61" s="1"/>
  <c r="AN130" i="61"/>
  <c r="BQ130" i="61" s="1"/>
  <c r="AJ130" i="61"/>
  <c r="BM130" i="61" s="1"/>
  <c r="AP130" i="61"/>
  <c r="BS130" i="61" s="1"/>
  <c r="AQ130" i="61"/>
  <c r="BT130" i="61" s="1"/>
  <c r="AI130" i="61"/>
  <c r="BL130" i="61" s="1"/>
  <c r="AM130" i="61"/>
  <c r="BP130" i="61" s="1"/>
  <c r="AH130" i="61"/>
  <c r="BK130" i="61" s="1"/>
  <c r="AK130" i="61"/>
  <c r="BN130" i="61" s="1"/>
  <c r="AL130" i="61"/>
  <c r="BO130" i="61" s="1"/>
  <c r="AI227" i="61"/>
  <c r="BL227" i="61" s="1"/>
  <c r="AH227" i="61"/>
  <c r="BK227" i="61" s="1"/>
  <c r="AM227" i="61"/>
  <c r="BP227" i="61" s="1"/>
  <c r="AP227" i="61"/>
  <c r="BS227" i="61" s="1"/>
  <c r="AQ227" i="61"/>
  <c r="BT227" i="61" s="1"/>
  <c r="AL227" i="61"/>
  <c r="BO227" i="61" s="1"/>
  <c r="AN227" i="61"/>
  <c r="BQ227" i="61" s="1"/>
  <c r="AJ227" i="61"/>
  <c r="BM227" i="61" s="1"/>
  <c r="AO227" i="61"/>
  <c r="BR227" i="61" s="1"/>
  <c r="AK227" i="61"/>
  <c r="BN227" i="61" s="1"/>
  <c r="AM289" i="61"/>
  <c r="BP289" i="61" s="1"/>
  <c r="AN289" i="61"/>
  <c r="BQ289" i="61" s="1"/>
  <c r="AL289" i="61"/>
  <c r="BO289" i="61" s="1"/>
  <c r="AQ289" i="61"/>
  <c r="BT289" i="61" s="1"/>
  <c r="AP289" i="61"/>
  <c r="BS289" i="61" s="1"/>
  <c r="AJ289" i="61"/>
  <c r="BM289" i="61" s="1"/>
  <c r="AO289" i="61"/>
  <c r="BR289" i="61" s="1"/>
  <c r="AK289" i="61"/>
  <c r="BN289" i="61" s="1"/>
  <c r="AH289" i="61"/>
  <c r="BK289" i="61" s="1"/>
  <c r="AI289" i="61"/>
  <c r="BL289" i="61" s="1"/>
  <c r="AJ156" i="61"/>
  <c r="BM156" i="61" s="1"/>
  <c r="AQ156" i="61"/>
  <c r="BT156" i="61" s="1"/>
  <c r="AO156" i="61"/>
  <c r="BR156" i="61" s="1"/>
  <c r="AH156" i="61"/>
  <c r="BK156" i="61" s="1"/>
  <c r="AN156" i="61"/>
  <c r="BQ156" i="61" s="1"/>
  <c r="AK156" i="61"/>
  <c r="BN156" i="61" s="1"/>
  <c r="AL156" i="61"/>
  <c r="BO156" i="61" s="1"/>
  <c r="AP156" i="61"/>
  <c r="BS156" i="61" s="1"/>
  <c r="AM156" i="61"/>
  <c r="BP156" i="61" s="1"/>
  <c r="AI156" i="61"/>
  <c r="BL156" i="61" s="1"/>
  <c r="AO26" i="61"/>
  <c r="BR26" i="61" s="1"/>
  <c r="AK26" i="61"/>
  <c r="BN26" i="61" s="1"/>
  <c r="AN26" i="61"/>
  <c r="BQ26" i="61" s="1"/>
  <c r="AL26" i="61"/>
  <c r="BO26" i="61" s="1"/>
  <c r="AI26" i="61"/>
  <c r="BL26" i="61" s="1"/>
  <c r="AM26" i="61"/>
  <c r="BP26" i="61" s="1"/>
  <c r="AH26" i="61"/>
  <c r="BK26" i="61" s="1"/>
  <c r="AP26" i="61"/>
  <c r="BS26" i="61" s="1"/>
  <c r="AQ26" i="61"/>
  <c r="BT26" i="61" s="1"/>
  <c r="AJ26" i="61"/>
  <c r="BM26" i="61" s="1"/>
  <c r="AM247" i="61"/>
  <c r="BP247" i="61" s="1"/>
  <c r="AN247" i="61"/>
  <c r="BQ247" i="61" s="1"/>
  <c r="AI247" i="61"/>
  <c r="BL247" i="61" s="1"/>
  <c r="AJ247" i="61"/>
  <c r="BM247" i="61" s="1"/>
  <c r="AO247" i="61"/>
  <c r="BR247" i="61" s="1"/>
  <c r="AK247" i="61"/>
  <c r="BN247" i="61" s="1"/>
  <c r="AH247" i="61"/>
  <c r="BK247" i="61" s="1"/>
  <c r="AL247" i="61"/>
  <c r="BO247" i="61" s="1"/>
  <c r="AQ247" i="61"/>
  <c r="BT247" i="61" s="1"/>
  <c r="AP247" i="61"/>
  <c r="BS247" i="61" s="1"/>
  <c r="AJ302" i="61"/>
  <c r="BM302" i="61" s="1"/>
  <c r="AM302" i="61"/>
  <c r="BP302" i="61" s="1"/>
  <c r="AO302" i="61"/>
  <c r="BR302" i="61" s="1"/>
  <c r="AH302" i="61"/>
  <c r="BK302" i="61" s="1"/>
  <c r="AI302" i="61"/>
  <c r="BL302" i="61" s="1"/>
  <c r="AL302" i="61"/>
  <c r="BO302" i="61" s="1"/>
  <c r="AK302" i="61"/>
  <c r="BN302" i="61" s="1"/>
  <c r="AP302" i="61"/>
  <c r="BS302" i="61" s="1"/>
  <c r="AQ302" i="61"/>
  <c r="BT302" i="61" s="1"/>
  <c r="AN302" i="61"/>
  <c r="BQ302" i="61" s="1"/>
  <c r="AQ239" i="61"/>
  <c r="BT239" i="61" s="1"/>
  <c r="AH239" i="61"/>
  <c r="BK239" i="61" s="1"/>
  <c r="AO239" i="61"/>
  <c r="BR239" i="61" s="1"/>
  <c r="AN239" i="61"/>
  <c r="BQ239" i="61" s="1"/>
  <c r="AP239" i="61"/>
  <c r="BS239" i="61" s="1"/>
  <c r="AI239" i="61"/>
  <c r="BL239" i="61" s="1"/>
  <c r="AL239" i="61"/>
  <c r="BO239" i="61" s="1"/>
  <c r="AJ239" i="61"/>
  <c r="BM239" i="61" s="1"/>
  <c r="AM239" i="61"/>
  <c r="BP239" i="61" s="1"/>
  <c r="AK239" i="61"/>
  <c r="BN239" i="61" s="1"/>
  <c r="AN95" i="61"/>
  <c r="BQ95" i="61" s="1"/>
  <c r="AL95" i="61"/>
  <c r="BO95" i="61" s="1"/>
  <c r="AO95" i="61"/>
  <c r="BR95" i="61" s="1"/>
  <c r="AM95" i="61"/>
  <c r="BP95" i="61" s="1"/>
  <c r="AP95" i="61"/>
  <c r="BS95" i="61" s="1"/>
  <c r="AH95" i="61"/>
  <c r="BK95" i="61" s="1"/>
  <c r="AI95" i="61"/>
  <c r="BL95" i="61" s="1"/>
  <c r="AQ95" i="61"/>
  <c r="BT95" i="61" s="1"/>
  <c r="AJ95" i="61"/>
  <c r="BM95" i="61" s="1"/>
  <c r="AK95" i="61"/>
  <c r="BN95" i="61" s="1"/>
  <c r="AP10" i="61"/>
  <c r="BS10" i="61" s="1"/>
  <c r="AH10" i="61"/>
  <c r="BK10" i="61" s="1"/>
  <c r="AI10" i="61"/>
  <c r="BL10" i="61" s="1"/>
  <c r="AM10" i="61"/>
  <c r="BP10" i="61" s="1"/>
  <c r="AN10" i="61"/>
  <c r="BQ10" i="61" s="1"/>
  <c r="AJ10" i="61"/>
  <c r="BM10" i="61" s="1"/>
  <c r="AK10" i="61"/>
  <c r="BN10" i="61" s="1"/>
  <c r="AQ10" i="61"/>
  <c r="BT10" i="61" s="1"/>
  <c r="AL10" i="61"/>
  <c r="BO10" i="61" s="1"/>
  <c r="AO10" i="61"/>
  <c r="BR10" i="61" s="1"/>
  <c r="AI265" i="61"/>
  <c r="BL265" i="61" s="1"/>
  <c r="AM265" i="61"/>
  <c r="BP265" i="61" s="1"/>
  <c r="AN265" i="61"/>
  <c r="BQ265" i="61" s="1"/>
  <c r="AL265" i="61"/>
  <c r="BO265" i="61" s="1"/>
  <c r="AK265" i="61"/>
  <c r="BN265" i="61" s="1"/>
  <c r="AH265" i="61"/>
  <c r="BK265" i="61" s="1"/>
  <c r="AP265" i="61"/>
  <c r="BS265" i="61" s="1"/>
  <c r="AQ265" i="61"/>
  <c r="BT265" i="61" s="1"/>
  <c r="AO265" i="61"/>
  <c r="BR265" i="61" s="1"/>
  <c r="AJ265" i="61"/>
  <c r="BM265" i="61" s="1"/>
  <c r="AL111" i="61"/>
  <c r="BO111" i="61" s="1"/>
  <c r="AN111" i="61"/>
  <c r="BQ111" i="61" s="1"/>
  <c r="AM111" i="61"/>
  <c r="BP111" i="61" s="1"/>
  <c r="AK111" i="61"/>
  <c r="BN111" i="61" s="1"/>
  <c r="AQ111" i="61"/>
  <c r="BT111" i="61" s="1"/>
  <c r="AH111" i="61"/>
  <c r="BK111" i="61" s="1"/>
  <c r="AP111" i="61"/>
  <c r="BS111" i="61" s="1"/>
  <c r="AI111" i="61"/>
  <c r="BL111" i="61" s="1"/>
  <c r="AJ111" i="61"/>
  <c r="BM111" i="61" s="1"/>
  <c r="AO111" i="61"/>
  <c r="BR111" i="61" s="1"/>
  <c r="AN269" i="61"/>
  <c r="BQ269" i="61" s="1"/>
  <c r="AK269" i="61"/>
  <c r="BN269" i="61" s="1"/>
  <c r="AM269" i="61"/>
  <c r="BP269" i="61" s="1"/>
  <c r="AL269" i="61"/>
  <c r="BO269" i="61" s="1"/>
  <c r="AQ269" i="61"/>
  <c r="BT269" i="61" s="1"/>
  <c r="AP269" i="61"/>
  <c r="BS269" i="61" s="1"/>
  <c r="AH269" i="61"/>
  <c r="BK269" i="61" s="1"/>
  <c r="AI269" i="61"/>
  <c r="BL269" i="61" s="1"/>
  <c r="AJ269" i="61"/>
  <c r="BM269" i="61" s="1"/>
  <c r="AO269" i="61"/>
  <c r="BR269" i="61" s="1"/>
  <c r="AI299" i="61"/>
  <c r="BL299" i="61" s="1"/>
  <c r="AH299" i="61"/>
  <c r="BK299" i="61" s="1"/>
  <c r="AL299" i="61"/>
  <c r="BO299" i="61" s="1"/>
  <c r="AJ299" i="61"/>
  <c r="BM299" i="61" s="1"/>
  <c r="AO299" i="61"/>
  <c r="BR299" i="61" s="1"/>
  <c r="AP299" i="61"/>
  <c r="BS299" i="61" s="1"/>
  <c r="AQ299" i="61"/>
  <c r="BT299" i="61" s="1"/>
  <c r="AM299" i="61"/>
  <c r="BP299" i="61" s="1"/>
  <c r="AN299" i="61"/>
  <c r="BQ299" i="61" s="1"/>
  <c r="AK299" i="61"/>
  <c r="BN299" i="61" s="1"/>
  <c r="AN334" i="61"/>
  <c r="BQ334" i="61" s="1"/>
  <c r="AH334" i="61"/>
  <c r="BK334" i="61" s="1"/>
  <c r="AM334" i="61"/>
  <c r="BP334" i="61" s="1"/>
  <c r="AP334" i="61"/>
  <c r="BS334" i="61" s="1"/>
  <c r="AL334" i="61"/>
  <c r="BO334" i="61" s="1"/>
  <c r="AJ334" i="61"/>
  <c r="BM334" i="61" s="1"/>
  <c r="AK334" i="61"/>
  <c r="BN334" i="61" s="1"/>
  <c r="AI334" i="61"/>
  <c r="BL334" i="61" s="1"/>
  <c r="AO334" i="61"/>
  <c r="BR334" i="61" s="1"/>
  <c r="AQ334" i="61"/>
  <c r="BT334" i="61" s="1"/>
  <c r="AK186" i="61"/>
  <c r="BN186" i="61" s="1"/>
  <c r="AL186" i="61"/>
  <c r="BO186" i="61" s="1"/>
  <c r="AM186" i="61"/>
  <c r="BP186" i="61" s="1"/>
  <c r="AP186" i="61"/>
  <c r="BS186" i="61" s="1"/>
  <c r="AJ186" i="61"/>
  <c r="BM186" i="61" s="1"/>
  <c r="AH186" i="61"/>
  <c r="BK186" i="61" s="1"/>
  <c r="AQ186" i="61"/>
  <c r="BT186" i="61" s="1"/>
  <c r="AI186" i="61"/>
  <c r="BL186" i="61" s="1"/>
  <c r="AN186" i="61"/>
  <c r="BQ186" i="61" s="1"/>
  <c r="AO186" i="61"/>
  <c r="BR186" i="61" s="1"/>
  <c r="AK170" i="61"/>
  <c r="BN170" i="61" s="1"/>
  <c r="AN170" i="61"/>
  <c r="BQ170" i="61" s="1"/>
  <c r="AL170" i="61"/>
  <c r="BO170" i="61" s="1"/>
  <c r="AJ170" i="61"/>
  <c r="BM170" i="61" s="1"/>
  <c r="AH170" i="61"/>
  <c r="BK170" i="61" s="1"/>
  <c r="AI170" i="61"/>
  <c r="BL170" i="61" s="1"/>
  <c r="AM170" i="61"/>
  <c r="BP170" i="61" s="1"/>
  <c r="AP170" i="61"/>
  <c r="BS170" i="61" s="1"/>
  <c r="AO170" i="61"/>
  <c r="BR170" i="61" s="1"/>
  <c r="AQ170" i="61"/>
  <c r="BT170" i="61" s="1"/>
  <c r="AQ231" i="61"/>
  <c r="BT231" i="61" s="1"/>
  <c r="AO231" i="61"/>
  <c r="BR231" i="61" s="1"/>
  <c r="AP231" i="61"/>
  <c r="BS231" i="61" s="1"/>
  <c r="AJ231" i="61"/>
  <c r="BM231" i="61" s="1"/>
  <c r="AK231" i="61"/>
  <c r="BN231" i="61" s="1"/>
  <c r="AM231" i="61"/>
  <c r="BP231" i="61" s="1"/>
  <c r="AH231" i="61"/>
  <c r="BK231" i="61" s="1"/>
  <c r="AI231" i="61"/>
  <c r="BL231" i="61" s="1"/>
  <c r="AN231" i="61"/>
  <c r="BQ231" i="61" s="1"/>
  <c r="AL231" i="61"/>
  <c r="BO231" i="61" s="1"/>
  <c r="AN333" i="61"/>
  <c r="BQ333" i="61" s="1"/>
  <c r="AL333" i="61"/>
  <c r="BO333" i="61" s="1"/>
  <c r="AO333" i="61"/>
  <c r="BR333" i="61" s="1"/>
  <c r="AP333" i="61"/>
  <c r="BS333" i="61" s="1"/>
  <c r="AI333" i="61"/>
  <c r="BL333" i="61" s="1"/>
  <c r="AH333" i="61"/>
  <c r="BK333" i="61" s="1"/>
  <c r="AJ333" i="61"/>
  <c r="BM333" i="61" s="1"/>
  <c r="AK333" i="61"/>
  <c r="BN333" i="61" s="1"/>
  <c r="AM333" i="61"/>
  <c r="BP333" i="61" s="1"/>
  <c r="AQ333" i="61"/>
  <c r="BT333" i="61" s="1"/>
  <c r="AL196" i="61"/>
  <c r="BO196" i="61" s="1"/>
  <c r="AO196" i="61"/>
  <c r="BR196" i="61" s="1"/>
  <c r="AI196" i="61"/>
  <c r="BL196" i="61" s="1"/>
  <c r="AH196" i="61"/>
  <c r="BK196" i="61" s="1"/>
  <c r="AN196" i="61"/>
  <c r="BQ196" i="61" s="1"/>
  <c r="AM196" i="61"/>
  <c r="BP196" i="61" s="1"/>
  <c r="AQ196" i="61"/>
  <c r="BT196" i="61" s="1"/>
  <c r="AJ196" i="61"/>
  <c r="BM196" i="61" s="1"/>
  <c r="AK196" i="61"/>
  <c r="BN196" i="61" s="1"/>
  <c r="AP196" i="61"/>
  <c r="BS196" i="61" s="1"/>
  <c r="AJ84" i="61"/>
  <c r="BM84" i="61" s="1"/>
  <c r="AH84" i="61"/>
  <c r="BK84" i="61" s="1"/>
  <c r="AI84" i="61"/>
  <c r="BL84" i="61" s="1"/>
  <c r="AN84" i="61"/>
  <c r="BQ84" i="61" s="1"/>
  <c r="AP84" i="61"/>
  <c r="BS84" i="61" s="1"/>
  <c r="AQ84" i="61"/>
  <c r="BT84" i="61" s="1"/>
  <c r="AM84" i="61"/>
  <c r="BP84" i="61" s="1"/>
  <c r="AO84" i="61"/>
  <c r="BR84" i="61" s="1"/>
  <c r="AL84" i="61"/>
  <c r="BO84" i="61" s="1"/>
  <c r="AK84" i="61"/>
  <c r="BN84" i="61" s="1"/>
  <c r="AI43" i="61"/>
  <c r="BL43" i="61" s="1"/>
  <c r="AP43" i="61"/>
  <c r="BS43" i="61" s="1"/>
  <c r="AM43" i="61"/>
  <c r="BP43" i="61" s="1"/>
  <c r="AH43" i="61"/>
  <c r="BK43" i="61" s="1"/>
  <c r="AN43" i="61"/>
  <c r="BQ43" i="61" s="1"/>
  <c r="AJ43" i="61"/>
  <c r="BM43" i="61" s="1"/>
  <c r="AK43" i="61"/>
  <c r="BN43" i="61" s="1"/>
  <c r="AL43" i="61"/>
  <c r="BO43" i="61" s="1"/>
  <c r="AO43" i="61"/>
  <c r="BR43" i="61" s="1"/>
  <c r="AQ43" i="61"/>
  <c r="BT43" i="61" s="1"/>
  <c r="AM96" i="61"/>
  <c r="BP96" i="61" s="1"/>
  <c r="AJ96" i="61"/>
  <c r="BM96" i="61" s="1"/>
  <c r="AN96" i="61"/>
  <c r="BQ96" i="61" s="1"/>
  <c r="AH96" i="61"/>
  <c r="BK96" i="61" s="1"/>
  <c r="AQ96" i="61"/>
  <c r="BT96" i="61" s="1"/>
  <c r="AI96" i="61"/>
  <c r="BL96" i="61" s="1"/>
  <c r="AO96" i="61"/>
  <c r="BR96" i="61" s="1"/>
  <c r="AK96" i="61"/>
  <c r="BN96" i="61" s="1"/>
  <c r="AP96" i="61"/>
  <c r="BS96" i="61" s="1"/>
  <c r="AL96" i="61"/>
  <c r="BO96" i="61" s="1"/>
  <c r="AN119" i="61"/>
  <c r="BQ119" i="61" s="1"/>
  <c r="AM119" i="61"/>
  <c r="BP119" i="61" s="1"/>
  <c r="AH119" i="61"/>
  <c r="BK119" i="61" s="1"/>
  <c r="AJ119" i="61"/>
  <c r="BM119" i="61" s="1"/>
  <c r="AI119" i="61"/>
  <c r="BL119" i="61" s="1"/>
  <c r="AO119" i="61"/>
  <c r="BR119" i="61" s="1"/>
  <c r="AK119" i="61"/>
  <c r="BN119" i="61" s="1"/>
  <c r="AP119" i="61"/>
  <c r="BS119" i="61" s="1"/>
  <c r="AL119" i="61"/>
  <c r="BO119" i="61" s="1"/>
  <c r="AQ119" i="61"/>
  <c r="BT119" i="61" s="1"/>
  <c r="AH86" i="61"/>
  <c r="BK86" i="61" s="1"/>
  <c r="AQ86" i="61"/>
  <c r="BT86" i="61" s="1"/>
  <c r="AO86" i="61"/>
  <c r="BR86" i="61" s="1"/>
  <c r="AJ86" i="61"/>
  <c r="BM86" i="61" s="1"/>
  <c r="AP86" i="61"/>
  <c r="BS86" i="61" s="1"/>
  <c r="AM86" i="61"/>
  <c r="BP86" i="61" s="1"/>
  <c r="AI86" i="61"/>
  <c r="BL86" i="61" s="1"/>
  <c r="AK86" i="61"/>
  <c r="BN86" i="61" s="1"/>
  <c r="AL86" i="61"/>
  <c r="BO86" i="61" s="1"/>
  <c r="AN86" i="61"/>
  <c r="BQ86" i="61" s="1"/>
  <c r="AJ22" i="61"/>
  <c r="BM22" i="61" s="1"/>
  <c r="AK22" i="61"/>
  <c r="BN22" i="61" s="1"/>
  <c r="AL22" i="61"/>
  <c r="BO22" i="61" s="1"/>
  <c r="AM22" i="61"/>
  <c r="BP22" i="61" s="1"/>
  <c r="AN22" i="61"/>
  <c r="BQ22" i="61" s="1"/>
  <c r="AQ22" i="61"/>
  <c r="BT22" i="61" s="1"/>
  <c r="AH22" i="61"/>
  <c r="BK22" i="61" s="1"/>
  <c r="AI22" i="61"/>
  <c r="BL22" i="61" s="1"/>
  <c r="AO22" i="61"/>
  <c r="BR22" i="61" s="1"/>
  <c r="AP22" i="61"/>
  <c r="BS22" i="61" s="1"/>
  <c r="AN132" i="61"/>
  <c r="BQ132" i="61" s="1"/>
  <c r="AJ132" i="61"/>
  <c r="BM132" i="61" s="1"/>
  <c r="AL132" i="61"/>
  <c r="BO132" i="61" s="1"/>
  <c r="AH132" i="61"/>
  <c r="BK132" i="61" s="1"/>
  <c r="AK132" i="61"/>
  <c r="BN132" i="61" s="1"/>
  <c r="AO132" i="61"/>
  <c r="BR132" i="61" s="1"/>
  <c r="AI132" i="61"/>
  <c r="BL132" i="61" s="1"/>
  <c r="AM132" i="61"/>
  <c r="BP132" i="61" s="1"/>
  <c r="AQ132" i="61"/>
  <c r="BT132" i="61" s="1"/>
  <c r="AP132" i="61"/>
  <c r="BS132" i="61" s="1"/>
  <c r="AO19" i="61"/>
  <c r="BR19" i="61" s="1"/>
  <c r="AP19" i="61"/>
  <c r="BS19" i="61" s="1"/>
  <c r="AK19" i="61"/>
  <c r="BN19" i="61" s="1"/>
  <c r="AL19" i="61"/>
  <c r="BO19" i="61" s="1"/>
  <c r="AH19" i="61"/>
  <c r="BK19" i="61" s="1"/>
  <c r="AJ19" i="61"/>
  <c r="BM19" i="61" s="1"/>
  <c r="AQ19" i="61"/>
  <c r="BT19" i="61" s="1"/>
  <c r="AN19" i="61"/>
  <c r="BQ19" i="61" s="1"/>
  <c r="AI19" i="61"/>
  <c r="BL19" i="61" s="1"/>
  <c r="AM19" i="61"/>
  <c r="BP19" i="61" s="1"/>
  <c r="AK27" i="61"/>
  <c r="BN27" i="61" s="1"/>
  <c r="AM27" i="61"/>
  <c r="BP27" i="61" s="1"/>
  <c r="AQ27" i="61"/>
  <c r="BT27" i="61" s="1"/>
  <c r="AL27" i="61"/>
  <c r="BO27" i="61" s="1"/>
  <c r="AN27" i="61"/>
  <c r="BQ27" i="61" s="1"/>
  <c r="AI27" i="61"/>
  <c r="BL27" i="61" s="1"/>
  <c r="AJ27" i="61"/>
  <c r="BM27" i="61" s="1"/>
  <c r="AP27" i="61"/>
  <c r="BS27" i="61" s="1"/>
  <c r="AH27" i="61"/>
  <c r="BK27" i="61" s="1"/>
  <c r="AO27" i="61"/>
  <c r="BR27" i="61" s="1"/>
  <c r="AJ166" i="61"/>
  <c r="BM166" i="61" s="1"/>
  <c r="AI166" i="61"/>
  <c r="BL166" i="61" s="1"/>
  <c r="AM166" i="61"/>
  <c r="BP166" i="61" s="1"/>
  <c r="AQ166" i="61"/>
  <c r="BT166" i="61" s="1"/>
  <c r="AK166" i="61"/>
  <c r="BN166" i="61" s="1"/>
  <c r="AH166" i="61"/>
  <c r="BK166" i="61" s="1"/>
  <c r="AL166" i="61"/>
  <c r="BO166" i="61" s="1"/>
  <c r="AP166" i="61"/>
  <c r="BS166" i="61" s="1"/>
  <c r="AO166" i="61"/>
  <c r="BR166" i="61" s="1"/>
  <c r="AN166" i="61"/>
  <c r="BQ166" i="61" s="1"/>
  <c r="AQ320" i="61"/>
  <c r="BT320" i="61" s="1"/>
  <c r="AK320" i="61"/>
  <c r="BN320" i="61" s="1"/>
  <c r="AI320" i="61"/>
  <c r="BL320" i="61" s="1"/>
  <c r="AO320" i="61"/>
  <c r="BR320" i="61" s="1"/>
  <c r="AP320" i="61"/>
  <c r="BS320" i="61" s="1"/>
  <c r="AH320" i="61"/>
  <c r="BK320" i="61" s="1"/>
  <c r="AJ320" i="61"/>
  <c r="BM320" i="61" s="1"/>
  <c r="AL320" i="61"/>
  <c r="BO320" i="61" s="1"/>
  <c r="AM320" i="61"/>
  <c r="BP320" i="61" s="1"/>
  <c r="AN320" i="61"/>
  <c r="BQ320" i="61" s="1"/>
  <c r="AH29" i="61"/>
  <c r="BK29" i="61" s="1"/>
  <c r="AI29" i="61"/>
  <c r="BL29" i="61" s="1"/>
  <c r="AM29" i="61"/>
  <c r="BP29" i="61" s="1"/>
  <c r="AP29" i="61"/>
  <c r="BS29" i="61" s="1"/>
  <c r="AQ29" i="61"/>
  <c r="BT29" i="61" s="1"/>
  <c r="AO29" i="61"/>
  <c r="BR29" i="61" s="1"/>
  <c r="AN29" i="61"/>
  <c r="BQ29" i="61" s="1"/>
  <c r="AL29" i="61"/>
  <c r="BO29" i="61" s="1"/>
  <c r="AK29" i="61"/>
  <c r="BN29" i="61" s="1"/>
  <c r="AJ29" i="61"/>
  <c r="BM29" i="61" s="1"/>
  <c r="AH178" i="61"/>
  <c r="BK178" i="61" s="1"/>
  <c r="AN178" i="61"/>
  <c r="BQ178" i="61" s="1"/>
  <c r="AK178" i="61"/>
  <c r="BN178" i="61" s="1"/>
  <c r="AL178" i="61"/>
  <c r="BO178" i="61" s="1"/>
  <c r="AO178" i="61"/>
  <c r="BR178" i="61" s="1"/>
  <c r="AP178" i="61"/>
  <c r="BS178" i="61" s="1"/>
  <c r="AQ178" i="61"/>
  <c r="BT178" i="61" s="1"/>
  <c r="AI178" i="61"/>
  <c r="BL178" i="61" s="1"/>
  <c r="AJ178" i="61"/>
  <c r="BM178" i="61" s="1"/>
  <c r="AM178" i="61"/>
  <c r="BP178" i="61" s="1"/>
  <c r="AN280" i="61"/>
  <c r="BQ280" i="61" s="1"/>
  <c r="AK280" i="61"/>
  <c r="BN280" i="61" s="1"/>
  <c r="AI280" i="61"/>
  <c r="BL280" i="61" s="1"/>
  <c r="AL280" i="61"/>
  <c r="BO280" i="61" s="1"/>
  <c r="AJ280" i="61"/>
  <c r="BM280" i="61" s="1"/>
  <c r="AM280" i="61"/>
  <c r="BP280" i="61" s="1"/>
  <c r="AH280" i="61"/>
  <c r="BK280" i="61" s="1"/>
  <c r="AO280" i="61"/>
  <c r="BR280" i="61" s="1"/>
  <c r="AP280" i="61"/>
  <c r="BS280" i="61" s="1"/>
  <c r="AQ280" i="61"/>
  <c r="BT280" i="61" s="1"/>
  <c r="AP308" i="61"/>
  <c r="BS308" i="61" s="1"/>
  <c r="AQ308" i="61"/>
  <c r="BT308" i="61" s="1"/>
  <c r="AK308" i="61"/>
  <c r="BN308" i="61" s="1"/>
  <c r="AL308" i="61"/>
  <c r="BO308" i="61" s="1"/>
  <c r="AM308" i="61"/>
  <c r="BP308" i="61" s="1"/>
  <c r="AN308" i="61"/>
  <c r="BQ308" i="61" s="1"/>
  <c r="AO308" i="61"/>
  <c r="BR308" i="61" s="1"/>
  <c r="AO229" i="61"/>
  <c r="BR229" i="61" s="1"/>
  <c r="AJ229" i="61"/>
  <c r="BM229" i="61" s="1"/>
  <c r="AM229" i="61"/>
  <c r="BP229" i="61" s="1"/>
  <c r="AK229" i="61"/>
  <c r="BN229" i="61" s="1"/>
  <c r="AP229" i="61"/>
  <c r="BS229" i="61" s="1"/>
  <c r="AH229" i="61"/>
  <c r="BK229" i="61" s="1"/>
  <c r="AI229" i="61"/>
  <c r="BL229" i="61" s="1"/>
  <c r="AQ229" i="61"/>
  <c r="BT229" i="61" s="1"/>
  <c r="AN229" i="61"/>
  <c r="BQ229" i="61" s="1"/>
  <c r="AL229" i="61"/>
  <c r="BO229" i="61" s="1"/>
  <c r="AP288" i="61"/>
  <c r="BS288" i="61" s="1"/>
  <c r="AO288" i="61"/>
  <c r="BR288" i="61" s="1"/>
  <c r="AI288" i="61"/>
  <c r="BL288" i="61" s="1"/>
  <c r="AJ288" i="61"/>
  <c r="BM288" i="61" s="1"/>
  <c r="AM288" i="61"/>
  <c r="BP288" i="61" s="1"/>
  <c r="AQ288" i="61"/>
  <c r="BT288" i="61" s="1"/>
  <c r="AK288" i="61"/>
  <c r="BN288" i="61" s="1"/>
  <c r="AH288" i="61"/>
  <c r="BK288" i="61" s="1"/>
  <c r="AL288" i="61"/>
  <c r="BO288" i="61" s="1"/>
  <c r="AN288" i="61"/>
  <c r="BQ288" i="61" s="1"/>
  <c r="AK177" i="61"/>
  <c r="BN177" i="61" s="1"/>
  <c r="AP177" i="61"/>
  <c r="BS177" i="61" s="1"/>
  <c r="AJ177" i="61"/>
  <c r="BM177" i="61" s="1"/>
  <c r="AN177" i="61"/>
  <c r="BQ177" i="61" s="1"/>
  <c r="AH177" i="61"/>
  <c r="BK177" i="61" s="1"/>
  <c r="AQ177" i="61"/>
  <c r="BT177" i="61" s="1"/>
  <c r="AM177" i="61"/>
  <c r="BP177" i="61" s="1"/>
  <c r="AL177" i="61"/>
  <c r="BO177" i="61" s="1"/>
  <c r="AO177" i="61"/>
  <c r="BR177" i="61" s="1"/>
  <c r="AI177" i="61"/>
  <c r="BL177" i="61" s="1"/>
  <c r="AM34" i="61"/>
  <c r="BP34" i="61" s="1"/>
  <c r="AO34" i="61"/>
  <c r="BR34" i="61" s="1"/>
  <c r="AL34" i="61"/>
  <c r="BO34" i="61" s="1"/>
  <c r="AJ34" i="61"/>
  <c r="BM34" i="61" s="1"/>
  <c r="AP34" i="61"/>
  <c r="BS34" i="61" s="1"/>
  <c r="AQ34" i="61"/>
  <c r="BT34" i="61" s="1"/>
  <c r="AH34" i="61"/>
  <c r="BK34" i="61" s="1"/>
  <c r="AK34" i="61"/>
  <c r="BN34" i="61" s="1"/>
  <c r="AI34" i="61"/>
  <c r="BL34" i="61" s="1"/>
  <c r="AN34" i="61"/>
  <c r="BQ34" i="61" s="1"/>
  <c r="AM264" i="61"/>
  <c r="BP264" i="61" s="1"/>
  <c r="AN264" i="61"/>
  <c r="BQ264" i="61" s="1"/>
  <c r="AO264" i="61"/>
  <c r="BR264" i="61" s="1"/>
  <c r="AI264" i="61"/>
  <c r="BL264" i="61" s="1"/>
  <c r="AL264" i="61"/>
  <c r="BO264" i="61" s="1"/>
  <c r="AP264" i="61"/>
  <c r="BS264" i="61" s="1"/>
  <c r="AJ264" i="61"/>
  <c r="BM264" i="61" s="1"/>
  <c r="AK264" i="61"/>
  <c r="BN264" i="61" s="1"/>
  <c r="AH264" i="61"/>
  <c r="BK264" i="61" s="1"/>
  <c r="AQ264" i="61"/>
  <c r="BT264" i="61" s="1"/>
  <c r="AN172" i="61"/>
  <c r="BQ172" i="61" s="1"/>
  <c r="AP172" i="61"/>
  <c r="BS172" i="61" s="1"/>
  <c r="AM172" i="61"/>
  <c r="BP172" i="61" s="1"/>
  <c r="AJ172" i="61"/>
  <c r="BM172" i="61" s="1"/>
  <c r="AL172" i="61"/>
  <c r="BO172" i="61" s="1"/>
  <c r="AI172" i="61"/>
  <c r="BL172" i="61" s="1"/>
  <c r="AQ172" i="61"/>
  <c r="BT172" i="61" s="1"/>
  <c r="AK172" i="61"/>
  <c r="BN172" i="61" s="1"/>
  <c r="AO172" i="61"/>
  <c r="BR172" i="61" s="1"/>
  <c r="AH172" i="61"/>
  <c r="BK172" i="61" s="1"/>
  <c r="AI218" i="61"/>
  <c r="BL218" i="61" s="1"/>
  <c r="AN218" i="61"/>
  <c r="BQ218" i="61" s="1"/>
  <c r="AL218" i="61"/>
  <c r="BO218" i="61" s="1"/>
  <c r="AM218" i="61"/>
  <c r="BP218" i="61" s="1"/>
  <c r="AJ218" i="61"/>
  <c r="BM218" i="61" s="1"/>
  <c r="AH218" i="61"/>
  <c r="BK218" i="61" s="1"/>
  <c r="AO218" i="61"/>
  <c r="BR218" i="61" s="1"/>
  <c r="AK218" i="61"/>
  <c r="BN218" i="61" s="1"/>
  <c r="AP218" i="61"/>
  <c r="BS218" i="61" s="1"/>
  <c r="AQ218" i="61"/>
  <c r="BT218" i="61" s="1"/>
  <c r="AL123" i="61"/>
  <c r="BO123" i="61" s="1"/>
  <c r="AM123" i="61"/>
  <c r="BP123" i="61" s="1"/>
  <c r="AI123" i="61"/>
  <c r="BL123" i="61" s="1"/>
  <c r="AQ123" i="61"/>
  <c r="BT123" i="61" s="1"/>
  <c r="AH123" i="61"/>
  <c r="BK123" i="61" s="1"/>
  <c r="AJ123" i="61"/>
  <c r="BM123" i="61" s="1"/>
  <c r="AN123" i="61"/>
  <c r="BQ123" i="61" s="1"/>
  <c r="AK123" i="61"/>
  <c r="BN123" i="61" s="1"/>
  <c r="AO123" i="61"/>
  <c r="BR123" i="61" s="1"/>
  <c r="AP123" i="61"/>
  <c r="BS123" i="61" s="1"/>
  <c r="AP31" i="61"/>
  <c r="BS31" i="61" s="1"/>
  <c r="AI31" i="61"/>
  <c r="BL31" i="61" s="1"/>
  <c r="AH31" i="61"/>
  <c r="BK31" i="61" s="1"/>
  <c r="AL31" i="61"/>
  <c r="BO31" i="61" s="1"/>
  <c r="AN31" i="61"/>
  <c r="BQ31" i="61" s="1"/>
  <c r="AQ31" i="61"/>
  <c r="BT31" i="61" s="1"/>
  <c r="AJ31" i="61"/>
  <c r="BM31" i="61" s="1"/>
  <c r="AK31" i="61"/>
  <c r="BN31" i="61" s="1"/>
  <c r="AM31" i="61"/>
  <c r="BP31" i="61" s="1"/>
  <c r="AO31" i="61"/>
  <c r="BR31" i="61" s="1"/>
  <c r="AN281" i="61"/>
  <c r="BQ281" i="61" s="1"/>
  <c r="AO281" i="61"/>
  <c r="BR281" i="61" s="1"/>
  <c r="AP281" i="61"/>
  <c r="BS281" i="61" s="1"/>
  <c r="AQ281" i="61"/>
  <c r="BT281" i="61" s="1"/>
  <c r="AH281" i="61"/>
  <c r="BK281" i="61" s="1"/>
  <c r="AI281" i="61"/>
  <c r="BL281" i="61" s="1"/>
  <c r="AL281" i="61"/>
  <c r="BO281" i="61" s="1"/>
  <c r="AJ281" i="61"/>
  <c r="BM281" i="61" s="1"/>
  <c r="AM281" i="61"/>
  <c r="BP281" i="61" s="1"/>
  <c r="AK281" i="61"/>
  <c r="BN281" i="61" s="1"/>
  <c r="AO124" i="61"/>
  <c r="BR124" i="61" s="1"/>
  <c r="AM124" i="61"/>
  <c r="BP124" i="61" s="1"/>
  <c r="AL124" i="61"/>
  <c r="BO124" i="61" s="1"/>
  <c r="AH124" i="61"/>
  <c r="BK124" i="61" s="1"/>
  <c r="AN124" i="61"/>
  <c r="BQ124" i="61" s="1"/>
  <c r="AQ124" i="61"/>
  <c r="BT124" i="61" s="1"/>
  <c r="AP124" i="61"/>
  <c r="BS124" i="61" s="1"/>
  <c r="AK124" i="61"/>
  <c r="BN124" i="61" s="1"/>
  <c r="AJ124" i="61"/>
  <c r="BM124" i="61" s="1"/>
  <c r="AI124" i="61"/>
  <c r="BL124" i="61" s="1"/>
  <c r="AQ275" i="61"/>
  <c r="BT275" i="61" s="1"/>
  <c r="AN275" i="61"/>
  <c r="BQ275" i="61" s="1"/>
  <c r="AK275" i="61"/>
  <c r="BN275" i="61" s="1"/>
  <c r="AP275" i="61"/>
  <c r="BS275" i="61" s="1"/>
  <c r="AO275" i="61"/>
  <c r="BR275" i="61" s="1"/>
  <c r="AM275" i="61"/>
  <c r="BP275" i="61" s="1"/>
  <c r="AL275" i="61"/>
  <c r="BO275" i="61" s="1"/>
  <c r="AJ275" i="61"/>
  <c r="BM275" i="61" s="1"/>
  <c r="AI275" i="61"/>
  <c r="BL275" i="61" s="1"/>
  <c r="AH275" i="61"/>
  <c r="BK275" i="61" s="1"/>
  <c r="AM148" i="61"/>
  <c r="BP148" i="61" s="1"/>
  <c r="AO148" i="61"/>
  <c r="BR148" i="61" s="1"/>
  <c r="AJ148" i="61"/>
  <c r="BM148" i="61" s="1"/>
  <c r="AK148" i="61"/>
  <c r="BN148" i="61" s="1"/>
  <c r="AN148" i="61"/>
  <c r="BQ148" i="61" s="1"/>
  <c r="AP148" i="61"/>
  <c r="BS148" i="61" s="1"/>
  <c r="AL148" i="61"/>
  <c r="BO148" i="61" s="1"/>
  <c r="AQ148" i="61"/>
  <c r="BT148" i="61" s="1"/>
  <c r="AI148" i="61"/>
  <c r="BL148" i="61" s="1"/>
  <c r="AH148" i="61"/>
  <c r="BK148" i="61" s="1"/>
  <c r="AQ284" i="61"/>
  <c r="BT284" i="61" s="1"/>
  <c r="AH284" i="61"/>
  <c r="BK284" i="61" s="1"/>
  <c r="AJ284" i="61"/>
  <c r="BM284" i="61" s="1"/>
  <c r="AI284" i="61"/>
  <c r="BL284" i="61" s="1"/>
  <c r="AL284" i="61"/>
  <c r="BO284" i="61" s="1"/>
  <c r="AN284" i="61"/>
  <c r="BQ284" i="61" s="1"/>
  <c r="AO284" i="61"/>
  <c r="BR284" i="61" s="1"/>
  <c r="AM284" i="61"/>
  <c r="BP284" i="61" s="1"/>
  <c r="AK284" i="61"/>
  <c r="BN284" i="61" s="1"/>
  <c r="AP284" i="61"/>
  <c r="BS284" i="61" s="1"/>
  <c r="AP234" i="61"/>
  <c r="BS234" i="61" s="1"/>
  <c r="AQ234" i="61"/>
  <c r="BT234" i="61" s="1"/>
  <c r="AO234" i="61"/>
  <c r="BR234" i="61" s="1"/>
  <c r="AJ234" i="61"/>
  <c r="BM234" i="61" s="1"/>
  <c r="AM234" i="61"/>
  <c r="BP234" i="61" s="1"/>
  <c r="AN234" i="61"/>
  <c r="BQ234" i="61" s="1"/>
  <c r="AH234" i="61"/>
  <c r="BK234" i="61" s="1"/>
  <c r="AK234" i="61"/>
  <c r="BN234" i="61" s="1"/>
  <c r="AI234" i="61"/>
  <c r="BL234" i="61" s="1"/>
  <c r="AL234" i="61"/>
  <c r="BO234" i="61" s="1"/>
  <c r="AJ179" i="61"/>
  <c r="BM179" i="61" s="1"/>
  <c r="AK179" i="61"/>
  <c r="BN179" i="61" s="1"/>
  <c r="AN179" i="61"/>
  <c r="BQ179" i="61" s="1"/>
  <c r="AL179" i="61"/>
  <c r="BO179" i="61" s="1"/>
  <c r="AO179" i="61"/>
  <c r="BR179" i="61" s="1"/>
  <c r="AQ179" i="61"/>
  <c r="BT179" i="61" s="1"/>
  <c r="AI179" i="61"/>
  <c r="BL179" i="61" s="1"/>
  <c r="AP179" i="61"/>
  <c r="BS179" i="61" s="1"/>
  <c r="AM179" i="61"/>
  <c r="BP179" i="61" s="1"/>
  <c r="AH179" i="61"/>
  <c r="BK179" i="61" s="1"/>
  <c r="AH241" i="61"/>
  <c r="BK241" i="61" s="1"/>
  <c r="AN241" i="61"/>
  <c r="BQ241" i="61" s="1"/>
  <c r="AO241" i="61"/>
  <c r="BR241" i="61" s="1"/>
  <c r="AJ241" i="61"/>
  <c r="BM241" i="61" s="1"/>
  <c r="AI241" i="61"/>
  <c r="BL241" i="61" s="1"/>
  <c r="AL241" i="61"/>
  <c r="BO241" i="61" s="1"/>
  <c r="AQ241" i="61"/>
  <c r="BT241" i="61" s="1"/>
  <c r="AK241" i="61"/>
  <c r="BN241" i="61" s="1"/>
  <c r="AP241" i="61"/>
  <c r="BS241" i="61" s="1"/>
  <c r="AM241" i="61"/>
  <c r="BP241" i="61" s="1"/>
  <c r="AQ327" i="61"/>
  <c r="BT327" i="61" s="1"/>
  <c r="AO327" i="61"/>
  <c r="BR327" i="61" s="1"/>
  <c r="AJ327" i="61"/>
  <c r="BM327" i="61" s="1"/>
  <c r="AI327" i="61"/>
  <c r="BL327" i="61" s="1"/>
  <c r="AL327" i="61"/>
  <c r="BO327" i="61" s="1"/>
  <c r="AN327" i="61"/>
  <c r="BQ327" i="61" s="1"/>
  <c r="AP327" i="61"/>
  <c r="BS327" i="61" s="1"/>
  <c r="AK327" i="61"/>
  <c r="BN327" i="61" s="1"/>
  <c r="AM327" i="61"/>
  <c r="BP327" i="61" s="1"/>
  <c r="AH327" i="61"/>
  <c r="BK327" i="61" s="1"/>
  <c r="AH168" i="61"/>
  <c r="BK168" i="61" s="1"/>
  <c r="AO168" i="61"/>
  <c r="BR168" i="61" s="1"/>
  <c r="AQ168" i="61"/>
  <c r="BT168" i="61" s="1"/>
  <c r="AP168" i="61"/>
  <c r="BS168" i="61" s="1"/>
  <c r="AI168" i="61"/>
  <c r="BL168" i="61" s="1"/>
  <c r="AM168" i="61"/>
  <c r="BP168" i="61" s="1"/>
  <c r="AN168" i="61"/>
  <c r="BQ168" i="61" s="1"/>
  <c r="AK168" i="61"/>
  <c r="BN168" i="61" s="1"/>
  <c r="AJ168" i="61"/>
  <c r="BM168" i="61" s="1"/>
  <c r="AL168" i="61"/>
  <c r="BO168" i="61" s="1"/>
  <c r="AK82" i="61"/>
  <c r="BN82" i="61" s="1"/>
  <c r="AJ82" i="61"/>
  <c r="BM82" i="61" s="1"/>
  <c r="AP82" i="61"/>
  <c r="BS82" i="61" s="1"/>
  <c r="AL82" i="61"/>
  <c r="BO82" i="61" s="1"/>
  <c r="AI82" i="61"/>
  <c r="BL82" i="61" s="1"/>
  <c r="AQ82" i="61"/>
  <c r="BT82" i="61" s="1"/>
  <c r="AN82" i="61"/>
  <c r="BQ82" i="61" s="1"/>
  <c r="AH82" i="61"/>
  <c r="BK82" i="61" s="1"/>
  <c r="AM82" i="61"/>
  <c r="BP82" i="61" s="1"/>
  <c r="AO82" i="61"/>
  <c r="BR82" i="61" s="1"/>
  <c r="AL244" i="61"/>
  <c r="BO244" i="61" s="1"/>
  <c r="AI244" i="61"/>
  <c r="BL244" i="61" s="1"/>
  <c r="AM244" i="61"/>
  <c r="BP244" i="61" s="1"/>
  <c r="AJ244" i="61"/>
  <c r="BM244" i="61" s="1"/>
  <c r="AK244" i="61"/>
  <c r="BN244" i="61" s="1"/>
  <c r="AO244" i="61"/>
  <c r="BR244" i="61" s="1"/>
  <c r="AN244" i="61"/>
  <c r="BQ244" i="61" s="1"/>
  <c r="AH244" i="61"/>
  <c r="BK244" i="61" s="1"/>
  <c r="AQ244" i="61"/>
  <c r="BT244" i="61" s="1"/>
  <c r="AP244" i="61"/>
  <c r="BS244" i="61" s="1"/>
  <c r="AJ99" i="61"/>
  <c r="BM99" i="61" s="1"/>
  <c r="AH99" i="61"/>
  <c r="BK99" i="61" s="1"/>
  <c r="AQ99" i="61"/>
  <c r="BT99" i="61" s="1"/>
  <c r="AI99" i="61"/>
  <c r="BL99" i="61" s="1"/>
  <c r="AL99" i="61"/>
  <c r="BO99" i="61" s="1"/>
  <c r="AN99" i="61"/>
  <c r="BQ99" i="61" s="1"/>
  <c r="AO99" i="61"/>
  <c r="BR99" i="61" s="1"/>
  <c r="AP99" i="61"/>
  <c r="BS99" i="61" s="1"/>
  <c r="AM99" i="61"/>
  <c r="BP99" i="61" s="1"/>
  <c r="AK99" i="61"/>
  <c r="BN99" i="61" s="1"/>
  <c r="AH23" i="61"/>
  <c r="BK23" i="61" s="1"/>
  <c r="AQ23" i="61"/>
  <c r="BT23" i="61" s="1"/>
  <c r="AM23" i="61"/>
  <c r="BP23" i="61" s="1"/>
  <c r="AN23" i="61"/>
  <c r="BQ23" i="61" s="1"/>
  <c r="AO23" i="61"/>
  <c r="BR23" i="61" s="1"/>
  <c r="AL23" i="61"/>
  <c r="BO23" i="61" s="1"/>
  <c r="AP23" i="61"/>
  <c r="BS23" i="61" s="1"/>
  <c r="AK23" i="61"/>
  <c r="BN23" i="61" s="1"/>
  <c r="AJ23" i="61"/>
  <c r="BM23" i="61" s="1"/>
  <c r="AI23" i="61"/>
  <c r="BL23" i="61" s="1"/>
  <c r="AL125" i="61"/>
  <c r="BO125" i="61" s="1"/>
  <c r="AP125" i="61"/>
  <c r="BS125" i="61" s="1"/>
  <c r="AQ125" i="61"/>
  <c r="BT125" i="61" s="1"/>
  <c r="AO125" i="61"/>
  <c r="BR125" i="61" s="1"/>
  <c r="AI125" i="61"/>
  <c r="BL125" i="61" s="1"/>
  <c r="AM125" i="61"/>
  <c r="BP125" i="61" s="1"/>
  <c r="AN125" i="61"/>
  <c r="BQ125" i="61" s="1"/>
  <c r="AH125" i="61"/>
  <c r="BK125" i="61" s="1"/>
  <c r="AK125" i="61"/>
  <c r="BN125" i="61" s="1"/>
  <c r="AJ125" i="61"/>
  <c r="BM125" i="61" s="1"/>
  <c r="AO242" i="61"/>
  <c r="BR242" i="61" s="1"/>
  <c r="AL242" i="61"/>
  <c r="BO242" i="61" s="1"/>
  <c r="AK242" i="61"/>
  <c r="BN242" i="61" s="1"/>
  <c r="AP242" i="61"/>
  <c r="BS242" i="61" s="1"/>
  <c r="AM242" i="61"/>
  <c r="BP242" i="61" s="1"/>
  <c r="AJ242" i="61"/>
  <c r="BM242" i="61" s="1"/>
  <c r="AN242" i="61"/>
  <c r="BQ242" i="61" s="1"/>
  <c r="AI242" i="61"/>
  <c r="BL242" i="61" s="1"/>
  <c r="AH242" i="61"/>
  <c r="BK242" i="61" s="1"/>
  <c r="AQ242" i="61"/>
  <c r="BT242" i="61" s="1"/>
  <c r="AQ105" i="61"/>
  <c r="BT105" i="61" s="1"/>
  <c r="AP105" i="61"/>
  <c r="BS105" i="61" s="1"/>
  <c r="AO105" i="61"/>
  <c r="BR105" i="61" s="1"/>
  <c r="AI105" i="61"/>
  <c r="BL105" i="61" s="1"/>
  <c r="AJ105" i="61"/>
  <c r="BM105" i="61" s="1"/>
  <c r="AH105" i="61"/>
  <c r="BK105" i="61" s="1"/>
  <c r="AM105" i="61"/>
  <c r="BP105" i="61" s="1"/>
  <c r="AL105" i="61"/>
  <c r="BO105" i="61" s="1"/>
  <c r="AK105" i="61"/>
  <c r="BN105" i="61" s="1"/>
  <c r="AN105" i="61"/>
  <c r="BQ105" i="61" s="1"/>
  <c r="AN183" i="61"/>
  <c r="BQ183" i="61" s="1"/>
  <c r="AH183" i="61"/>
  <c r="BK183" i="61" s="1"/>
  <c r="AJ183" i="61"/>
  <c r="BM183" i="61" s="1"/>
  <c r="AP183" i="61"/>
  <c r="BS183" i="61" s="1"/>
  <c r="AK183" i="61"/>
  <c r="BN183" i="61" s="1"/>
  <c r="AM183" i="61"/>
  <c r="BP183" i="61" s="1"/>
  <c r="AO183" i="61"/>
  <c r="BR183" i="61" s="1"/>
  <c r="AQ183" i="61"/>
  <c r="BT183" i="61" s="1"/>
  <c r="AL183" i="61"/>
  <c r="BO183" i="61" s="1"/>
  <c r="AI183" i="61"/>
  <c r="BL183" i="61" s="1"/>
  <c r="AI162" i="61"/>
  <c r="BL162" i="61" s="1"/>
  <c r="AH162" i="61"/>
  <c r="BK162" i="61" s="1"/>
  <c r="AM162" i="61"/>
  <c r="BP162" i="61" s="1"/>
  <c r="AN162" i="61"/>
  <c r="BQ162" i="61" s="1"/>
  <c r="AL162" i="61"/>
  <c r="BO162" i="61" s="1"/>
  <c r="AJ162" i="61"/>
  <c r="BM162" i="61" s="1"/>
  <c r="AQ162" i="61"/>
  <c r="BT162" i="61" s="1"/>
  <c r="AK162" i="61"/>
  <c r="BN162" i="61" s="1"/>
  <c r="AP162" i="61"/>
  <c r="BS162" i="61" s="1"/>
  <c r="AO162" i="61"/>
  <c r="BR162" i="61" s="1"/>
  <c r="AN18" i="61"/>
  <c r="BQ18" i="61" s="1"/>
  <c r="AP18" i="61"/>
  <c r="BS18" i="61" s="1"/>
  <c r="AI18" i="61"/>
  <c r="BL18" i="61" s="1"/>
  <c r="AH18" i="61"/>
  <c r="BK18" i="61" s="1"/>
  <c r="AM18" i="61"/>
  <c r="BP18" i="61" s="1"/>
  <c r="AJ18" i="61"/>
  <c r="BM18" i="61" s="1"/>
  <c r="AO18" i="61"/>
  <c r="BR18" i="61" s="1"/>
  <c r="AK18" i="61"/>
  <c r="BN18" i="61" s="1"/>
  <c r="AQ18" i="61"/>
  <c r="BT18" i="61" s="1"/>
  <c r="AL18" i="61"/>
  <c r="BO18" i="61" s="1"/>
  <c r="AK301" i="61"/>
  <c r="BN301" i="61" s="1"/>
  <c r="AI301" i="61"/>
  <c r="BL301" i="61" s="1"/>
  <c r="AH301" i="61"/>
  <c r="BK301" i="61" s="1"/>
  <c r="AL301" i="61"/>
  <c r="BO301" i="61" s="1"/>
  <c r="AM301" i="61"/>
  <c r="BP301" i="61" s="1"/>
  <c r="AN301" i="61"/>
  <c r="BQ301" i="61" s="1"/>
  <c r="AO301" i="61"/>
  <c r="BR301" i="61" s="1"/>
  <c r="AP301" i="61"/>
  <c r="BS301" i="61" s="1"/>
  <c r="AJ301" i="61"/>
  <c r="BM301" i="61" s="1"/>
  <c r="AQ301" i="61"/>
  <c r="BT301" i="61" s="1"/>
  <c r="AI267" i="61"/>
  <c r="BL267" i="61" s="1"/>
  <c r="AQ267" i="61"/>
  <c r="BT267" i="61" s="1"/>
  <c r="AJ267" i="61"/>
  <c r="BM267" i="61" s="1"/>
  <c r="AH267" i="61"/>
  <c r="BK267" i="61" s="1"/>
  <c r="AL267" i="61"/>
  <c r="BO267" i="61" s="1"/>
  <c r="AN267" i="61"/>
  <c r="BQ267" i="61" s="1"/>
  <c r="AP267" i="61"/>
  <c r="BS267" i="61" s="1"/>
  <c r="AK267" i="61"/>
  <c r="BN267" i="61" s="1"/>
  <c r="AM267" i="61"/>
  <c r="BP267" i="61" s="1"/>
  <c r="AO267" i="61"/>
  <c r="BR267" i="61" s="1"/>
  <c r="AJ149" i="61"/>
  <c r="BM149" i="61" s="1"/>
  <c r="AM149" i="61"/>
  <c r="BP149" i="61" s="1"/>
  <c r="AN149" i="61"/>
  <c r="BQ149" i="61" s="1"/>
  <c r="AH149" i="61"/>
  <c r="BK149" i="61" s="1"/>
  <c r="AI149" i="61"/>
  <c r="BL149" i="61" s="1"/>
  <c r="AK149" i="61"/>
  <c r="BN149" i="61" s="1"/>
  <c r="AO149" i="61"/>
  <c r="BR149" i="61" s="1"/>
  <c r="AQ149" i="61"/>
  <c r="BT149" i="61" s="1"/>
  <c r="AP149" i="61"/>
  <c r="BS149" i="61" s="1"/>
  <c r="AL149" i="61"/>
  <c r="BO149" i="61" s="1"/>
  <c r="AN217" i="61"/>
  <c r="BQ217" i="61" s="1"/>
  <c r="AM217" i="61"/>
  <c r="BP217" i="61" s="1"/>
  <c r="AI217" i="61"/>
  <c r="BL217" i="61" s="1"/>
  <c r="AH217" i="61"/>
  <c r="BK217" i="61" s="1"/>
  <c r="AO217" i="61"/>
  <c r="BR217" i="61" s="1"/>
  <c r="AJ217" i="61"/>
  <c r="BM217" i="61" s="1"/>
  <c r="AQ217" i="61"/>
  <c r="BT217" i="61" s="1"/>
  <c r="AL217" i="61"/>
  <c r="BO217" i="61" s="1"/>
  <c r="AP217" i="61"/>
  <c r="BS217" i="61" s="1"/>
  <c r="AK217" i="61"/>
  <c r="BN217" i="61" s="1"/>
  <c r="AM54" i="61"/>
  <c r="BP54" i="61" s="1"/>
  <c r="AI54" i="61"/>
  <c r="BL54" i="61" s="1"/>
  <c r="AL54" i="61"/>
  <c r="BO54" i="61" s="1"/>
  <c r="AH54" i="61"/>
  <c r="BK54" i="61" s="1"/>
  <c r="AJ54" i="61"/>
  <c r="BM54" i="61" s="1"/>
  <c r="AO54" i="61"/>
  <c r="BR54" i="61" s="1"/>
  <c r="AP54" i="61"/>
  <c r="BS54" i="61" s="1"/>
  <c r="AN54" i="61"/>
  <c r="BQ54" i="61" s="1"/>
  <c r="AK54" i="61"/>
  <c r="BN54" i="61" s="1"/>
  <c r="AQ54" i="61"/>
  <c r="BT54" i="61" s="1"/>
  <c r="AQ42" i="61"/>
  <c r="BT42" i="61" s="1"/>
  <c r="AL42" i="61"/>
  <c r="BO42" i="61" s="1"/>
  <c r="AO42" i="61"/>
  <c r="BR42" i="61" s="1"/>
  <c r="AK42" i="61"/>
  <c r="BN42" i="61" s="1"/>
  <c r="AN42" i="61"/>
  <c r="BQ42" i="61" s="1"/>
  <c r="AP42" i="61"/>
  <c r="BS42" i="61" s="1"/>
  <c r="AH42" i="61"/>
  <c r="BK42" i="61" s="1"/>
  <c r="AM42" i="61"/>
  <c r="BP42" i="61" s="1"/>
  <c r="AI42" i="61"/>
  <c r="BL42" i="61" s="1"/>
  <c r="AJ42" i="61"/>
  <c r="BM42" i="61" s="1"/>
  <c r="AH235" i="61"/>
  <c r="BK235" i="61" s="1"/>
  <c r="AL235" i="61"/>
  <c r="BO235" i="61" s="1"/>
  <c r="AP235" i="61"/>
  <c r="BS235" i="61" s="1"/>
  <c r="AI235" i="61"/>
  <c r="BL235" i="61" s="1"/>
  <c r="AM235" i="61"/>
  <c r="BP235" i="61" s="1"/>
  <c r="AN235" i="61"/>
  <c r="BQ235" i="61" s="1"/>
  <c r="AK235" i="61"/>
  <c r="BN235" i="61" s="1"/>
  <c r="AO235" i="61"/>
  <c r="BR235" i="61" s="1"/>
  <c r="AQ235" i="61"/>
  <c r="BT235" i="61" s="1"/>
  <c r="AJ235" i="61"/>
  <c r="BM235" i="61" s="1"/>
  <c r="AH11" i="61"/>
  <c r="BK11" i="61" s="1"/>
  <c r="AP11" i="61"/>
  <c r="BS11" i="61" s="1"/>
  <c r="AM11" i="61"/>
  <c r="BP11" i="61" s="1"/>
  <c r="AJ11" i="61"/>
  <c r="BM11" i="61" s="1"/>
  <c r="AN11" i="61"/>
  <c r="BQ11" i="61" s="1"/>
  <c r="AQ11" i="61"/>
  <c r="BT11" i="61" s="1"/>
  <c r="AK11" i="61"/>
  <c r="BN11" i="61" s="1"/>
  <c r="AI11" i="61"/>
  <c r="BL11" i="61" s="1"/>
  <c r="AL11" i="61"/>
  <c r="BO11" i="61" s="1"/>
  <c r="AO11" i="61"/>
  <c r="BR11" i="61" s="1"/>
  <c r="AI171" i="61"/>
  <c r="BL171" i="61" s="1"/>
  <c r="AJ171" i="61"/>
  <c r="BM171" i="61" s="1"/>
  <c r="AH171" i="61"/>
  <c r="BK171" i="61" s="1"/>
  <c r="AQ171" i="61"/>
  <c r="BT171" i="61" s="1"/>
  <c r="AM171" i="61"/>
  <c r="BP171" i="61" s="1"/>
  <c r="AK171" i="61"/>
  <c r="BN171" i="61" s="1"/>
  <c r="AL171" i="61"/>
  <c r="BO171" i="61" s="1"/>
  <c r="AN171" i="61"/>
  <c r="BQ171" i="61" s="1"/>
  <c r="AO171" i="61"/>
  <c r="BR171" i="61" s="1"/>
  <c r="AP171" i="61"/>
  <c r="BS171" i="61" s="1"/>
  <c r="AJ90" i="61"/>
  <c r="BM90" i="61" s="1"/>
  <c r="AP90" i="61"/>
  <c r="BS90" i="61" s="1"/>
  <c r="AL90" i="61"/>
  <c r="BO90" i="61" s="1"/>
  <c r="AQ90" i="61"/>
  <c r="BT90" i="61" s="1"/>
  <c r="AK90" i="61"/>
  <c r="BN90" i="61" s="1"/>
  <c r="AI90" i="61"/>
  <c r="BL90" i="61" s="1"/>
  <c r="AM90" i="61"/>
  <c r="BP90" i="61" s="1"/>
  <c r="AO90" i="61"/>
  <c r="BR90" i="61" s="1"/>
  <c r="AH90" i="61"/>
  <c r="BK90" i="61" s="1"/>
  <c r="AN90" i="61"/>
  <c r="BQ90" i="61" s="1"/>
  <c r="AI140" i="61"/>
  <c r="BL140" i="61" s="1"/>
  <c r="AP140" i="61"/>
  <c r="BS140" i="61" s="1"/>
  <c r="AM140" i="61"/>
  <c r="BP140" i="61" s="1"/>
  <c r="AQ140" i="61"/>
  <c r="BT140" i="61" s="1"/>
  <c r="AJ140" i="61"/>
  <c r="BM140" i="61" s="1"/>
  <c r="AN140" i="61"/>
  <c r="BQ140" i="61" s="1"/>
  <c r="AK140" i="61"/>
  <c r="BN140" i="61" s="1"/>
  <c r="AO140" i="61"/>
  <c r="BR140" i="61" s="1"/>
  <c r="AH140" i="61"/>
  <c r="BK140" i="61" s="1"/>
  <c r="AL140" i="61"/>
  <c r="BO140" i="61" s="1"/>
  <c r="AK303" i="61"/>
  <c r="BN303" i="61" s="1"/>
  <c r="AL303" i="61"/>
  <c r="BO303" i="61" s="1"/>
  <c r="AJ303" i="61"/>
  <c r="BM303" i="61" s="1"/>
  <c r="AM303" i="61"/>
  <c r="BP303" i="61" s="1"/>
  <c r="AP303" i="61"/>
  <c r="BS303" i="61" s="1"/>
  <c r="AH303" i="61"/>
  <c r="BK303" i="61" s="1"/>
  <c r="AN303" i="61"/>
  <c r="BQ303" i="61" s="1"/>
  <c r="AI303" i="61"/>
  <c r="BL303" i="61" s="1"/>
  <c r="AO303" i="61"/>
  <c r="BR303" i="61" s="1"/>
  <c r="AQ303" i="61"/>
  <c r="BT303" i="61" s="1"/>
  <c r="AJ232" i="61"/>
  <c r="BM232" i="61" s="1"/>
  <c r="AP232" i="61"/>
  <c r="BS232" i="61" s="1"/>
  <c r="AM232" i="61"/>
  <c r="BP232" i="61" s="1"/>
  <c r="AO232" i="61"/>
  <c r="BR232" i="61" s="1"/>
  <c r="AL232" i="61"/>
  <c r="BO232" i="61" s="1"/>
  <c r="AH232" i="61"/>
  <c r="BK232" i="61" s="1"/>
  <c r="AI232" i="61"/>
  <c r="BL232" i="61" s="1"/>
  <c r="AK232" i="61"/>
  <c r="BN232" i="61" s="1"/>
  <c r="AN232" i="61"/>
  <c r="BQ232" i="61" s="1"/>
  <c r="AQ232" i="61"/>
  <c r="BT232" i="61" s="1"/>
  <c r="AP254" i="61"/>
  <c r="BS254" i="61" s="1"/>
  <c r="AO254" i="61"/>
  <c r="BR254" i="61" s="1"/>
  <c r="AI254" i="61"/>
  <c r="BL254" i="61" s="1"/>
  <c r="AH254" i="61"/>
  <c r="BK254" i="61" s="1"/>
  <c r="AJ254" i="61"/>
  <c r="BM254" i="61" s="1"/>
  <c r="AN254" i="61"/>
  <c r="BQ254" i="61" s="1"/>
  <c r="AL254" i="61"/>
  <c r="BO254" i="61" s="1"/>
  <c r="AK254" i="61"/>
  <c r="BN254" i="61" s="1"/>
  <c r="AM254" i="61"/>
  <c r="BP254" i="61" s="1"/>
  <c r="AQ254" i="61"/>
  <c r="BT254" i="61" s="1"/>
  <c r="AH285" i="61"/>
  <c r="BK285" i="61" s="1"/>
  <c r="AI285" i="61"/>
  <c r="BL285" i="61" s="1"/>
  <c r="AK285" i="61"/>
  <c r="BN285" i="61" s="1"/>
  <c r="AN285" i="61"/>
  <c r="BQ285" i="61" s="1"/>
  <c r="AJ285" i="61"/>
  <c r="BM285" i="61" s="1"/>
  <c r="AO285" i="61"/>
  <c r="BR285" i="61" s="1"/>
  <c r="AP285" i="61"/>
  <c r="BS285" i="61" s="1"/>
  <c r="AM285" i="61"/>
  <c r="BP285" i="61" s="1"/>
  <c r="AQ285" i="61"/>
  <c r="BT285" i="61" s="1"/>
  <c r="AL285" i="61"/>
  <c r="BO285" i="61" s="1"/>
  <c r="AJ91" i="61"/>
  <c r="BM91" i="61" s="1"/>
  <c r="AO91" i="61"/>
  <c r="BR91" i="61" s="1"/>
  <c r="AN91" i="61"/>
  <c r="BQ91" i="61" s="1"/>
  <c r="AP91" i="61"/>
  <c r="BS91" i="61" s="1"/>
  <c r="AH91" i="61"/>
  <c r="BK91" i="61" s="1"/>
  <c r="AL91" i="61"/>
  <c r="BO91" i="61" s="1"/>
  <c r="AK91" i="61"/>
  <c r="BN91" i="61" s="1"/>
  <c r="AM91" i="61"/>
  <c r="BP91" i="61" s="1"/>
  <c r="AQ91" i="61"/>
  <c r="BT91" i="61" s="1"/>
  <c r="AI91" i="61"/>
  <c r="BL91" i="61" s="1"/>
  <c r="AM238" i="61"/>
  <c r="BP238" i="61" s="1"/>
  <c r="AP238" i="61"/>
  <c r="BS238" i="61" s="1"/>
  <c r="AN238" i="61"/>
  <c r="BQ238" i="61" s="1"/>
  <c r="AO238" i="61"/>
  <c r="BR238" i="61" s="1"/>
  <c r="AL238" i="61"/>
  <c r="BO238" i="61" s="1"/>
  <c r="AH238" i="61"/>
  <c r="BK238" i="61" s="1"/>
  <c r="AJ238" i="61"/>
  <c r="BM238" i="61" s="1"/>
  <c r="AQ238" i="61"/>
  <c r="BT238" i="61" s="1"/>
  <c r="AK238" i="61"/>
  <c r="BN238" i="61" s="1"/>
  <c r="AI238" i="61"/>
  <c r="BL238" i="61" s="1"/>
  <c r="AM61" i="61"/>
  <c r="BP61" i="61" s="1"/>
  <c r="AO61" i="61"/>
  <c r="BR61" i="61" s="1"/>
  <c r="AN61" i="61"/>
  <c r="BQ61" i="61" s="1"/>
  <c r="AI61" i="61"/>
  <c r="BL61" i="61" s="1"/>
  <c r="AH61" i="61"/>
  <c r="BK61" i="61" s="1"/>
  <c r="AQ61" i="61"/>
  <c r="BT61" i="61" s="1"/>
  <c r="AL61" i="61"/>
  <c r="BO61" i="61" s="1"/>
  <c r="AJ61" i="61"/>
  <c r="BM61" i="61" s="1"/>
  <c r="AK61" i="61"/>
  <c r="BN61" i="61" s="1"/>
  <c r="AP61" i="61"/>
  <c r="BS61" i="61" s="1"/>
  <c r="AO66" i="61"/>
  <c r="BR66" i="61" s="1"/>
  <c r="AP66" i="61"/>
  <c r="BS66" i="61" s="1"/>
  <c r="AK66" i="61"/>
  <c r="BN66" i="61" s="1"/>
  <c r="AH66" i="61"/>
  <c r="BK66" i="61" s="1"/>
  <c r="AM66" i="61"/>
  <c r="BP66" i="61" s="1"/>
  <c r="AJ66" i="61"/>
  <c r="BM66" i="61" s="1"/>
  <c r="AL66" i="61"/>
  <c r="BO66" i="61" s="1"/>
  <c r="AN66" i="61"/>
  <c r="BQ66" i="61" s="1"/>
  <c r="AQ66" i="61"/>
  <c r="BT66" i="61" s="1"/>
  <c r="AI66" i="61"/>
  <c r="BL66" i="61" s="1"/>
  <c r="AO121" i="61"/>
  <c r="BR121" i="61" s="1"/>
  <c r="AP121" i="61"/>
  <c r="BS121" i="61" s="1"/>
  <c r="AN121" i="61"/>
  <c r="BQ121" i="61" s="1"/>
  <c r="AK121" i="61"/>
  <c r="BN121" i="61" s="1"/>
  <c r="AM121" i="61"/>
  <c r="BP121" i="61" s="1"/>
  <c r="AI121" i="61"/>
  <c r="BL121" i="61" s="1"/>
  <c r="AJ121" i="61"/>
  <c r="BM121" i="61" s="1"/>
  <c r="AL121" i="61"/>
  <c r="BO121" i="61" s="1"/>
  <c r="AQ121" i="61"/>
  <c r="BT121" i="61" s="1"/>
  <c r="AH121" i="61"/>
  <c r="BK121" i="61" s="1"/>
  <c r="AK190" i="61"/>
  <c r="BN190" i="61" s="1"/>
  <c r="AO190" i="61"/>
  <c r="BR190" i="61" s="1"/>
  <c r="AM190" i="61"/>
  <c r="BP190" i="61" s="1"/>
  <c r="AP190" i="61"/>
  <c r="BS190" i="61" s="1"/>
  <c r="AJ190" i="61"/>
  <c r="BM190" i="61" s="1"/>
  <c r="AI190" i="61"/>
  <c r="BL190" i="61" s="1"/>
  <c r="AL190" i="61"/>
  <c r="BO190" i="61" s="1"/>
  <c r="AN190" i="61"/>
  <c r="BQ190" i="61" s="1"/>
  <c r="AQ190" i="61"/>
  <c r="BT190" i="61" s="1"/>
  <c r="AH190" i="61"/>
  <c r="BK190" i="61" s="1"/>
  <c r="AK203" i="61"/>
  <c r="BN203" i="61" s="1"/>
  <c r="AJ203" i="61"/>
  <c r="BM203" i="61" s="1"/>
  <c r="AN203" i="61"/>
  <c r="BQ203" i="61" s="1"/>
  <c r="AM203" i="61"/>
  <c r="BP203" i="61" s="1"/>
  <c r="AI203" i="61"/>
  <c r="BL203" i="61" s="1"/>
  <c r="AQ203" i="61"/>
  <c r="BT203" i="61" s="1"/>
  <c r="AP203" i="61"/>
  <c r="BS203" i="61" s="1"/>
  <c r="AL203" i="61"/>
  <c r="BO203" i="61" s="1"/>
  <c r="AO203" i="61"/>
  <c r="BR203" i="61" s="1"/>
  <c r="AH203" i="61"/>
  <c r="BK203" i="61" s="1"/>
  <c r="AJ52" i="61"/>
  <c r="BM52" i="61" s="1"/>
  <c r="AM52" i="61"/>
  <c r="BP52" i="61" s="1"/>
  <c r="AK52" i="61"/>
  <c r="BN52" i="61" s="1"/>
  <c r="AH52" i="61"/>
  <c r="BK52" i="61" s="1"/>
  <c r="AQ52" i="61"/>
  <c r="BT52" i="61" s="1"/>
  <c r="AO52" i="61"/>
  <c r="BR52" i="61" s="1"/>
  <c r="AL52" i="61"/>
  <c r="BO52" i="61" s="1"/>
  <c r="AI52" i="61"/>
  <c r="BL52" i="61" s="1"/>
  <c r="AN52" i="61"/>
  <c r="BQ52" i="61" s="1"/>
  <c r="AP52" i="61"/>
  <c r="BS52" i="61" s="1"/>
  <c r="AN39" i="61"/>
  <c r="BQ39" i="61" s="1"/>
  <c r="AK39" i="61"/>
  <c r="BN39" i="61" s="1"/>
  <c r="AH39" i="61"/>
  <c r="BK39" i="61" s="1"/>
  <c r="AQ39" i="61"/>
  <c r="BT39" i="61" s="1"/>
  <c r="AJ39" i="61"/>
  <c r="BM39" i="61" s="1"/>
  <c r="AM39" i="61"/>
  <c r="BP39" i="61" s="1"/>
  <c r="AP39" i="61"/>
  <c r="BS39" i="61" s="1"/>
  <c r="AL39" i="61"/>
  <c r="BO39" i="61" s="1"/>
  <c r="AI39" i="61"/>
  <c r="BL39" i="61" s="1"/>
  <c r="AO39" i="61"/>
  <c r="BR39" i="61" s="1"/>
  <c r="AI222" i="61"/>
  <c r="BL222" i="61" s="1"/>
  <c r="AL222" i="61"/>
  <c r="BO222" i="61" s="1"/>
  <c r="AN222" i="61"/>
  <c r="BQ222" i="61" s="1"/>
  <c r="AP222" i="61"/>
  <c r="BS222" i="61" s="1"/>
  <c r="AH222" i="61"/>
  <c r="BK222" i="61" s="1"/>
  <c r="AK222" i="61"/>
  <c r="BN222" i="61" s="1"/>
  <c r="AQ222" i="61"/>
  <c r="BT222" i="61" s="1"/>
  <c r="AO222" i="61"/>
  <c r="BR222" i="61" s="1"/>
  <c r="AM222" i="61"/>
  <c r="BP222" i="61" s="1"/>
  <c r="AJ222" i="61"/>
  <c r="BM222" i="61" s="1"/>
  <c r="AP112" i="61"/>
  <c r="BS112" i="61" s="1"/>
  <c r="AH112" i="61"/>
  <c r="BK112" i="61" s="1"/>
  <c r="AM112" i="61"/>
  <c r="BP112" i="61" s="1"/>
  <c r="AO112" i="61"/>
  <c r="BR112" i="61" s="1"/>
  <c r="AQ112" i="61"/>
  <c r="BT112" i="61" s="1"/>
  <c r="AK112" i="61"/>
  <c r="BN112" i="61" s="1"/>
  <c r="AN112" i="61"/>
  <c r="BQ112" i="61" s="1"/>
  <c r="AL112" i="61"/>
  <c r="BO112" i="61" s="1"/>
  <c r="AJ112" i="61"/>
  <c r="BM112" i="61" s="1"/>
  <c r="AI112" i="61"/>
  <c r="BL112" i="61" s="1"/>
  <c r="AQ191" i="61"/>
  <c r="BT191" i="61" s="1"/>
  <c r="AJ191" i="61"/>
  <c r="BM191" i="61" s="1"/>
  <c r="AL191" i="61"/>
  <c r="BO191" i="61" s="1"/>
  <c r="AP191" i="61"/>
  <c r="BS191" i="61" s="1"/>
  <c r="AH191" i="61"/>
  <c r="BK191" i="61" s="1"/>
  <c r="AI191" i="61"/>
  <c r="BL191" i="61" s="1"/>
  <c r="AM191" i="61"/>
  <c r="BP191" i="61" s="1"/>
  <c r="AN191" i="61"/>
  <c r="BQ191" i="61" s="1"/>
  <c r="AK191" i="61"/>
  <c r="BN191" i="61" s="1"/>
  <c r="AO191" i="61"/>
  <c r="BR191" i="61" s="1"/>
  <c r="AQ290" i="61"/>
  <c r="BT290" i="61" s="1"/>
  <c r="AH290" i="61"/>
  <c r="BK290" i="61" s="1"/>
  <c r="AN290" i="61"/>
  <c r="BQ290" i="61" s="1"/>
  <c r="AJ290" i="61"/>
  <c r="BM290" i="61" s="1"/>
  <c r="AK290" i="61"/>
  <c r="BN290" i="61" s="1"/>
  <c r="AO290" i="61"/>
  <c r="BR290" i="61" s="1"/>
  <c r="AM290" i="61"/>
  <c r="BP290" i="61" s="1"/>
  <c r="AP290" i="61"/>
  <c r="BS290" i="61" s="1"/>
  <c r="AI290" i="61"/>
  <c r="BL290" i="61" s="1"/>
  <c r="AL290" i="61"/>
  <c r="BO290" i="61" s="1"/>
  <c r="AO209" i="61"/>
  <c r="BR209" i="61" s="1"/>
  <c r="AL209" i="61"/>
  <c r="BO209" i="61" s="1"/>
  <c r="AJ209" i="61"/>
  <c r="BM209" i="61" s="1"/>
  <c r="AN209" i="61"/>
  <c r="BQ209" i="61" s="1"/>
  <c r="AM209" i="61"/>
  <c r="BP209" i="61" s="1"/>
  <c r="AK209" i="61"/>
  <c r="BN209" i="61" s="1"/>
  <c r="AP209" i="61"/>
  <c r="BS209" i="61" s="1"/>
  <c r="AH209" i="61"/>
  <c r="BK209" i="61" s="1"/>
  <c r="AI209" i="61"/>
  <c r="BL209" i="61" s="1"/>
  <c r="AQ209" i="61"/>
  <c r="BT209" i="61" s="1"/>
  <c r="AL328" i="61"/>
  <c r="BO328" i="61" s="1"/>
  <c r="AP328" i="61"/>
  <c r="BS328" i="61" s="1"/>
  <c r="AQ328" i="61"/>
  <c r="BT328" i="61" s="1"/>
  <c r="AM328" i="61"/>
  <c r="BP328" i="61" s="1"/>
  <c r="AK328" i="61"/>
  <c r="BN328" i="61" s="1"/>
  <c r="AH328" i="61"/>
  <c r="BK328" i="61" s="1"/>
  <c r="AI328" i="61"/>
  <c r="BL328" i="61" s="1"/>
  <c r="AN328" i="61"/>
  <c r="BQ328" i="61" s="1"/>
  <c r="AO328" i="61"/>
  <c r="BR328" i="61" s="1"/>
  <c r="AJ328" i="61"/>
  <c r="BM328" i="61" s="1"/>
  <c r="AI76" i="61"/>
  <c r="BL76" i="61" s="1"/>
  <c r="AK76" i="61"/>
  <c r="BN76" i="61" s="1"/>
  <c r="AL76" i="61"/>
  <c r="BO76" i="61" s="1"/>
  <c r="AO76" i="61"/>
  <c r="BR76" i="61" s="1"/>
  <c r="AM76" i="61"/>
  <c r="BP76" i="61" s="1"/>
  <c r="AQ76" i="61"/>
  <c r="BT76" i="61" s="1"/>
  <c r="AH76" i="61"/>
  <c r="BK76" i="61" s="1"/>
  <c r="AN76" i="61"/>
  <c r="BQ76" i="61" s="1"/>
  <c r="AJ76" i="61"/>
  <c r="BM76" i="61" s="1"/>
  <c r="AP76" i="61"/>
  <c r="BS76" i="61" s="1"/>
  <c r="AQ329" i="61"/>
  <c r="BT329" i="61" s="1"/>
  <c r="AP329" i="61"/>
  <c r="BS329" i="61" s="1"/>
  <c r="AI329" i="61"/>
  <c r="BL329" i="61" s="1"/>
  <c r="AJ329" i="61"/>
  <c r="BM329" i="61" s="1"/>
  <c r="AK329" i="61"/>
  <c r="BN329" i="61" s="1"/>
  <c r="AN329" i="61"/>
  <c r="BQ329" i="61" s="1"/>
  <c r="AL329" i="61"/>
  <c r="BO329" i="61" s="1"/>
  <c r="AM329" i="61"/>
  <c r="BP329" i="61" s="1"/>
  <c r="AO329" i="61"/>
  <c r="BR329" i="61" s="1"/>
  <c r="AH329" i="61"/>
  <c r="BK329" i="61" s="1"/>
  <c r="AM115" i="61"/>
  <c r="BP115" i="61" s="1"/>
  <c r="AQ115" i="61"/>
  <c r="BT115" i="61" s="1"/>
  <c r="AK115" i="61"/>
  <c r="BN115" i="61" s="1"/>
  <c r="AN115" i="61"/>
  <c r="BQ115" i="61" s="1"/>
  <c r="AP115" i="61"/>
  <c r="BS115" i="61" s="1"/>
  <c r="AJ115" i="61"/>
  <c r="BM115" i="61" s="1"/>
  <c r="AL115" i="61"/>
  <c r="BO115" i="61" s="1"/>
  <c r="AO115" i="61"/>
  <c r="BR115" i="61" s="1"/>
  <c r="AH115" i="61"/>
  <c r="BK115" i="61" s="1"/>
  <c r="AI115" i="61"/>
  <c r="BL115" i="61" s="1"/>
  <c r="AN206" i="61"/>
  <c r="BQ206" i="61" s="1"/>
  <c r="AL206" i="61"/>
  <c r="BO206" i="61" s="1"/>
  <c r="AH206" i="61"/>
  <c r="BK206" i="61" s="1"/>
  <c r="AO206" i="61"/>
  <c r="BR206" i="61" s="1"/>
  <c r="AP206" i="61"/>
  <c r="BS206" i="61" s="1"/>
  <c r="AM206" i="61"/>
  <c r="BP206" i="61" s="1"/>
  <c r="AQ206" i="61"/>
  <c r="BT206" i="61" s="1"/>
  <c r="AJ206" i="61"/>
  <c r="BM206" i="61" s="1"/>
  <c r="AK206" i="61"/>
  <c r="BN206" i="61" s="1"/>
  <c r="AI206" i="61"/>
  <c r="BL206" i="61" s="1"/>
  <c r="AO330" i="61"/>
  <c r="BR330" i="61" s="1"/>
  <c r="AK330" i="61"/>
  <c r="BN330" i="61" s="1"/>
  <c r="AJ330" i="61"/>
  <c r="BM330" i="61" s="1"/>
  <c r="AI330" i="61"/>
  <c r="BL330" i="61" s="1"/>
  <c r="AN330" i="61"/>
  <c r="BQ330" i="61" s="1"/>
  <c r="AL330" i="61"/>
  <c r="BO330" i="61" s="1"/>
  <c r="AM330" i="61"/>
  <c r="BP330" i="61" s="1"/>
  <c r="AQ330" i="61"/>
  <c r="BT330" i="61" s="1"/>
  <c r="AH330" i="61"/>
  <c r="BK330" i="61" s="1"/>
  <c r="AP330" i="61"/>
  <c r="BS330" i="61" s="1"/>
  <c r="AJ85" i="61"/>
  <c r="BM85" i="61" s="1"/>
  <c r="AL85" i="61"/>
  <c r="BO85" i="61" s="1"/>
  <c r="AO85" i="61"/>
  <c r="BR85" i="61" s="1"/>
  <c r="AI85" i="61"/>
  <c r="BL85" i="61" s="1"/>
  <c r="AP85" i="61"/>
  <c r="BS85" i="61" s="1"/>
  <c r="AK85" i="61"/>
  <c r="BN85" i="61" s="1"/>
  <c r="AM85" i="61"/>
  <c r="BP85" i="61" s="1"/>
  <c r="AN85" i="61"/>
  <c r="BQ85" i="61" s="1"/>
  <c r="AQ85" i="61"/>
  <c r="BT85" i="61" s="1"/>
  <c r="AH85" i="61"/>
  <c r="BK85" i="61" s="1"/>
  <c r="AM78" i="61"/>
  <c r="BP78" i="61" s="1"/>
  <c r="AJ78" i="61"/>
  <c r="BM78" i="61" s="1"/>
  <c r="AK78" i="61"/>
  <c r="BN78" i="61" s="1"/>
  <c r="AN78" i="61"/>
  <c r="BQ78" i="61" s="1"/>
  <c r="AH78" i="61"/>
  <c r="BK78" i="61" s="1"/>
  <c r="AI78" i="61"/>
  <c r="BL78" i="61" s="1"/>
  <c r="AQ78" i="61"/>
  <c r="BT78" i="61" s="1"/>
  <c r="AL78" i="61"/>
  <c r="BO78" i="61" s="1"/>
  <c r="AO78" i="61"/>
  <c r="BR78" i="61" s="1"/>
  <c r="AP78" i="61"/>
  <c r="BS78" i="61" s="1"/>
  <c r="AO311" i="61"/>
  <c r="BR311" i="61" s="1"/>
  <c r="AN311" i="61"/>
  <c r="BQ311" i="61" s="1"/>
  <c r="AI311" i="61"/>
  <c r="BL311" i="61" s="1"/>
  <c r="AH311" i="61"/>
  <c r="BK311" i="61" s="1"/>
  <c r="AP311" i="61"/>
  <c r="BS311" i="61" s="1"/>
  <c r="AQ311" i="61"/>
  <c r="BT311" i="61" s="1"/>
  <c r="AK311" i="61"/>
  <c r="BN311" i="61" s="1"/>
  <c r="AJ311" i="61"/>
  <c r="BM311" i="61" s="1"/>
  <c r="AM311" i="61"/>
  <c r="BP311" i="61" s="1"/>
  <c r="AL311" i="61"/>
  <c r="BO311" i="61" s="1"/>
  <c r="AH309" i="61"/>
  <c r="BK309" i="61" s="1"/>
  <c r="AL309" i="61"/>
  <c r="BO309" i="61" s="1"/>
  <c r="AK309" i="61"/>
  <c r="BN309" i="61" s="1"/>
  <c r="AM309" i="61"/>
  <c r="BP309" i="61" s="1"/>
  <c r="AI309" i="61"/>
  <c r="BL309" i="61" s="1"/>
  <c r="AP309" i="61"/>
  <c r="BS309" i="61" s="1"/>
  <c r="AJ309" i="61"/>
  <c r="BM309" i="61" s="1"/>
  <c r="AQ309" i="61"/>
  <c r="BT309" i="61" s="1"/>
  <c r="AO309" i="61"/>
  <c r="BR309" i="61" s="1"/>
  <c r="AN309" i="61"/>
  <c r="BQ309" i="61" s="1"/>
  <c r="AK184" i="61"/>
  <c r="BN184" i="61" s="1"/>
  <c r="AI184" i="61"/>
  <c r="BL184" i="61" s="1"/>
  <c r="AN184" i="61"/>
  <c r="BQ184" i="61" s="1"/>
  <c r="AO184" i="61"/>
  <c r="BR184" i="61" s="1"/>
  <c r="AP184" i="61"/>
  <c r="BS184" i="61" s="1"/>
  <c r="AJ184" i="61"/>
  <c r="BM184" i="61" s="1"/>
  <c r="AQ184" i="61"/>
  <c r="BT184" i="61" s="1"/>
  <c r="AH184" i="61"/>
  <c r="BK184" i="61" s="1"/>
  <c r="AM184" i="61"/>
  <c r="BP184" i="61" s="1"/>
  <c r="AL184" i="61"/>
  <c r="BO184" i="61" s="1"/>
  <c r="AK204" i="61"/>
  <c r="BN204" i="61" s="1"/>
  <c r="AO204" i="61"/>
  <c r="BR204" i="61" s="1"/>
  <c r="AQ204" i="61"/>
  <c r="BT204" i="61" s="1"/>
  <c r="AH204" i="61"/>
  <c r="BK204" i="61" s="1"/>
  <c r="AI204" i="61"/>
  <c r="BL204" i="61" s="1"/>
  <c r="AL204" i="61"/>
  <c r="BO204" i="61" s="1"/>
  <c r="AP204" i="61"/>
  <c r="BS204" i="61" s="1"/>
  <c r="AM204" i="61"/>
  <c r="BP204" i="61" s="1"/>
  <c r="AJ204" i="61"/>
  <c r="BM204" i="61" s="1"/>
  <c r="AN204" i="61"/>
  <c r="BQ204" i="61" s="1"/>
  <c r="AM216" i="61"/>
  <c r="BP216" i="61" s="1"/>
  <c r="AN216" i="61"/>
  <c r="BQ216" i="61" s="1"/>
  <c r="AH216" i="61"/>
  <c r="BK216" i="61" s="1"/>
  <c r="AL216" i="61"/>
  <c r="BO216" i="61" s="1"/>
  <c r="AQ216" i="61"/>
  <c r="BT216" i="61" s="1"/>
  <c r="AO216" i="61"/>
  <c r="BR216" i="61" s="1"/>
  <c r="AI216" i="61"/>
  <c r="BL216" i="61" s="1"/>
  <c r="AK216" i="61"/>
  <c r="BN216" i="61" s="1"/>
  <c r="AP216" i="61"/>
  <c r="BS216" i="61" s="1"/>
  <c r="AJ216" i="61"/>
  <c r="BM216" i="61" s="1"/>
  <c r="AL135" i="61"/>
  <c r="BO135" i="61" s="1"/>
  <c r="AH135" i="61"/>
  <c r="BK135" i="61" s="1"/>
  <c r="AO135" i="61"/>
  <c r="BR135" i="61" s="1"/>
  <c r="AM135" i="61"/>
  <c r="BP135" i="61" s="1"/>
  <c r="AQ135" i="61"/>
  <c r="BT135" i="61" s="1"/>
  <c r="AP135" i="61"/>
  <c r="BS135" i="61" s="1"/>
  <c r="AN135" i="61"/>
  <c r="BQ135" i="61" s="1"/>
  <c r="AK135" i="61"/>
  <c r="BN135" i="61" s="1"/>
  <c r="AJ135" i="61"/>
  <c r="BM135" i="61" s="1"/>
  <c r="AI135" i="61"/>
  <c r="BL135" i="61" s="1"/>
  <c r="AH97" i="61"/>
  <c r="BK97" i="61" s="1"/>
  <c r="AP97" i="61"/>
  <c r="BS97" i="61" s="1"/>
  <c r="AM97" i="61"/>
  <c r="BP97" i="61" s="1"/>
  <c r="AJ97" i="61"/>
  <c r="BM97" i="61" s="1"/>
  <c r="AL97" i="61"/>
  <c r="BO97" i="61" s="1"/>
  <c r="AO97" i="61"/>
  <c r="BR97" i="61" s="1"/>
  <c r="AK97" i="61"/>
  <c r="BN97" i="61" s="1"/>
  <c r="AQ97" i="61"/>
  <c r="BT97" i="61" s="1"/>
  <c r="AN97" i="61"/>
  <c r="BQ97" i="61" s="1"/>
  <c r="AI97" i="61"/>
  <c r="BL97" i="61" s="1"/>
  <c r="AI282" i="61"/>
  <c r="BL282" i="61" s="1"/>
  <c r="AK282" i="61"/>
  <c r="BN282" i="61" s="1"/>
  <c r="AJ282" i="61"/>
  <c r="BM282" i="61" s="1"/>
  <c r="AL282" i="61"/>
  <c r="BO282" i="61" s="1"/>
  <c r="AO282" i="61"/>
  <c r="BR282" i="61" s="1"/>
  <c r="AN282" i="61"/>
  <c r="BQ282" i="61" s="1"/>
  <c r="AQ282" i="61"/>
  <c r="BT282" i="61" s="1"/>
  <c r="AH282" i="61"/>
  <c r="BK282" i="61" s="1"/>
  <c r="AM282" i="61"/>
  <c r="BP282" i="61" s="1"/>
  <c r="AP282" i="61"/>
  <c r="BS282" i="61" s="1"/>
  <c r="AQ108" i="61"/>
  <c r="BT108" i="61" s="1"/>
  <c r="AK108" i="61"/>
  <c r="BN108" i="61" s="1"/>
  <c r="AI108" i="61"/>
  <c r="BL108" i="61" s="1"/>
  <c r="AM108" i="61"/>
  <c r="BP108" i="61" s="1"/>
  <c r="AN108" i="61"/>
  <c r="BQ108" i="61" s="1"/>
  <c r="AL108" i="61"/>
  <c r="BO108" i="61" s="1"/>
  <c r="AH108" i="61"/>
  <c r="BK108" i="61" s="1"/>
  <c r="AJ108" i="61"/>
  <c r="BM108" i="61" s="1"/>
  <c r="AO108" i="61"/>
  <c r="BR108" i="61" s="1"/>
  <c r="AP108" i="61"/>
  <c r="BS108" i="61" s="1"/>
  <c r="AJ167" i="61"/>
  <c r="BM167" i="61" s="1"/>
  <c r="AI167" i="61"/>
  <c r="BL167" i="61" s="1"/>
  <c r="AK167" i="61"/>
  <c r="BN167" i="61" s="1"/>
  <c r="AL167" i="61"/>
  <c r="BO167" i="61" s="1"/>
  <c r="AP167" i="61"/>
  <c r="BS167" i="61" s="1"/>
  <c r="AN167" i="61"/>
  <c r="BQ167" i="61" s="1"/>
  <c r="AQ167" i="61"/>
  <c r="BT167" i="61" s="1"/>
  <c r="AH167" i="61"/>
  <c r="BK167" i="61" s="1"/>
  <c r="AO167" i="61"/>
  <c r="BR167" i="61" s="1"/>
  <c r="AM167" i="61"/>
  <c r="BP167" i="61" s="1"/>
  <c r="AM93" i="61"/>
  <c r="BP93" i="61" s="1"/>
  <c r="AI93" i="61"/>
  <c r="BL93" i="61" s="1"/>
  <c r="AN93" i="61"/>
  <c r="BQ93" i="61" s="1"/>
  <c r="AP93" i="61"/>
  <c r="BS93" i="61" s="1"/>
  <c r="AH93" i="61"/>
  <c r="BK93" i="61" s="1"/>
  <c r="AK93" i="61"/>
  <c r="BN93" i="61" s="1"/>
  <c r="AJ93" i="61"/>
  <c r="BM93" i="61" s="1"/>
  <c r="AO93" i="61"/>
  <c r="BR93" i="61" s="1"/>
  <c r="AQ93" i="61"/>
  <c r="BT93" i="61" s="1"/>
  <c r="AL93" i="61"/>
  <c r="BO93" i="61" s="1"/>
  <c r="AH137" i="61"/>
  <c r="BK137" i="61" s="1"/>
  <c r="AM137" i="61"/>
  <c r="BP137" i="61" s="1"/>
  <c r="AL137" i="61"/>
  <c r="BO137" i="61" s="1"/>
  <c r="AN137" i="61"/>
  <c r="BQ137" i="61" s="1"/>
  <c r="AO137" i="61"/>
  <c r="BR137" i="61" s="1"/>
  <c r="AQ137" i="61"/>
  <c r="BT137" i="61" s="1"/>
  <c r="AP137" i="61"/>
  <c r="BS137" i="61" s="1"/>
  <c r="AI137" i="61"/>
  <c r="BL137" i="61" s="1"/>
  <c r="AJ137" i="61"/>
  <c r="BM137" i="61" s="1"/>
  <c r="AK137" i="61"/>
  <c r="BN137" i="61" s="1"/>
  <c r="AK300" i="61"/>
  <c r="BN300" i="61" s="1"/>
  <c r="AQ300" i="61"/>
  <c r="BT300" i="61" s="1"/>
  <c r="AL300" i="61"/>
  <c r="BO300" i="61" s="1"/>
  <c r="AJ300" i="61"/>
  <c r="BM300" i="61" s="1"/>
  <c r="AP300" i="61"/>
  <c r="BS300" i="61" s="1"/>
  <c r="AO300" i="61"/>
  <c r="BR300" i="61" s="1"/>
  <c r="AM300" i="61"/>
  <c r="BP300" i="61" s="1"/>
  <c r="AN300" i="61"/>
  <c r="BQ300" i="61" s="1"/>
  <c r="AI300" i="61"/>
  <c r="BL300" i="61" s="1"/>
  <c r="AH300" i="61"/>
  <c r="BK300" i="61" s="1"/>
  <c r="AQ324" i="61"/>
  <c r="BT324" i="61" s="1"/>
  <c r="AJ324" i="61"/>
  <c r="BM324" i="61" s="1"/>
  <c r="AM324" i="61"/>
  <c r="BP324" i="61" s="1"/>
  <c r="AK324" i="61"/>
  <c r="BN324" i="61" s="1"/>
  <c r="AL324" i="61"/>
  <c r="BO324" i="61" s="1"/>
  <c r="AP324" i="61"/>
  <c r="BS324" i="61" s="1"/>
  <c r="AO324" i="61"/>
  <c r="BR324" i="61" s="1"/>
  <c r="AI324" i="61"/>
  <c r="BL324" i="61" s="1"/>
  <c r="AN324" i="61"/>
  <c r="BQ324" i="61" s="1"/>
  <c r="AH324" i="61"/>
  <c r="BK324" i="61" s="1"/>
  <c r="AI252" i="61"/>
  <c r="BL252" i="61" s="1"/>
  <c r="AJ252" i="61"/>
  <c r="BM252" i="61" s="1"/>
  <c r="AH252" i="61"/>
  <c r="BK252" i="61" s="1"/>
  <c r="AK252" i="61"/>
  <c r="BN252" i="61" s="1"/>
  <c r="AL252" i="61"/>
  <c r="BO252" i="61" s="1"/>
  <c r="AQ252" i="61"/>
  <c r="BT252" i="61" s="1"/>
  <c r="AP252" i="61"/>
  <c r="BS252" i="61" s="1"/>
  <c r="AO252" i="61"/>
  <c r="BR252" i="61" s="1"/>
  <c r="AN252" i="61"/>
  <c r="BQ252" i="61" s="1"/>
  <c r="AM252" i="61"/>
  <c r="BP252" i="61" s="1"/>
  <c r="AK286" i="61"/>
  <c r="BN286" i="61" s="1"/>
  <c r="AL286" i="61"/>
  <c r="BO286" i="61" s="1"/>
  <c r="AJ286" i="61"/>
  <c r="BM286" i="61" s="1"/>
  <c r="AN286" i="61"/>
  <c r="BQ286" i="61" s="1"/>
  <c r="AQ286" i="61"/>
  <c r="BT286" i="61" s="1"/>
  <c r="AM286" i="61"/>
  <c r="BP286" i="61" s="1"/>
  <c r="AH286" i="61"/>
  <c r="BK286" i="61" s="1"/>
  <c r="AI286" i="61"/>
  <c r="BL286" i="61" s="1"/>
  <c r="AP286" i="61"/>
  <c r="BS286" i="61" s="1"/>
  <c r="AO286" i="61"/>
  <c r="BR286" i="61" s="1"/>
  <c r="AJ163" i="61"/>
  <c r="BM163" i="61" s="1"/>
  <c r="AL163" i="61"/>
  <c r="BO163" i="61" s="1"/>
  <c r="AM163" i="61"/>
  <c r="BP163" i="61" s="1"/>
  <c r="AP163" i="61"/>
  <c r="BS163" i="61" s="1"/>
  <c r="AO163" i="61"/>
  <c r="BR163" i="61" s="1"/>
  <c r="AH163" i="61"/>
  <c r="BK163" i="61" s="1"/>
  <c r="AK163" i="61"/>
  <c r="BN163" i="61" s="1"/>
  <c r="AN163" i="61"/>
  <c r="BQ163" i="61" s="1"/>
  <c r="AQ163" i="61"/>
  <c r="BT163" i="61" s="1"/>
  <c r="AI163" i="61"/>
  <c r="BL163" i="61" s="1"/>
  <c r="AK50" i="61"/>
  <c r="BN50" i="61" s="1"/>
  <c r="AP50" i="61"/>
  <c r="BS50" i="61" s="1"/>
  <c r="AJ50" i="61"/>
  <c r="BM50" i="61" s="1"/>
  <c r="AL50" i="61"/>
  <c r="BO50" i="61" s="1"/>
  <c r="AQ50" i="61"/>
  <c r="BT50" i="61" s="1"/>
  <c r="AM50" i="61"/>
  <c r="BP50" i="61" s="1"/>
  <c r="AI50" i="61"/>
  <c r="BL50" i="61" s="1"/>
  <c r="AH50" i="61"/>
  <c r="BK50" i="61" s="1"/>
  <c r="AN50" i="61"/>
  <c r="BQ50" i="61" s="1"/>
  <c r="AO50" i="61"/>
  <c r="BR50" i="61" s="1"/>
  <c r="AJ98" i="61"/>
  <c r="BM98" i="61" s="1"/>
  <c r="AN98" i="61"/>
  <c r="BQ98" i="61" s="1"/>
  <c r="AQ98" i="61"/>
  <c r="BT98" i="61" s="1"/>
  <c r="AK98" i="61"/>
  <c r="BN98" i="61" s="1"/>
  <c r="AL98" i="61"/>
  <c r="BO98" i="61" s="1"/>
  <c r="AI98" i="61"/>
  <c r="BL98" i="61" s="1"/>
  <c r="AO98" i="61"/>
  <c r="BR98" i="61" s="1"/>
  <c r="AP98" i="61"/>
  <c r="BS98" i="61" s="1"/>
  <c r="AH98" i="61"/>
  <c r="BK98" i="61" s="1"/>
  <c r="AM98" i="61"/>
  <c r="BP98" i="61" s="1"/>
  <c r="AI33" i="61"/>
  <c r="BL33" i="61" s="1"/>
  <c r="AJ33" i="61"/>
  <c r="BM33" i="61" s="1"/>
  <c r="AK33" i="61"/>
  <c r="BN33" i="61" s="1"/>
  <c r="AM33" i="61"/>
  <c r="BP33" i="61" s="1"/>
  <c r="AP33" i="61"/>
  <c r="BS33" i="61" s="1"/>
  <c r="AN33" i="61"/>
  <c r="BQ33" i="61" s="1"/>
  <c r="AL33" i="61"/>
  <c r="BO33" i="61" s="1"/>
  <c r="AH33" i="61"/>
  <c r="BK33" i="61" s="1"/>
  <c r="AQ33" i="61"/>
  <c r="BT33" i="61" s="1"/>
  <c r="AO33" i="61"/>
  <c r="BR33" i="61" s="1"/>
  <c r="AN49" i="61"/>
  <c r="BQ49" i="61" s="1"/>
  <c r="AH49" i="61"/>
  <c r="BK49" i="61" s="1"/>
  <c r="AP49" i="61"/>
  <c r="BS49" i="61" s="1"/>
  <c r="AK49" i="61"/>
  <c r="BN49" i="61" s="1"/>
  <c r="AL49" i="61"/>
  <c r="BO49" i="61" s="1"/>
  <c r="AM49" i="61"/>
  <c r="BP49" i="61" s="1"/>
  <c r="AJ49" i="61"/>
  <c r="BM49" i="61" s="1"/>
  <c r="AQ49" i="61"/>
  <c r="BT49" i="61" s="1"/>
  <c r="AO49" i="61"/>
  <c r="BR49" i="61" s="1"/>
  <c r="AI49" i="61"/>
  <c r="BL49" i="61" s="1"/>
  <c r="AO48" i="61"/>
  <c r="BR48" i="61" s="1"/>
  <c r="AM48" i="61"/>
  <c r="BP48" i="61" s="1"/>
  <c r="AQ48" i="61"/>
  <c r="BT48" i="61" s="1"/>
  <c r="AP48" i="61"/>
  <c r="BS48" i="61" s="1"/>
  <c r="AL48" i="61"/>
  <c r="BO48" i="61" s="1"/>
  <c r="AN48" i="61"/>
  <c r="BQ48" i="61" s="1"/>
  <c r="AK48" i="61"/>
  <c r="BN48" i="61" s="1"/>
  <c r="AJ48" i="61"/>
  <c r="BM48" i="61" s="1"/>
  <c r="AI48" i="61"/>
  <c r="BL48" i="61" s="1"/>
  <c r="AH48" i="61"/>
  <c r="BK48" i="61" s="1"/>
  <c r="AL77" i="61"/>
  <c r="BO77" i="61" s="1"/>
  <c r="AK77" i="61"/>
  <c r="BN77" i="61" s="1"/>
  <c r="AM77" i="61"/>
  <c r="BP77" i="61" s="1"/>
  <c r="AN77" i="61"/>
  <c r="BQ77" i="61" s="1"/>
  <c r="AO77" i="61"/>
  <c r="BR77" i="61" s="1"/>
  <c r="AH77" i="61"/>
  <c r="BK77" i="61" s="1"/>
  <c r="AI77" i="61"/>
  <c r="BL77" i="61" s="1"/>
  <c r="AP77" i="61"/>
  <c r="BS77" i="61" s="1"/>
  <c r="AJ77" i="61"/>
  <c r="BM77" i="61" s="1"/>
  <c r="AQ77" i="61"/>
  <c r="BT77" i="61" s="1"/>
  <c r="AK101" i="61"/>
  <c r="BN101" i="61" s="1"/>
  <c r="AL101" i="61"/>
  <c r="BO101" i="61" s="1"/>
  <c r="AJ101" i="61"/>
  <c r="BM101" i="61" s="1"/>
  <c r="AM101" i="61"/>
  <c r="BP101" i="61" s="1"/>
  <c r="AH101" i="61"/>
  <c r="BK101" i="61" s="1"/>
  <c r="AO101" i="61"/>
  <c r="BR101" i="61" s="1"/>
  <c r="AI101" i="61"/>
  <c r="BL101" i="61" s="1"/>
  <c r="AQ101" i="61"/>
  <c r="BT101" i="61" s="1"/>
  <c r="AN101" i="61"/>
  <c r="BQ101" i="61" s="1"/>
  <c r="AP101" i="61"/>
  <c r="BS101" i="61" s="1"/>
  <c r="AP201" i="61"/>
  <c r="BS201" i="61" s="1"/>
  <c r="AK201" i="61"/>
  <c r="BN201" i="61" s="1"/>
  <c r="AN201" i="61"/>
  <c r="BQ201" i="61" s="1"/>
  <c r="AL201" i="61"/>
  <c r="BO201" i="61" s="1"/>
  <c r="AO201" i="61"/>
  <c r="BR201" i="61" s="1"/>
  <c r="AM201" i="61"/>
  <c r="BP201" i="61" s="1"/>
  <c r="AQ201" i="61"/>
  <c r="BT201" i="61" s="1"/>
  <c r="AJ201" i="61"/>
  <c r="BM201" i="61" s="1"/>
  <c r="AI201" i="61"/>
  <c r="BL201" i="61" s="1"/>
  <c r="AH201" i="61"/>
  <c r="BK201" i="61" s="1"/>
  <c r="AM214" i="61"/>
  <c r="BP214" i="61" s="1"/>
  <c r="AQ214" i="61"/>
  <c r="BT214" i="61" s="1"/>
  <c r="AL214" i="61"/>
  <c r="BO214" i="61" s="1"/>
  <c r="AJ214" i="61"/>
  <c r="BM214" i="61" s="1"/>
  <c r="AN214" i="61"/>
  <c r="BQ214" i="61" s="1"/>
  <c r="AO214" i="61"/>
  <c r="BR214" i="61" s="1"/>
  <c r="AI214" i="61"/>
  <c r="BL214" i="61" s="1"/>
  <c r="AK214" i="61"/>
  <c r="BN214" i="61" s="1"/>
  <c r="AH214" i="61"/>
  <c r="BK214" i="61" s="1"/>
  <c r="AP214" i="61"/>
  <c r="BS214" i="61" s="1"/>
  <c r="AI110" i="61"/>
  <c r="BL110" i="61" s="1"/>
  <c r="AQ110" i="61"/>
  <c r="BT110" i="61" s="1"/>
  <c r="AL110" i="61"/>
  <c r="BO110" i="61" s="1"/>
  <c r="AN110" i="61"/>
  <c r="BQ110" i="61" s="1"/>
  <c r="AJ110" i="61"/>
  <c r="BM110" i="61" s="1"/>
  <c r="AP110" i="61"/>
  <c r="BS110" i="61" s="1"/>
  <c r="AO110" i="61"/>
  <c r="BR110" i="61" s="1"/>
  <c r="AK110" i="61"/>
  <c r="BN110" i="61" s="1"/>
  <c r="AH110" i="61"/>
  <c r="BK110" i="61" s="1"/>
  <c r="AM110" i="61"/>
  <c r="BP110" i="61" s="1"/>
  <c r="AQ253" i="61"/>
  <c r="BT253" i="61" s="1"/>
  <c r="AJ253" i="61"/>
  <c r="BM253" i="61" s="1"/>
  <c r="AN253" i="61"/>
  <c r="BQ253" i="61" s="1"/>
  <c r="AK253" i="61"/>
  <c r="BN253" i="61" s="1"/>
  <c r="AL253" i="61"/>
  <c r="BO253" i="61" s="1"/>
  <c r="AI253" i="61"/>
  <c r="BL253" i="61" s="1"/>
  <c r="AO253" i="61"/>
  <c r="BR253" i="61" s="1"/>
  <c r="AP253" i="61"/>
  <c r="BS253" i="61" s="1"/>
  <c r="AH253" i="61"/>
  <c r="BK253" i="61" s="1"/>
  <c r="AM253" i="61"/>
  <c r="BP253" i="61" s="1"/>
  <c r="AP240" i="61"/>
  <c r="BS240" i="61" s="1"/>
  <c r="AJ240" i="61"/>
  <c r="BM240" i="61" s="1"/>
  <c r="AN240" i="61"/>
  <c r="BQ240" i="61" s="1"/>
  <c r="AH240" i="61"/>
  <c r="BK240" i="61" s="1"/>
  <c r="AI240" i="61"/>
  <c r="BL240" i="61" s="1"/>
  <c r="AM240" i="61"/>
  <c r="BP240" i="61" s="1"/>
  <c r="AL240" i="61"/>
  <c r="BO240" i="61" s="1"/>
  <c r="AQ240" i="61"/>
  <c r="BT240" i="61" s="1"/>
  <c r="AK240" i="61"/>
  <c r="BN240" i="61" s="1"/>
  <c r="AO240" i="61"/>
  <c r="BR240" i="61" s="1"/>
  <c r="AP41" i="61"/>
  <c r="BS41" i="61" s="1"/>
  <c r="AH41" i="61"/>
  <c r="BK41" i="61" s="1"/>
  <c r="AN41" i="61"/>
  <c r="BQ41" i="61" s="1"/>
  <c r="AL41" i="61"/>
  <c r="BO41" i="61" s="1"/>
  <c r="AQ41" i="61"/>
  <c r="BT41" i="61" s="1"/>
  <c r="AI41" i="61"/>
  <c r="BL41" i="61" s="1"/>
  <c r="AJ41" i="61"/>
  <c r="BM41" i="61" s="1"/>
  <c r="AO41" i="61"/>
  <c r="BR41" i="61" s="1"/>
  <c r="AK41" i="61"/>
  <c r="BN41" i="61" s="1"/>
  <c r="AM41" i="61"/>
  <c r="BP41" i="61" s="1"/>
  <c r="AJ306" i="61"/>
  <c r="BM306" i="61" s="1"/>
  <c r="AQ306" i="61"/>
  <c r="BT306" i="61" s="1"/>
  <c r="AM306" i="61"/>
  <c r="BP306" i="61" s="1"/>
  <c r="AO306" i="61"/>
  <c r="BR306" i="61" s="1"/>
  <c r="AK306" i="61"/>
  <c r="BN306" i="61" s="1"/>
  <c r="AL306" i="61"/>
  <c r="BO306" i="61" s="1"/>
  <c r="AN306" i="61"/>
  <c r="BQ306" i="61" s="1"/>
  <c r="AP306" i="61"/>
  <c r="BS306" i="61" s="1"/>
  <c r="AH306" i="61"/>
  <c r="BK306" i="61" s="1"/>
  <c r="AI306" i="61"/>
  <c r="BL306" i="61" s="1"/>
  <c r="AK181" i="61"/>
  <c r="BN181" i="61" s="1"/>
  <c r="AN181" i="61"/>
  <c r="BQ181" i="61" s="1"/>
  <c r="AM181" i="61"/>
  <c r="BP181" i="61" s="1"/>
  <c r="AO181" i="61"/>
  <c r="BR181" i="61" s="1"/>
  <c r="AQ181" i="61"/>
  <c r="BT181" i="61" s="1"/>
  <c r="AP181" i="61"/>
  <c r="BS181" i="61" s="1"/>
  <c r="AL181" i="61"/>
  <c r="BO181" i="61" s="1"/>
  <c r="AI181" i="61"/>
  <c r="BL181" i="61" s="1"/>
  <c r="AH181" i="61"/>
  <c r="BK181" i="61" s="1"/>
  <c r="AJ181" i="61"/>
  <c r="BM181" i="61" s="1"/>
  <c r="AL67" i="61"/>
  <c r="BO67" i="61" s="1"/>
  <c r="AJ67" i="61"/>
  <c r="BM67" i="61" s="1"/>
  <c r="AP67" i="61"/>
  <c r="BS67" i="61" s="1"/>
  <c r="AQ67" i="61"/>
  <c r="BT67" i="61" s="1"/>
  <c r="AM67" i="61"/>
  <c r="BP67" i="61" s="1"/>
  <c r="AN67" i="61"/>
  <c r="BQ67" i="61" s="1"/>
  <c r="AK67" i="61"/>
  <c r="BN67" i="61" s="1"/>
  <c r="AH67" i="61"/>
  <c r="BK67" i="61" s="1"/>
  <c r="AI67" i="61"/>
  <c r="BL67" i="61" s="1"/>
  <c r="AO67" i="61"/>
  <c r="BR67" i="61" s="1"/>
  <c r="AJ154" i="61"/>
  <c r="BM154" i="61" s="1"/>
  <c r="AK154" i="61"/>
  <c r="BN154" i="61" s="1"/>
  <c r="AL154" i="61"/>
  <c r="BO154" i="61" s="1"/>
  <c r="AI154" i="61"/>
  <c r="BL154" i="61" s="1"/>
  <c r="AN154" i="61"/>
  <c r="BQ154" i="61" s="1"/>
  <c r="AM154" i="61"/>
  <c r="BP154" i="61" s="1"/>
  <c r="AO154" i="61"/>
  <c r="BR154" i="61" s="1"/>
  <c r="AH154" i="61"/>
  <c r="BK154" i="61" s="1"/>
  <c r="AQ154" i="61"/>
  <c r="BT154" i="61" s="1"/>
  <c r="AP154" i="61"/>
  <c r="BS154" i="61" s="1"/>
  <c r="AQ298" i="61"/>
  <c r="BT298" i="61" s="1"/>
  <c r="AK298" i="61"/>
  <c r="BN298" i="61" s="1"/>
  <c r="AH298" i="61"/>
  <c r="BK298" i="61" s="1"/>
  <c r="AJ298" i="61"/>
  <c r="BM298" i="61" s="1"/>
  <c r="AI298" i="61"/>
  <c r="BL298" i="61" s="1"/>
  <c r="AN298" i="61"/>
  <c r="BQ298" i="61" s="1"/>
  <c r="AO298" i="61"/>
  <c r="BR298" i="61" s="1"/>
  <c r="AM298" i="61"/>
  <c r="BP298" i="61" s="1"/>
  <c r="AP298" i="61"/>
  <c r="BS298" i="61" s="1"/>
  <c r="AL298" i="61"/>
  <c r="BO298" i="61" s="1"/>
  <c r="AM277" i="61"/>
  <c r="BP277" i="61" s="1"/>
  <c r="AJ277" i="61"/>
  <c r="BM277" i="61" s="1"/>
  <c r="AL277" i="61"/>
  <c r="BO277" i="61" s="1"/>
  <c r="AN277" i="61"/>
  <c r="BQ277" i="61" s="1"/>
  <c r="AH277" i="61"/>
  <c r="BK277" i="61" s="1"/>
  <c r="AK277" i="61"/>
  <c r="BN277" i="61" s="1"/>
  <c r="AI277" i="61"/>
  <c r="BL277" i="61" s="1"/>
  <c r="AP277" i="61"/>
  <c r="BS277" i="61" s="1"/>
  <c r="AQ277" i="61"/>
  <c r="BT277" i="61" s="1"/>
  <c r="AO277" i="61"/>
  <c r="BR277" i="61" s="1"/>
  <c r="AJ71" i="61"/>
  <c r="BM71" i="61" s="1"/>
  <c r="AL71" i="61"/>
  <c r="BO71" i="61" s="1"/>
  <c r="AH71" i="61"/>
  <c r="BK71" i="61" s="1"/>
  <c r="AQ71" i="61"/>
  <c r="BT71" i="61" s="1"/>
  <c r="AO71" i="61"/>
  <c r="BR71" i="61" s="1"/>
  <c r="AK71" i="61"/>
  <c r="BN71" i="61" s="1"/>
  <c r="AN71" i="61"/>
  <c r="BQ71" i="61" s="1"/>
  <c r="AP71" i="61"/>
  <c r="BS71" i="61" s="1"/>
  <c r="AM71" i="61"/>
  <c r="BP71" i="61" s="1"/>
  <c r="AI71" i="61"/>
  <c r="BL71" i="61" s="1"/>
  <c r="AI205" i="61"/>
  <c r="BL205" i="61" s="1"/>
  <c r="AN205" i="61"/>
  <c r="BQ205" i="61" s="1"/>
  <c r="AM205" i="61"/>
  <c r="BP205" i="61" s="1"/>
  <c r="AK205" i="61"/>
  <c r="BN205" i="61" s="1"/>
  <c r="AL205" i="61"/>
  <c r="BO205" i="61" s="1"/>
  <c r="AO205" i="61"/>
  <c r="BR205" i="61" s="1"/>
  <c r="AP205" i="61"/>
  <c r="BS205" i="61" s="1"/>
  <c r="AJ205" i="61"/>
  <c r="BM205" i="61" s="1"/>
  <c r="AQ205" i="61"/>
  <c r="BT205" i="61" s="1"/>
  <c r="AH205" i="61"/>
  <c r="BK205" i="61" s="1"/>
  <c r="AK197" i="61"/>
  <c r="BN197" i="61" s="1"/>
  <c r="AQ197" i="61"/>
  <c r="BT197" i="61" s="1"/>
  <c r="AO197" i="61"/>
  <c r="BR197" i="61" s="1"/>
  <c r="AJ197" i="61"/>
  <c r="BM197" i="61" s="1"/>
  <c r="AL197" i="61"/>
  <c r="BO197" i="61" s="1"/>
  <c r="AP197" i="61"/>
  <c r="BS197" i="61" s="1"/>
  <c r="AH197" i="61"/>
  <c r="BK197" i="61" s="1"/>
  <c r="AM197" i="61"/>
  <c r="BP197" i="61" s="1"/>
  <c r="AN197" i="61"/>
  <c r="BQ197" i="61" s="1"/>
  <c r="AI197" i="61"/>
  <c r="BL197" i="61" s="1"/>
  <c r="AQ87" i="61"/>
  <c r="BT87" i="61" s="1"/>
  <c r="AM87" i="61"/>
  <c r="BP87" i="61" s="1"/>
  <c r="AO87" i="61"/>
  <c r="BR87" i="61" s="1"/>
  <c r="AH87" i="61"/>
  <c r="BK87" i="61" s="1"/>
  <c r="AN87" i="61"/>
  <c r="BQ87" i="61" s="1"/>
  <c r="AI87" i="61"/>
  <c r="BL87" i="61" s="1"/>
  <c r="AJ87" i="61"/>
  <c r="BM87" i="61" s="1"/>
  <c r="AK87" i="61"/>
  <c r="BN87" i="61" s="1"/>
  <c r="AL87" i="61"/>
  <c r="BO87" i="61" s="1"/>
  <c r="AP87" i="61"/>
  <c r="BS87" i="61" s="1"/>
  <c r="AK313" i="61"/>
  <c r="BN313" i="61" s="1"/>
  <c r="AM313" i="61"/>
  <c r="BP313" i="61" s="1"/>
  <c r="AO313" i="61"/>
  <c r="BR313" i="61" s="1"/>
  <c r="AI313" i="61"/>
  <c r="BL313" i="61" s="1"/>
  <c r="AP313" i="61"/>
  <c r="BS313" i="61" s="1"/>
  <c r="AL313" i="61"/>
  <c r="BO313" i="61" s="1"/>
  <c r="AJ313" i="61"/>
  <c r="BM313" i="61" s="1"/>
  <c r="AH313" i="61"/>
  <c r="BK313" i="61" s="1"/>
  <c r="AN313" i="61"/>
  <c r="BQ313" i="61" s="1"/>
  <c r="AQ313" i="61"/>
  <c r="BT313" i="61" s="1"/>
  <c r="AL226" i="61"/>
  <c r="BO226" i="61" s="1"/>
  <c r="AN226" i="61"/>
  <c r="BQ226" i="61" s="1"/>
  <c r="AM226" i="61"/>
  <c r="BP226" i="61" s="1"/>
  <c r="AO226" i="61"/>
  <c r="BR226" i="61" s="1"/>
  <c r="AJ226" i="61"/>
  <c r="BM226" i="61" s="1"/>
  <c r="AQ226" i="61"/>
  <c r="BT226" i="61" s="1"/>
  <c r="AI226" i="61"/>
  <c r="BL226" i="61" s="1"/>
  <c r="AH226" i="61"/>
  <c r="BK226" i="61" s="1"/>
  <c r="AK226" i="61"/>
  <c r="BN226" i="61" s="1"/>
  <c r="AP226" i="61"/>
  <c r="BS226" i="61" s="1"/>
  <c r="AN104" i="61"/>
  <c r="BQ104" i="61" s="1"/>
  <c r="AP104" i="61"/>
  <c r="BS104" i="61" s="1"/>
  <c r="AL104" i="61"/>
  <c r="BO104" i="61" s="1"/>
  <c r="AM104" i="61"/>
  <c r="BP104" i="61" s="1"/>
  <c r="AI104" i="61"/>
  <c r="BL104" i="61" s="1"/>
  <c r="AH104" i="61"/>
  <c r="BK104" i="61" s="1"/>
  <c r="AO104" i="61"/>
  <c r="BR104" i="61" s="1"/>
  <c r="AJ104" i="61"/>
  <c r="BM104" i="61" s="1"/>
  <c r="AK104" i="61"/>
  <c r="BN104" i="61" s="1"/>
  <c r="AQ104" i="61"/>
  <c r="BT104" i="61" s="1"/>
  <c r="AM326" i="61"/>
  <c r="BP326" i="61" s="1"/>
  <c r="AH326" i="61"/>
  <c r="BK326" i="61" s="1"/>
  <c r="AL326" i="61"/>
  <c r="BO326" i="61" s="1"/>
  <c r="AI326" i="61"/>
  <c r="BL326" i="61" s="1"/>
  <c r="AN326" i="61"/>
  <c r="BQ326" i="61" s="1"/>
  <c r="AO326" i="61"/>
  <c r="BR326" i="61" s="1"/>
  <c r="AJ326" i="61"/>
  <c r="BM326" i="61" s="1"/>
  <c r="AP326" i="61"/>
  <c r="BS326" i="61" s="1"/>
  <c r="AK326" i="61"/>
  <c r="BN326" i="61" s="1"/>
  <c r="AQ326" i="61"/>
  <c r="BT326" i="61" s="1"/>
  <c r="AN60" i="61"/>
  <c r="BQ60" i="61" s="1"/>
  <c r="AK60" i="61"/>
  <c r="BN60" i="61" s="1"/>
  <c r="AL60" i="61"/>
  <c r="BO60" i="61" s="1"/>
  <c r="AH60" i="61"/>
  <c r="BK60" i="61" s="1"/>
  <c r="AI60" i="61"/>
  <c r="BL60" i="61" s="1"/>
  <c r="AM60" i="61"/>
  <c r="BP60" i="61" s="1"/>
  <c r="AO60" i="61"/>
  <c r="BR60" i="61" s="1"/>
  <c r="AJ60" i="61"/>
  <c r="BM60" i="61" s="1"/>
  <c r="AQ60" i="61"/>
  <c r="BT60" i="61" s="1"/>
  <c r="AP60" i="61"/>
  <c r="BS60" i="61" s="1"/>
  <c r="AI189" i="61"/>
  <c r="BL189" i="61" s="1"/>
  <c r="AH189" i="61"/>
  <c r="BK189" i="61" s="1"/>
  <c r="AL189" i="61"/>
  <c r="BO189" i="61" s="1"/>
  <c r="AN189" i="61"/>
  <c r="BQ189" i="61" s="1"/>
  <c r="AK189" i="61"/>
  <c r="BN189" i="61" s="1"/>
  <c r="AP189" i="61"/>
  <c r="BS189" i="61" s="1"/>
  <c r="AM189" i="61"/>
  <c r="BP189" i="61" s="1"/>
  <c r="AQ189" i="61"/>
  <c r="BT189" i="61" s="1"/>
  <c r="AJ189" i="61"/>
  <c r="BM189" i="61" s="1"/>
  <c r="AO189" i="61"/>
  <c r="BR189" i="61" s="1"/>
  <c r="AJ297" i="61"/>
  <c r="BM297" i="61" s="1"/>
  <c r="AH297" i="61"/>
  <c r="BK297" i="61" s="1"/>
  <c r="AM297" i="61"/>
  <c r="BP297" i="61" s="1"/>
  <c r="AK297" i="61"/>
  <c r="BN297" i="61" s="1"/>
  <c r="AI297" i="61"/>
  <c r="BL297" i="61" s="1"/>
  <c r="AL297" i="61"/>
  <c r="BO297" i="61" s="1"/>
  <c r="AO297" i="61"/>
  <c r="BR297" i="61" s="1"/>
  <c r="AP297" i="61"/>
  <c r="BS297" i="61" s="1"/>
  <c r="AN297" i="61"/>
  <c r="BQ297" i="61" s="1"/>
  <c r="AQ297" i="61"/>
  <c r="BT297" i="61" s="1"/>
  <c r="AH319" i="61"/>
  <c r="BK319" i="61" s="1"/>
  <c r="AI319" i="61"/>
  <c r="BL319" i="61" s="1"/>
  <c r="AP319" i="61"/>
  <c r="BS319" i="61" s="1"/>
  <c r="AQ319" i="61"/>
  <c r="BT319" i="61" s="1"/>
  <c r="AM319" i="61"/>
  <c r="BP319" i="61" s="1"/>
  <c r="AN319" i="61"/>
  <c r="BQ319" i="61" s="1"/>
  <c r="AL319" i="61"/>
  <c r="BO319" i="61" s="1"/>
  <c r="AJ319" i="61"/>
  <c r="BM319" i="61" s="1"/>
  <c r="AO319" i="61"/>
  <c r="BR319" i="61" s="1"/>
  <c r="AK319" i="61"/>
  <c r="BN319" i="61" s="1"/>
  <c r="AH249" i="61"/>
  <c r="BK249" i="61" s="1"/>
  <c r="AP249" i="61"/>
  <c r="BS249" i="61" s="1"/>
  <c r="AN249" i="61"/>
  <c r="BQ249" i="61" s="1"/>
  <c r="AJ249" i="61"/>
  <c r="BM249" i="61" s="1"/>
  <c r="AM249" i="61"/>
  <c r="BP249" i="61" s="1"/>
  <c r="AK249" i="61"/>
  <c r="BN249" i="61" s="1"/>
  <c r="AO249" i="61"/>
  <c r="BR249" i="61" s="1"/>
  <c r="AL249" i="61"/>
  <c r="BO249" i="61" s="1"/>
  <c r="AQ249" i="61"/>
  <c r="BT249" i="61" s="1"/>
  <c r="AI249" i="61"/>
  <c r="BL249" i="61" s="1"/>
  <c r="AN131" i="61"/>
  <c r="BQ131" i="61" s="1"/>
  <c r="AO131" i="61"/>
  <c r="BR131" i="61" s="1"/>
  <c r="AM131" i="61"/>
  <c r="BP131" i="61" s="1"/>
  <c r="AH131" i="61"/>
  <c r="BK131" i="61" s="1"/>
  <c r="AI131" i="61"/>
  <c r="BL131" i="61" s="1"/>
  <c r="AL131" i="61"/>
  <c r="BO131" i="61" s="1"/>
  <c r="AQ131" i="61"/>
  <c r="BT131" i="61" s="1"/>
  <c r="AP131" i="61"/>
  <c r="BS131" i="61" s="1"/>
  <c r="AK131" i="61"/>
  <c r="BN131" i="61" s="1"/>
  <c r="AJ131" i="61"/>
  <c r="BM131" i="61" s="1"/>
  <c r="AH250" i="61"/>
  <c r="BK250" i="61" s="1"/>
  <c r="AM250" i="61"/>
  <c r="BP250" i="61" s="1"/>
  <c r="AN250" i="61"/>
  <c r="BQ250" i="61" s="1"/>
  <c r="AP250" i="61"/>
  <c r="BS250" i="61" s="1"/>
  <c r="AQ250" i="61"/>
  <c r="BT250" i="61" s="1"/>
  <c r="AI250" i="61"/>
  <c r="BL250" i="61" s="1"/>
  <c r="AJ250" i="61"/>
  <c r="BM250" i="61" s="1"/>
  <c r="AO250" i="61"/>
  <c r="BR250" i="61" s="1"/>
  <c r="AK250" i="61"/>
  <c r="BN250" i="61" s="1"/>
  <c r="AL250" i="61"/>
  <c r="BO250" i="61" s="1"/>
  <c r="AP263" i="61"/>
  <c r="BS263" i="61" s="1"/>
  <c r="AQ263" i="61"/>
  <c r="BT263" i="61" s="1"/>
  <c r="AO263" i="61"/>
  <c r="BR263" i="61" s="1"/>
  <c r="AN263" i="61"/>
  <c r="BQ263" i="61" s="1"/>
  <c r="AK263" i="61"/>
  <c r="BN263" i="61" s="1"/>
  <c r="AL263" i="61"/>
  <c r="BO263" i="61" s="1"/>
  <c r="AI263" i="61"/>
  <c r="BL263" i="61" s="1"/>
  <c r="AJ263" i="61"/>
  <c r="BM263" i="61" s="1"/>
  <c r="AH263" i="61"/>
  <c r="BK263" i="61" s="1"/>
  <c r="AM263" i="61"/>
  <c r="BP263" i="61" s="1"/>
  <c r="AO83" i="61"/>
  <c r="BR83" i="61" s="1"/>
  <c r="AJ83" i="61"/>
  <c r="BM83" i="61" s="1"/>
  <c r="AQ83" i="61"/>
  <c r="BT83" i="61" s="1"/>
  <c r="AI83" i="61"/>
  <c r="BL83" i="61" s="1"/>
  <c r="AM83" i="61"/>
  <c r="BP83" i="61" s="1"/>
  <c r="AL83" i="61"/>
  <c r="BO83" i="61" s="1"/>
  <c r="AK83" i="61"/>
  <c r="BN83" i="61" s="1"/>
  <c r="AN83" i="61"/>
  <c r="BQ83" i="61" s="1"/>
  <c r="AH83" i="61"/>
  <c r="BK83" i="61" s="1"/>
  <c r="AP83" i="61"/>
  <c r="BS83" i="61" s="1"/>
  <c r="AQ25" i="61"/>
  <c r="BT25" i="61" s="1"/>
  <c r="AM25" i="61"/>
  <c r="BP25" i="61" s="1"/>
  <c r="AP25" i="61"/>
  <c r="BS25" i="61" s="1"/>
  <c r="AI25" i="61"/>
  <c r="BL25" i="61" s="1"/>
  <c r="AL25" i="61"/>
  <c r="BO25" i="61" s="1"/>
  <c r="AK25" i="61"/>
  <c r="BN25" i="61" s="1"/>
  <c r="AO25" i="61"/>
  <c r="BR25" i="61" s="1"/>
  <c r="AJ25" i="61"/>
  <c r="BM25" i="61" s="1"/>
  <c r="AN25" i="61"/>
  <c r="BQ25" i="61" s="1"/>
  <c r="AH25" i="61"/>
  <c r="BK25" i="61" s="1"/>
  <c r="AK318" i="61"/>
  <c r="BN318" i="61" s="1"/>
  <c r="AP318" i="61"/>
  <c r="BS318" i="61" s="1"/>
  <c r="AQ318" i="61"/>
  <c r="BT318" i="61" s="1"/>
  <c r="AN318" i="61"/>
  <c r="BQ318" i="61" s="1"/>
  <c r="AH318" i="61"/>
  <c r="BK318" i="61" s="1"/>
  <c r="AM318" i="61"/>
  <c r="BP318" i="61" s="1"/>
  <c r="AJ318" i="61"/>
  <c r="BM318" i="61" s="1"/>
  <c r="AL318" i="61"/>
  <c r="BO318" i="61" s="1"/>
  <c r="AI318" i="61"/>
  <c r="BL318" i="61" s="1"/>
  <c r="AO318" i="61"/>
  <c r="BR318" i="61" s="1"/>
  <c r="AO44" i="61"/>
  <c r="BR44" i="61" s="1"/>
  <c r="AL44" i="61"/>
  <c r="BO44" i="61" s="1"/>
  <c r="AJ44" i="61"/>
  <c r="BM44" i="61" s="1"/>
  <c r="AM44" i="61"/>
  <c r="BP44" i="61" s="1"/>
  <c r="AK44" i="61"/>
  <c r="BN44" i="61" s="1"/>
  <c r="AQ44" i="61"/>
  <c r="BT44" i="61" s="1"/>
  <c r="AP44" i="61"/>
  <c r="BS44" i="61" s="1"/>
  <c r="AH44" i="61"/>
  <c r="BK44" i="61" s="1"/>
  <c r="AN44" i="61"/>
  <c r="BQ44" i="61" s="1"/>
  <c r="AI44" i="61"/>
  <c r="BL44" i="61" s="1"/>
  <c r="AM102" i="61"/>
  <c r="BP102" i="61" s="1"/>
  <c r="AJ102" i="61"/>
  <c r="BM102" i="61" s="1"/>
  <c r="AO102" i="61"/>
  <c r="BR102" i="61" s="1"/>
  <c r="AK102" i="61"/>
  <c r="BN102" i="61" s="1"/>
  <c r="AL102" i="61"/>
  <c r="BO102" i="61" s="1"/>
  <c r="AP102" i="61"/>
  <c r="BS102" i="61" s="1"/>
  <c r="AQ102" i="61"/>
  <c r="BT102" i="61" s="1"/>
  <c r="AN102" i="61"/>
  <c r="BQ102" i="61" s="1"/>
  <c r="AH102" i="61"/>
  <c r="BK102" i="61" s="1"/>
  <c r="AI102" i="61"/>
  <c r="BL102" i="61" s="1"/>
  <c r="AJ202" i="61"/>
  <c r="BM202" i="61" s="1"/>
  <c r="AN202" i="61"/>
  <c r="BQ202" i="61" s="1"/>
  <c r="AO202" i="61"/>
  <c r="BR202" i="61" s="1"/>
  <c r="AP202" i="61"/>
  <c r="BS202" i="61" s="1"/>
  <c r="AQ202" i="61"/>
  <c r="BT202" i="61" s="1"/>
  <c r="AH202" i="61"/>
  <c r="BK202" i="61" s="1"/>
  <c r="AM202" i="61"/>
  <c r="BP202" i="61" s="1"/>
  <c r="AL202" i="61"/>
  <c r="BO202" i="61" s="1"/>
  <c r="AI202" i="61"/>
  <c r="BL202" i="61" s="1"/>
  <c r="AK202" i="61"/>
  <c r="BN202" i="61" s="1"/>
  <c r="AQ116" i="61"/>
  <c r="BT116" i="61" s="1"/>
  <c r="AH116" i="61"/>
  <c r="BK116" i="61" s="1"/>
  <c r="AJ116" i="61"/>
  <c r="BM116" i="61" s="1"/>
  <c r="AO116" i="61"/>
  <c r="BR116" i="61" s="1"/>
  <c r="AN116" i="61"/>
  <c r="BQ116" i="61" s="1"/>
  <c r="AI116" i="61"/>
  <c r="BL116" i="61" s="1"/>
  <c r="AP116" i="61"/>
  <c r="BS116" i="61" s="1"/>
  <c r="AM116" i="61"/>
  <c r="BP116" i="61" s="1"/>
  <c r="AK116" i="61"/>
  <c r="BN116" i="61" s="1"/>
  <c r="AL116" i="61"/>
  <c r="BO116" i="61" s="1"/>
  <c r="AK38" i="61"/>
  <c r="BN38" i="61" s="1"/>
  <c r="AJ38" i="61"/>
  <c r="BM38" i="61" s="1"/>
  <c r="AO38" i="61"/>
  <c r="BR38" i="61" s="1"/>
  <c r="AM38" i="61"/>
  <c r="BP38" i="61" s="1"/>
  <c r="AQ38" i="61"/>
  <c r="BT38" i="61" s="1"/>
  <c r="AP38" i="61"/>
  <c r="BS38" i="61" s="1"/>
  <c r="AL38" i="61"/>
  <c r="BO38" i="61" s="1"/>
  <c r="AN38" i="61"/>
  <c r="BQ38" i="61" s="1"/>
  <c r="AH38" i="61"/>
  <c r="BK38" i="61" s="1"/>
  <c r="AI38" i="61"/>
  <c r="BL38" i="61" s="1"/>
  <c r="AK307" i="61"/>
  <c r="BN307" i="61" s="1"/>
  <c r="AL307" i="61"/>
  <c r="BO307" i="61" s="1"/>
  <c r="AN307" i="61"/>
  <c r="BQ307" i="61" s="1"/>
  <c r="AP307" i="61"/>
  <c r="BS307" i="61" s="1"/>
  <c r="AQ307" i="61"/>
  <c r="BT307" i="61" s="1"/>
  <c r="AO307" i="61"/>
  <c r="BR307" i="61" s="1"/>
  <c r="AH307" i="61"/>
  <c r="BK307" i="61" s="1"/>
  <c r="AM307" i="61"/>
  <c r="BP307" i="61" s="1"/>
  <c r="AI307" i="61"/>
  <c r="BL307" i="61" s="1"/>
  <c r="AJ307" i="61"/>
  <c r="BM307" i="61" s="1"/>
  <c r="AP243" i="61"/>
  <c r="BS243" i="61" s="1"/>
  <c r="AQ243" i="61"/>
  <c r="BT243" i="61" s="1"/>
  <c r="AN243" i="61"/>
  <c r="BQ243" i="61" s="1"/>
  <c r="AO243" i="61"/>
  <c r="BR243" i="61" s="1"/>
  <c r="AM243" i="61"/>
  <c r="BP243" i="61" s="1"/>
  <c r="AI243" i="61"/>
  <c r="BL243" i="61" s="1"/>
  <c r="AJ243" i="61"/>
  <c r="BM243" i="61" s="1"/>
  <c r="AH243" i="61"/>
  <c r="BK243" i="61" s="1"/>
  <c r="AK243" i="61"/>
  <c r="BN243" i="61" s="1"/>
  <c r="AL243" i="61"/>
  <c r="BO243" i="61" s="1"/>
  <c r="AH40" i="61"/>
  <c r="BK40" i="61" s="1"/>
  <c r="AI40" i="61"/>
  <c r="BL40" i="61" s="1"/>
  <c r="AP40" i="61"/>
  <c r="BS40" i="61" s="1"/>
  <c r="AM40" i="61"/>
  <c r="BP40" i="61" s="1"/>
  <c r="AN40" i="61"/>
  <c r="BQ40" i="61" s="1"/>
  <c r="AO40" i="61"/>
  <c r="BR40" i="61" s="1"/>
  <c r="AJ40" i="61"/>
  <c r="BM40" i="61" s="1"/>
  <c r="AQ40" i="61"/>
  <c r="BT40" i="61" s="1"/>
  <c r="AK40" i="61"/>
  <c r="BN40" i="61" s="1"/>
  <c r="AL40" i="61"/>
  <c r="BO40" i="61" s="1"/>
  <c r="AM287" i="61"/>
  <c r="BP287" i="61" s="1"/>
  <c r="AK287" i="61"/>
  <c r="BN287" i="61" s="1"/>
  <c r="AP287" i="61"/>
  <c r="BS287" i="61" s="1"/>
  <c r="AQ287" i="61"/>
  <c r="BT287" i="61" s="1"/>
  <c r="AL287" i="61"/>
  <c r="BO287" i="61" s="1"/>
  <c r="AO287" i="61"/>
  <c r="BR287" i="61" s="1"/>
  <c r="AI287" i="61"/>
  <c r="BL287" i="61" s="1"/>
  <c r="AJ287" i="61"/>
  <c r="BM287" i="61" s="1"/>
  <c r="AN287" i="61"/>
  <c r="BQ287" i="61" s="1"/>
  <c r="AH287" i="61"/>
  <c r="BK287" i="61" s="1"/>
  <c r="AL79" i="61"/>
  <c r="BO79" i="61" s="1"/>
  <c r="AM79" i="61"/>
  <c r="BP79" i="61" s="1"/>
  <c r="AI79" i="61"/>
  <c r="BL79" i="61" s="1"/>
  <c r="AJ79" i="61"/>
  <c r="BM79" i="61" s="1"/>
  <c r="AN79" i="61"/>
  <c r="BQ79" i="61" s="1"/>
  <c r="AH79" i="61"/>
  <c r="BK79" i="61" s="1"/>
  <c r="AO79" i="61"/>
  <c r="BR79" i="61" s="1"/>
  <c r="AQ79" i="61"/>
  <c r="BT79" i="61" s="1"/>
  <c r="AK79" i="61"/>
  <c r="BN79" i="61" s="1"/>
  <c r="AP79" i="61"/>
  <c r="BS79" i="61" s="1"/>
  <c r="AI70" i="61"/>
  <c r="BL70" i="61" s="1"/>
  <c r="AL70" i="61"/>
  <c r="BO70" i="61" s="1"/>
  <c r="AK70" i="61"/>
  <c r="BN70" i="61" s="1"/>
  <c r="AN70" i="61"/>
  <c r="BQ70" i="61" s="1"/>
  <c r="AJ70" i="61"/>
  <c r="BM70" i="61" s="1"/>
  <c r="AH70" i="61"/>
  <c r="BK70" i="61" s="1"/>
  <c r="AM70" i="61"/>
  <c r="BP70" i="61" s="1"/>
  <c r="AQ70" i="61"/>
  <c r="BT70" i="61" s="1"/>
  <c r="AO70" i="61"/>
  <c r="BR70" i="61" s="1"/>
  <c r="AP70" i="61"/>
  <c r="BS70" i="61" s="1"/>
  <c r="AN185" i="61"/>
  <c r="BQ185" i="61" s="1"/>
  <c r="AH185" i="61"/>
  <c r="BK185" i="61" s="1"/>
  <c r="AI185" i="61"/>
  <c r="BL185" i="61" s="1"/>
  <c r="AO185" i="61"/>
  <c r="BR185" i="61" s="1"/>
  <c r="AJ185" i="61"/>
  <c r="BM185" i="61" s="1"/>
  <c r="AL185" i="61"/>
  <c r="BO185" i="61" s="1"/>
  <c r="AQ185" i="61"/>
  <c r="BT185" i="61" s="1"/>
  <c r="AM185" i="61"/>
  <c r="BP185" i="61" s="1"/>
  <c r="AK185" i="61"/>
  <c r="BN185" i="61" s="1"/>
  <c r="AP185" i="61"/>
  <c r="BS185" i="61" s="1"/>
  <c r="AQ182" i="61"/>
  <c r="BT182" i="61" s="1"/>
  <c r="AP182" i="61"/>
  <c r="BS182" i="61" s="1"/>
  <c r="AL182" i="61"/>
  <c r="BO182" i="61" s="1"/>
  <c r="AJ182" i="61"/>
  <c r="BM182" i="61" s="1"/>
  <c r="AN182" i="61"/>
  <c r="BQ182" i="61" s="1"/>
  <c r="AM182" i="61"/>
  <c r="BP182" i="61" s="1"/>
  <c r="AO182" i="61"/>
  <c r="BR182" i="61" s="1"/>
  <c r="AH182" i="61"/>
  <c r="BK182" i="61" s="1"/>
  <c r="AK182" i="61"/>
  <c r="BN182" i="61" s="1"/>
  <c r="AI182" i="61"/>
  <c r="BL182" i="61" s="1"/>
  <c r="AN188" i="61"/>
  <c r="BQ188" i="61" s="1"/>
  <c r="AM188" i="61"/>
  <c r="BP188" i="61" s="1"/>
  <c r="AK188" i="61"/>
  <c r="BN188" i="61" s="1"/>
  <c r="AJ188" i="61"/>
  <c r="BM188" i="61" s="1"/>
  <c r="AP188" i="61"/>
  <c r="BS188" i="61" s="1"/>
  <c r="AQ188" i="61"/>
  <c r="BT188" i="61" s="1"/>
  <c r="AO188" i="61"/>
  <c r="BR188" i="61" s="1"/>
  <c r="AH188" i="61"/>
  <c r="BK188" i="61" s="1"/>
  <c r="AI188" i="61"/>
  <c r="BL188" i="61" s="1"/>
  <c r="AL188" i="61"/>
  <c r="BO188" i="61" s="1"/>
  <c r="AO152" i="61"/>
  <c r="BR152" i="61" s="1"/>
  <c r="AJ152" i="61"/>
  <c r="BM152" i="61" s="1"/>
  <c r="AN152" i="61"/>
  <c r="BQ152" i="61" s="1"/>
  <c r="AH152" i="61"/>
  <c r="BK152" i="61" s="1"/>
  <c r="AP152" i="61"/>
  <c r="BS152" i="61" s="1"/>
  <c r="AM152" i="61"/>
  <c r="BP152" i="61" s="1"/>
  <c r="AI152" i="61"/>
  <c r="BL152" i="61" s="1"/>
  <c r="AQ152" i="61"/>
  <c r="BT152" i="61" s="1"/>
  <c r="AK152" i="61"/>
  <c r="BN152" i="61" s="1"/>
  <c r="AL152" i="61"/>
  <c r="BO152" i="61" s="1"/>
  <c r="AN228" i="61"/>
  <c r="BQ228" i="61" s="1"/>
  <c r="AM228" i="61"/>
  <c r="BP228" i="61" s="1"/>
  <c r="AJ228" i="61"/>
  <c r="BM228" i="61" s="1"/>
  <c r="AO228" i="61"/>
  <c r="BR228" i="61" s="1"/>
  <c r="AI228" i="61"/>
  <c r="BL228" i="61" s="1"/>
  <c r="AH228" i="61"/>
  <c r="BK228" i="61" s="1"/>
  <c r="AQ228" i="61"/>
  <c r="BT228" i="61" s="1"/>
  <c r="AL228" i="61"/>
  <c r="BO228" i="61" s="1"/>
  <c r="AK228" i="61"/>
  <c r="BN228" i="61" s="1"/>
  <c r="AP228" i="61"/>
  <c r="BS228" i="61" s="1"/>
  <c r="AO146" i="61"/>
  <c r="BR146" i="61" s="1"/>
  <c r="AJ146" i="61"/>
  <c r="BM146" i="61" s="1"/>
  <c r="AP146" i="61"/>
  <c r="BS146" i="61" s="1"/>
  <c r="AI146" i="61"/>
  <c r="BL146" i="61" s="1"/>
  <c r="AH146" i="61"/>
  <c r="BK146" i="61" s="1"/>
  <c r="AQ146" i="61"/>
  <c r="BT146" i="61" s="1"/>
  <c r="AN146" i="61"/>
  <c r="BQ146" i="61" s="1"/>
  <c r="AK146" i="61"/>
  <c r="BN146" i="61" s="1"/>
  <c r="AM146" i="61"/>
  <c r="BP146" i="61" s="1"/>
  <c r="AL146" i="61"/>
  <c r="BO146" i="61" s="1"/>
  <c r="AK72" i="61"/>
  <c r="BN72" i="61" s="1"/>
  <c r="AO72" i="61"/>
  <c r="BR72" i="61" s="1"/>
  <c r="AL72" i="61"/>
  <c r="BO72" i="61" s="1"/>
  <c r="AM72" i="61"/>
  <c r="BP72" i="61" s="1"/>
  <c r="AP72" i="61"/>
  <c r="BS72" i="61" s="1"/>
  <c r="AI72" i="61"/>
  <c r="BL72" i="61" s="1"/>
  <c r="AJ72" i="61"/>
  <c r="BM72" i="61" s="1"/>
  <c r="AH72" i="61"/>
  <c r="BK72" i="61" s="1"/>
  <c r="AQ72" i="61"/>
  <c r="BT72" i="61" s="1"/>
  <c r="AN72" i="61"/>
  <c r="BQ72" i="61" s="1"/>
  <c r="AN134" i="61"/>
  <c r="BQ134" i="61" s="1"/>
  <c r="AP134" i="61"/>
  <c r="BS134" i="61" s="1"/>
  <c r="AJ134" i="61"/>
  <c r="BM134" i="61" s="1"/>
  <c r="AO134" i="61"/>
  <c r="BR134" i="61" s="1"/>
  <c r="AM134" i="61"/>
  <c r="BP134" i="61" s="1"/>
  <c r="AQ134" i="61"/>
  <c r="BT134" i="61" s="1"/>
  <c r="AL134" i="61"/>
  <c r="BO134" i="61" s="1"/>
  <c r="AI134" i="61"/>
  <c r="BL134" i="61" s="1"/>
  <c r="AH134" i="61"/>
  <c r="BK134" i="61" s="1"/>
  <c r="AK134" i="61"/>
  <c r="BN134" i="61" s="1"/>
  <c r="AH129" i="61"/>
  <c r="BK129" i="61" s="1"/>
  <c r="AQ129" i="61"/>
  <c r="BT129" i="61" s="1"/>
  <c r="AN129" i="61"/>
  <c r="BQ129" i="61" s="1"/>
  <c r="AK129" i="61"/>
  <c r="BN129" i="61" s="1"/>
  <c r="AI129" i="61"/>
  <c r="BL129" i="61" s="1"/>
  <c r="AO129" i="61"/>
  <c r="BR129" i="61" s="1"/>
  <c r="AP129" i="61"/>
  <c r="BS129" i="61" s="1"/>
  <c r="AM129" i="61"/>
  <c r="BP129" i="61" s="1"/>
  <c r="AJ129" i="61"/>
  <c r="BM129" i="61" s="1"/>
  <c r="AL129" i="61"/>
  <c r="BO129" i="61" s="1"/>
  <c r="AM17" i="61"/>
  <c r="BP17" i="61" s="1"/>
  <c r="AL17" i="61"/>
  <c r="BO17" i="61" s="1"/>
  <c r="AK17" i="61"/>
  <c r="BN17" i="61" s="1"/>
  <c r="AO17" i="61"/>
  <c r="BR17" i="61" s="1"/>
  <c r="AN17" i="61"/>
  <c r="BQ17" i="61" s="1"/>
  <c r="AQ17" i="61"/>
  <c r="BT17" i="61" s="1"/>
  <c r="AI17" i="61"/>
  <c r="BL17" i="61" s="1"/>
  <c r="AH17" i="61"/>
  <c r="BK17" i="61" s="1"/>
  <c r="AJ17" i="61"/>
  <c r="BM17" i="61" s="1"/>
  <c r="AP17" i="61"/>
  <c r="BS17" i="61" s="1"/>
  <c r="AP55" i="61"/>
  <c r="BS55" i="61" s="1"/>
  <c r="AK55" i="61"/>
  <c r="BN55" i="61" s="1"/>
  <c r="AO55" i="61"/>
  <c r="BR55" i="61" s="1"/>
  <c r="AL55" i="61"/>
  <c r="BO55" i="61" s="1"/>
  <c r="AQ55" i="61"/>
  <c r="BT55" i="61" s="1"/>
  <c r="AH55" i="61"/>
  <c r="BK55" i="61" s="1"/>
  <c r="AM55" i="61"/>
  <c r="BP55" i="61" s="1"/>
  <c r="AI55" i="61"/>
  <c r="BL55" i="61" s="1"/>
  <c r="AJ55" i="61"/>
  <c r="BM55" i="61" s="1"/>
  <c r="AN55" i="61"/>
  <c r="BQ55" i="61" s="1"/>
  <c r="AO16" i="61"/>
  <c r="BR16" i="61" s="1"/>
  <c r="AH16" i="61"/>
  <c r="BK16" i="61" s="1"/>
  <c r="AQ16" i="61"/>
  <c r="BT16" i="61" s="1"/>
  <c r="AP16" i="61"/>
  <c r="BS16" i="61" s="1"/>
  <c r="AN16" i="61"/>
  <c r="BQ16" i="61" s="1"/>
  <c r="AI16" i="61"/>
  <c r="BL16" i="61" s="1"/>
  <c r="AK16" i="61"/>
  <c r="BN16" i="61" s="1"/>
  <c r="AL16" i="61"/>
  <c r="BO16" i="61" s="1"/>
  <c r="AJ16" i="61"/>
  <c r="BM16" i="61" s="1"/>
  <c r="AM16" i="61"/>
  <c r="BP16" i="61" s="1"/>
  <c r="AO45" i="61"/>
  <c r="BR45" i="61" s="1"/>
  <c r="AQ45" i="61"/>
  <c r="BT45" i="61" s="1"/>
  <c r="AK45" i="61"/>
  <c r="BN45" i="61" s="1"/>
  <c r="AI45" i="61"/>
  <c r="BL45" i="61" s="1"/>
  <c r="AP45" i="61"/>
  <c r="BS45" i="61" s="1"/>
  <c r="AH45" i="61"/>
  <c r="BK45" i="61" s="1"/>
  <c r="AM45" i="61"/>
  <c r="BP45" i="61" s="1"/>
  <c r="AN45" i="61"/>
  <c r="BQ45" i="61" s="1"/>
  <c r="AJ45" i="61"/>
  <c r="BM45" i="61" s="1"/>
  <c r="AL45" i="61"/>
  <c r="BO45" i="61" s="1"/>
  <c r="AP325" i="61"/>
  <c r="BS325" i="61" s="1"/>
  <c r="AI325" i="61"/>
  <c r="BL325" i="61" s="1"/>
  <c r="AO325" i="61"/>
  <c r="BR325" i="61" s="1"/>
  <c r="AJ325" i="61"/>
  <c r="BM325" i="61" s="1"/>
  <c r="AL325" i="61"/>
  <c r="BO325" i="61" s="1"/>
  <c r="AM325" i="61"/>
  <c r="BP325" i="61" s="1"/>
  <c r="AQ325" i="61"/>
  <c r="BT325" i="61" s="1"/>
  <c r="AN325" i="61"/>
  <c r="BQ325" i="61" s="1"/>
  <c r="AK325" i="61"/>
  <c r="BN325" i="61" s="1"/>
  <c r="AH325" i="61"/>
  <c r="BK325" i="61" s="1"/>
  <c r="AK58" i="61"/>
  <c r="BN58" i="61" s="1"/>
  <c r="AI58" i="61"/>
  <c r="BL58" i="61" s="1"/>
  <c r="AO58" i="61"/>
  <c r="BR58" i="61" s="1"/>
  <c r="AP58" i="61"/>
  <c r="BS58" i="61" s="1"/>
  <c r="AJ58" i="61"/>
  <c r="BM58" i="61" s="1"/>
  <c r="AN58" i="61"/>
  <c r="BQ58" i="61" s="1"/>
  <c r="AQ58" i="61"/>
  <c r="BT58" i="61" s="1"/>
  <c r="AL58" i="61"/>
  <c r="BO58" i="61" s="1"/>
  <c r="AM58" i="61"/>
  <c r="BP58" i="61" s="1"/>
  <c r="AH58" i="61"/>
  <c r="BK58" i="61" s="1"/>
  <c r="AQ292" i="61"/>
  <c r="BT292" i="61" s="1"/>
  <c r="AN292" i="61"/>
  <c r="BQ292" i="61" s="1"/>
  <c r="AK292" i="61"/>
  <c r="BN292" i="61" s="1"/>
  <c r="AO292" i="61"/>
  <c r="BR292" i="61" s="1"/>
  <c r="AP292" i="61"/>
  <c r="BS292" i="61" s="1"/>
  <c r="AI292" i="61"/>
  <c r="BL292" i="61" s="1"/>
  <c r="AJ292" i="61"/>
  <c r="BM292" i="61" s="1"/>
  <c r="AL292" i="61"/>
  <c r="BO292" i="61" s="1"/>
  <c r="AM292" i="61"/>
  <c r="BP292" i="61" s="1"/>
  <c r="AH292" i="61"/>
  <c r="BK292" i="61" s="1"/>
  <c r="AK296" i="61"/>
  <c r="BN296" i="61" s="1"/>
  <c r="AM296" i="61"/>
  <c r="BP296" i="61" s="1"/>
  <c r="AL296" i="61"/>
  <c r="BO296" i="61" s="1"/>
  <c r="AN296" i="61"/>
  <c r="BQ296" i="61" s="1"/>
  <c r="AQ296" i="61"/>
  <c r="BT296" i="61" s="1"/>
  <c r="AJ296" i="61"/>
  <c r="BM296" i="61" s="1"/>
  <c r="AP296" i="61"/>
  <c r="BS296" i="61" s="1"/>
  <c r="AI296" i="61"/>
  <c r="BL296" i="61" s="1"/>
  <c r="AH296" i="61"/>
  <c r="BK296" i="61" s="1"/>
  <c r="AO296" i="61"/>
  <c r="BR296" i="61" s="1"/>
  <c r="AH322" i="61"/>
  <c r="BK322" i="61" s="1"/>
  <c r="AN322" i="61"/>
  <c r="BQ322" i="61" s="1"/>
  <c r="AK322" i="61"/>
  <c r="BN322" i="61" s="1"/>
  <c r="AI322" i="61"/>
  <c r="BL322" i="61" s="1"/>
  <c r="AM322" i="61"/>
  <c r="BP322" i="61" s="1"/>
  <c r="AQ322" i="61"/>
  <c r="BT322" i="61" s="1"/>
  <c r="AO322" i="61"/>
  <c r="BR322" i="61" s="1"/>
  <c r="AP322" i="61"/>
  <c r="BS322" i="61" s="1"/>
  <c r="AL322" i="61"/>
  <c r="BO322" i="61" s="1"/>
  <c r="AJ322" i="61"/>
  <c r="BM322" i="61" s="1"/>
  <c r="AK321" i="61"/>
  <c r="BN321" i="61" s="1"/>
  <c r="AN321" i="61"/>
  <c r="BQ321" i="61" s="1"/>
  <c r="AO321" i="61"/>
  <c r="BR321" i="61" s="1"/>
  <c r="AL321" i="61"/>
  <c r="BO321" i="61" s="1"/>
  <c r="AM321" i="61"/>
  <c r="BP321" i="61" s="1"/>
  <c r="AJ321" i="61"/>
  <c r="BM321" i="61" s="1"/>
  <c r="AQ321" i="61"/>
  <c r="BT321" i="61" s="1"/>
  <c r="AH321" i="61"/>
  <c r="BK321" i="61" s="1"/>
  <c r="AP321" i="61"/>
  <c r="BS321" i="61" s="1"/>
  <c r="AI321" i="61"/>
  <c r="BL321" i="61" s="1"/>
  <c r="AP12" i="61"/>
  <c r="BS12" i="61" s="1"/>
  <c r="AQ12" i="61"/>
  <c r="BT12" i="61" s="1"/>
  <c r="AJ12" i="61"/>
  <c r="BM12" i="61" s="1"/>
  <c r="AL12" i="61"/>
  <c r="BO12" i="61" s="1"/>
  <c r="AH12" i="61"/>
  <c r="BK12" i="61" s="1"/>
  <c r="AN12" i="61"/>
  <c r="BQ12" i="61" s="1"/>
  <c r="AK12" i="61"/>
  <c r="BN12" i="61" s="1"/>
  <c r="AM12" i="61"/>
  <c r="BP12" i="61" s="1"/>
  <c r="AI12" i="61"/>
  <c r="BL12" i="61" s="1"/>
  <c r="AO12" i="61"/>
  <c r="BR12" i="61" s="1"/>
  <c r="AP283" i="61"/>
  <c r="BS283" i="61" s="1"/>
  <c r="AM283" i="61"/>
  <c r="BP283" i="61" s="1"/>
  <c r="AQ283" i="61"/>
  <c r="BT283" i="61" s="1"/>
  <c r="AK283" i="61"/>
  <c r="BN283" i="61" s="1"/>
  <c r="AI283" i="61"/>
  <c r="BL283" i="61" s="1"/>
  <c r="AJ283" i="61"/>
  <c r="BM283" i="61" s="1"/>
  <c r="AL283" i="61"/>
  <c r="BO283" i="61" s="1"/>
  <c r="AN283" i="61"/>
  <c r="BQ283" i="61" s="1"/>
  <c r="AO283" i="61"/>
  <c r="BR283" i="61" s="1"/>
  <c r="AH283" i="61"/>
  <c r="BK283" i="61" s="1"/>
  <c r="AP260" i="61"/>
  <c r="BS260" i="61" s="1"/>
  <c r="AH260" i="61"/>
  <c r="BK260" i="61" s="1"/>
  <c r="AO260" i="61"/>
  <c r="BR260" i="61" s="1"/>
  <c r="AL260" i="61"/>
  <c r="BO260" i="61" s="1"/>
  <c r="AN260" i="61"/>
  <c r="BQ260" i="61" s="1"/>
  <c r="AK260" i="61"/>
  <c r="BN260" i="61" s="1"/>
  <c r="AQ260" i="61"/>
  <c r="BT260" i="61" s="1"/>
  <c r="AI260" i="61"/>
  <c r="BL260" i="61" s="1"/>
  <c r="AM260" i="61"/>
  <c r="BP260" i="61" s="1"/>
  <c r="AJ260" i="61"/>
  <c r="BM260" i="61" s="1"/>
  <c r="AJ81" i="61"/>
  <c r="BM81" i="61" s="1"/>
  <c r="AQ81" i="61"/>
  <c r="BT81" i="61" s="1"/>
  <c r="AH81" i="61"/>
  <c r="BK81" i="61" s="1"/>
  <c r="AN81" i="61"/>
  <c r="BQ81" i="61" s="1"/>
  <c r="AI81" i="61"/>
  <c r="BL81" i="61" s="1"/>
  <c r="AL81" i="61"/>
  <c r="BO81" i="61" s="1"/>
  <c r="AM81" i="61"/>
  <c r="BP81" i="61" s="1"/>
  <c r="AP81" i="61"/>
  <c r="BS81" i="61" s="1"/>
  <c r="AK81" i="61"/>
  <c r="BN81" i="61" s="1"/>
  <c r="AO81" i="61"/>
  <c r="BR81" i="61" s="1"/>
  <c r="AJ62" i="61"/>
  <c r="BM62" i="61" s="1"/>
  <c r="AH62" i="61"/>
  <c r="BK62" i="61" s="1"/>
  <c r="AK62" i="61"/>
  <c r="BN62" i="61" s="1"/>
  <c r="AI62" i="61"/>
  <c r="BL62" i="61" s="1"/>
  <c r="AL62" i="61"/>
  <c r="BO62" i="61" s="1"/>
  <c r="AN62" i="61"/>
  <c r="BQ62" i="61" s="1"/>
  <c r="AP62" i="61"/>
  <c r="BS62" i="61" s="1"/>
  <c r="AM62" i="61"/>
  <c r="BP62" i="61" s="1"/>
  <c r="AQ62" i="61"/>
  <c r="BT62" i="61" s="1"/>
  <c r="AO62" i="61"/>
  <c r="BR62" i="61" s="1"/>
  <c r="AJ317" i="61"/>
  <c r="BM317" i="61" s="1"/>
  <c r="AI317" i="61"/>
  <c r="BL317" i="61" s="1"/>
  <c r="AQ317" i="61"/>
  <c r="BT317" i="61" s="1"/>
  <c r="AM317" i="61"/>
  <c r="BP317" i="61" s="1"/>
  <c r="AL317" i="61"/>
  <c r="BO317" i="61" s="1"/>
  <c r="AH317" i="61"/>
  <c r="BK317" i="61" s="1"/>
  <c r="AP317" i="61"/>
  <c r="BS317" i="61" s="1"/>
  <c r="AO317" i="61"/>
  <c r="BR317" i="61" s="1"/>
  <c r="AK317" i="61"/>
  <c r="BN317" i="61" s="1"/>
  <c r="AN317" i="61"/>
  <c r="BQ317" i="61" s="1"/>
  <c r="AL212" i="61"/>
  <c r="BO212" i="61" s="1"/>
  <c r="AK212" i="61"/>
  <c r="BN212" i="61" s="1"/>
  <c r="AM212" i="61"/>
  <c r="BP212" i="61" s="1"/>
  <c r="AJ212" i="61"/>
  <c r="BM212" i="61" s="1"/>
  <c r="AI212" i="61"/>
  <c r="BL212" i="61" s="1"/>
  <c r="AP212" i="61"/>
  <c r="BS212" i="61" s="1"/>
  <c r="AH212" i="61"/>
  <c r="BK212" i="61" s="1"/>
  <c r="AN212" i="61"/>
  <c r="BQ212" i="61" s="1"/>
  <c r="AO212" i="61"/>
  <c r="BR212" i="61" s="1"/>
  <c r="AQ212" i="61"/>
  <c r="BT212" i="61" s="1"/>
  <c r="AN14" i="61"/>
  <c r="BQ14" i="61" s="1"/>
  <c r="AQ14" i="61"/>
  <c r="BT14" i="61" s="1"/>
  <c r="AL14" i="61"/>
  <c r="BO14" i="61" s="1"/>
  <c r="AM14" i="61"/>
  <c r="BP14" i="61" s="1"/>
  <c r="AK14" i="61"/>
  <c r="BN14" i="61" s="1"/>
  <c r="AH14" i="61"/>
  <c r="BK14" i="61" s="1"/>
  <c r="AJ14" i="61"/>
  <c r="BM14" i="61" s="1"/>
  <c r="AO14" i="61"/>
  <c r="BR14" i="61" s="1"/>
  <c r="AP14" i="61"/>
  <c r="BS14" i="61" s="1"/>
  <c r="AI14" i="61"/>
  <c r="BL14" i="61" s="1"/>
  <c r="AJ195" i="61"/>
  <c r="BM195" i="61" s="1"/>
  <c r="AK195" i="61"/>
  <c r="BN195" i="61" s="1"/>
  <c r="AM195" i="61"/>
  <c r="BP195" i="61" s="1"/>
  <c r="AI195" i="61"/>
  <c r="BL195" i="61" s="1"/>
  <c r="AN195" i="61"/>
  <c r="BQ195" i="61" s="1"/>
  <c r="AL195" i="61"/>
  <c r="BO195" i="61" s="1"/>
  <c r="AQ195" i="61"/>
  <c r="BT195" i="61" s="1"/>
  <c r="AO195" i="61"/>
  <c r="BR195" i="61" s="1"/>
  <c r="AH195" i="61"/>
  <c r="BK195" i="61" s="1"/>
  <c r="AP195" i="61"/>
  <c r="BS195" i="61" s="1"/>
  <c r="AJ145" i="61"/>
  <c r="BM145" i="61" s="1"/>
  <c r="AH145" i="61"/>
  <c r="BK145" i="61" s="1"/>
  <c r="AL145" i="61"/>
  <c r="BO145" i="61" s="1"/>
  <c r="AI145" i="61"/>
  <c r="BL145" i="61" s="1"/>
  <c r="AK145" i="61"/>
  <c r="BN145" i="61" s="1"/>
  <c r="AQ145" i="61"/>
  <c r="BT145" i="61" s="1"/>
  <c r="AN145" i="61"/>
  <c r="BQ145" i="61" s="1"/>
  <c r="AM145" i="61"/>
  <c r="BP145" i="61" s="1"/>
  <c r="AO145" i="61"/>
  <c r="BR145" i="61" s="1"/>
  <c r="AP145" i="61"/>
  <c r="BS145" i="61" s="1"/>
  <c r="AP331" i="61"/>
  <c r="BS331" i="61" s="1"/>
  <c r="AJ331" i="61"/>
  <c r="BM331" i="61" s="1"/>
  <c r="AI331" i="61"/>
  <c r="BL331" i="61" s="1"/>
  <c r="AQ331" i="61"/>
  <c r="BT331" i="61" s="1"/>
  <c r="AK331" i="61"/>
  <c r="BN331" i="61" s="1"/>
  <c r="AN331" i="61"/>
  <c r="BQ331" i="61" s="1"/>
  <c r="AL331" i="61"/>
  <c r="BO331" i="61" s="1"/>
  <c r="AM331" i="61"/>
  <c r="BP331" i="61" s="1"/>
  <c r="AO331" i="61"/>
  <c r="BR331" i="61" s="1"/>
  <c r="AH331" i="61"/>
  <c r="BK331" i="61" s="1"/>
  <c r="AO92" i="61"/>
  <c r="BR92" i="61" s="1"/>
  <c r="AL92" i="61"/>
  <c r="BO92" i="61" s="1"/>
  <c r="AK92" i="61"/>
  <c r="BN92" i="61" s="1"/>
  <c r="AM92" i="61"/>
  <c r="BP92" i="61" s="1"/>
  <c r="AQ92" i="61"/>
  <c r="BT92" i="61" s="1"/>
  <c r="AN92" i="61"/>
  <c r="BQ92" i="61" s="1"/>
  <c r="AP92" i="61"/>
  <c r="BS92" i="61" s="1"/>
  <c r="AJ92" i="61"/>
  <c r="BM92" i="61" s="1"/>
  <c r="AH92" i="61"/>
  <c r="BK92" i="61" s="1"/>
  <c r="AI92" i="61"/>
  <c r="BL92" i="61" s="1"/>
  <c r="AH304" i="61"/>
  <c r="BK304" i="61" s="1"/>
  <c r="AJ304" i="61"/>
  <c r="BM304" i="61" s="1"/>
  <c r="AM304" i="61"/>
  <c r="BP304" i="61" s="1"/>
  <c r="AQ304" i="61"/>
  <c r="BT304" i="61" s="1"/>
  <c r="AN304" i="61"/>
  <c r="BQ304" i="61" s="1"/>
  <c r="AO304" i="61"/>
  <c r="BR304" i="61" s="1"/>
  <c r="AL304" i="61"/>
  <c r="BO304" i="61" s="1"/>
  <c r="AP304" i="61"/>
  <c r="BS304" i="61" s="1"/>
  <c r="AK304" i="61"/>
  <c r="BN304" i="61" s="1"/>
  <c r="AI304" i="61"/>
  <c r="BL304" i="61" s="1"/>
  <c r="AL245" i="61"/>
  <c r="BO245" i="61" s="1"/>
  <c r="AO245" i="61"/>
  <c r="BR245" i="61" s="1"/>
  <c r="AN245" i="61"/>
  <c r="BQ245" i="61" s="1"/>
  <c r="AH245" i="61"/>
  <c r="BK245" i="61" s="1"/>
  <c r="AP245" i="61"/>
  <c r="BS245" i="61" s="1"/>
  <c r="AI245" i="61"/>
  <c r="BL245" i="61" s="1"/>
  <c r="AM245" i="61"/>
  <c r="BP245" i="61" s="1"/>
  <c r="AJ245" i="61"/>
  <c r="BM245" i="61" s="1"/>
  <c r="AQ245" i="61"/>
  <c r="BT245" i="61" s="1"/>
  <c r="AK245" i="61"/>
  <c r="BN245" i="61" s="1"/>
  <c r="AQ210" i="61"/>
  <c r="BT210" i="61" s="1"/>
  <c r="AO210" i="61"/>
  <c r="BR210" i="61" s="1"/>
  <c r="AP210" i="61"/>
  <c r="BS210" i="61" s="1"/>
  <c r="AN210" i="61"/>
  <c r="BQ210" i="61" s="1"/>
  <c r="AH210" i="61"/>
  <c r="BK210" i="61" s="1"/>
  <c r="AM210" i="61"/>
  <c r="BP210" i="61" s="1"/>
  <c r="AL210" i="61"/>
  <c r="BO210" i="61" s="1"/>
  <c r="AK210" i="61"/>
  <c r="BN210" i="61" s="1"/>
  <c r="AI210" i="61"/>
  <c r="BL210" i="61" s="1"/>
  <c r="AJ210" i="61"/>
  <c r="BM210" i="61" s="1"/>
  <c r="AH248" i="61"/>
  <c r="BK248" i="61" s="1"/>
  <c r="AN248" i="61"/>
  <c r="BQ248" i="61" s="1"/>
  <c r="AO248" i="61"/>
  <c r="BR248" i="61" s="1"/>
  <c r="AK248" i="61"/>
  <c r="BN248" i="61" s="1"/>
  <c r="AQ248" i="61"/>
  <c r="BT248" i="61" s="1"/>
  <c r="AM248" i="61"/>
  <c r="BP248" i="61" s="1"/>
  <c r="AJ248" i="61"/>
  <c r="BM248" i="61" s="1"/>
  <c r="AP248" i="61"/>
  <c r="BS248" i="61" s="1"/>
  <c r="AI248" i="61"/>
  <c r="BL248" i="61" s="1"/>
  <c r="AL248" i="61"/>
  <c r="BO248" i="61" s="1"/>
  <c r="AQ274" i="61"/>
  <c r="BT274" i="61" s="1"/>
  <c r="AO274" i="61"/>
  <c r="BR274" i="61" s="1"/>
  <c r="AP274" i="61"/>
  <c r="BS274" i="61" s="1"/>
  <c r="AM274" i="61"/>
  <c r="BP274" i="61" s="1"/>
  <c r="AN274" i="61"/>
  <c r="BQ274" i="61" s="1"/>
  <c r="AH274" i="61"/>
  <c r="BK274" i="61" s="1"/>
  <c r="AI274" i="61"/>
  <c r="BL274" i="61" s="1"/>
  <c r="AJ274" i="61"/>
  <c r="BM274" i="61" s="1"/>
  <c r="AK274" i="61"/>
  <c r="BN274" i="61" s="1"/>
  <c r="AL274" i="61"/>
  <c r="BO274" i="61" s="1"/>
  <c r="AL233" i="61"/>
  <c r="BO233" i="61" s="1"/>
  <c r="AP233" i="61"/>
  <c r="BS233" i="61" s="1"/>
  <c r="AH233" i="61"/>
  <c r="BK233" i="61" s="1"/>
  <c r="AQ233" i="61"/>
  <c r="BT233" i="61" s="1"/>
  <c r="AI233" i="61"/>
  <c r="BL233" i="61" s="1"/>
  <c r="AO233" i="61"/>
  <c r="BR233" i="61" s="1"/>
  <c r="AN233" i="61"/>
  <c r="BQ233" i="61" s="1"/>
  <c r="AM233" i="61"/>
  <c r="BP233" i="61" s="1"/>
  <c r="AJ233" i="61"/>
  <c r="BM233" i="61" s="1"/>
  <c r="AK233" i="61"/>
  <c r="BN233" i="61" s="1"/>
  <c r="AI53" i="61"/>
  <c r="BL53" i="61" s="1"/>
  <c r="AQ53" i="61"/>
  <c r="BT53" i="61" s="1"/>
  <c r="AO53" i="61"/>
  <c r="BR53" i="61" s="1"/>
  <c r="AJ53" i="61"/>
  <c r="BM53" i="61" s="1"/>
  <c r="AN53" i="61"/>
  <c r="BQ53" i="61" s="1"/>
  <c r="AP53" i="61"/>
  <c r="BS53" i="61" s="1"/>
  <c r="AL53" i="61"/>
  <c r="BO53" i="61" s="1"/>
  <c r="AH53" i="61"/>
  <c r="BK53" i="61" s="1"/>
  <c r="AK53" i="61"/>
  <c r="BN53" i="61" s="1"/>
  <c r="AM53" i="61"/>
  <c r="BP53" i="61" s="1"/>
  <c r="AI139" i="61"/>
  <c r="BL139" i="61" s="1"/>
  <c r="AH139" i="61"/>
  <c r="BK139" i="61" s="1"/>
  <c r="AM139" i="61"/>
  <c r="BP139" i="61" s="1"/>
  <c r="AK139" i="61"/>
  <c r="BN139" i="61" s="1"/>
  <c r="AP139" i="61"/>
  <c r="BS139" i="61" s="1"/>
  <c r="AL139" i="61"/>
  <c r="BO139" i="61" s="1"/>
  <c r="AJ139" i="61"/>
  <c r="BM139" i="61" s="1"/>
  <c r="AO139" i="61"/>
  <c r="BR139" i="61" s="1"/>
  <c r="AN139" i="61"/>
  <c r="BQ139" i="61" s="1"/>
  <c r="AQ139" i="61"/>
  <c r="BT139" i="61" s="1"/>
  <c r="AH143" i="61"/>
  <c r="BK143" i="61" s="1"/>
  <c r="AO143" i="61"/>
  <c r="BR143" i="61" s="1"/>
  <c r="AK143" i="61"/>
  <c r="BN143" i="61" s="1"/>
  <c r="AN143" i="61"/>
  <c r="BQ143" i="61" s="1"/>
  <c r="AM143" i="61"/>
  <c r="BP143" i="61" s="1"/>
  <c r="AJ143" i="61"/>
  <c r="BM143" i="61" s="1"/>
  <c r="AL143" i="61"/>
  <c r="BO143" i="61" s="1"/>
  <c r="AQ143" i="61"/>
  <c r="BT143" i="61" s="1"/>
  <c r="AP143" i="61"/>
  <c r="BS143" i="61" s="1"/>
  <c r="AI143" i="61"/>
  <c r="BL143" i="61" s="1"/>
  <c r="AQ128" i="61"/>
  <c r="BT128" i="61" s="1"/>
  <c r="AP128" i="61"/>
  <c r="BS128" i="61" s="1"/>
  <c r="AO128" i="61"/>
  <c r="BR128" i="61" s="1"/>
  <c r="AL128" i="61"/>
  <c r="BO128" i="61" s="1"/>
  <c r="AM128" i="61"/>
  <c r="BP128" i="61" s="1"/>
  <c r="AN128" i="61"/>
  <c r="BQ128" i="61" s="1"/>
  <c r="AI128" i="61"/>
  <c r="BL128" i="61" s="1"/>
  <c r="AH128" i="61"/>
  <c r="BK128" i="61" s="1"/>
  <c r="AJ128" i="61"/>
  <c r="BM128" i="61" s="1"/>
  <c r="AK128" i="61"/>
  <c r="BN128" i="61" s="1"/>
  <c r="AQ259" i="61"/>
  <c r="BT259" i="61" s="1"/>
  <c r="AI259" i="61"/>
  <c r="BL259" i="61" s="1"/>
  <c r="AJ259" i="61"/>
  <c r="BM259" i="61" s="1"/>
  <c r="AM259" i="61"/>
  <c r="BP259" i="61" s="1"/>
  <c r="AH259" i="61"/>
  <c r="BK259" i="61" s="1"/>
  <c r="AN259" i="61"/>
  <c r="BQ259" i="61" s="1"/>
  <c r="AK259" i="61"/>
  <c r="BN259" i="61" s="1"/>
  <c r="AP259" i="61"/>
  <c r="BS259" i="61" s="1"/>
  <c r="AO259" i="61"/>
  <c r="BR259" i="61" s="1"/>
  <c r="AL259" i="61"/>
  <c r="BO259" i="61" s="1"/>
  <c r="AJ106" i="61"/>
  <c r="BM106" i="61" s="1"/>
  <c r="AQ106" i="61"/>
  <c r="BT106" i="61" s="1"/>
  <c r="AI106" i="61"/>
  <c r="BL106" i="61" s="1"/>
  <c r="AH106" i="61"/>
  <c r="BK106" i="61" s="1"/>
  <c r="AL106" i="61"/>
  <c r="BO106" i="61" s="1"/>
  <c r="AM106" i="61"/>
  <c r="BP106" i="61" s="1"/>
  <c r="AP106" i="61"/>
  <c r="BS106" i="61" s="1"/>
  <c r="AN106" i="61"/>
  <c r="BQ106" i="61" s="1"/>
  <c r="AO106" i="61"/>
  <c r="BR106" i="61" s="1"/>
  <c r="AK106" i="61"/>
  <c r="BN106" i="61" s="1"/>
  <c r="AK270" i="61"/>
  <c r="BN270" i="61" s="1"/>
  <c r="AM270" i="61"/>
  <c r="BP270" i="61" s="1"/>
  <c r="AP270" i="61"/>
  <c r="BS270" i="61" s="1"/>
  <c r="AH270" i="61"/>
  <c r="BK270" i="61" s="1"/>
  <c r="AL270" i="61"/>
  <c r="BO270" i="61" s="1"/>
  <c r="AI270" i="61"/>
  <c r="BL270" i="61" s="1"/>
  <c r="AO270" i="61"/>
  <c r="BR270" i="61" s="1"/>
  <c r="AQ270" i="61"/>
  <c r="BT270" i="61" s="1"/>
  <c r="AN270" i="61"/>
  <c r="BQ270" i="61" s="1"/>
  <c r="AJ270" i="61"/>
  <c r="BM270" i="61" s="1"/>
  <c r="AN74" i="61"/>
  <c r="BQ74" i="61" s="1"/>
  <c r="AK74" i="61"/>
  <c r="BN74" i="61" s="1"/>
  <c r="AP74" i="61"/>
  <c r="BS74" i="61" s="1"/>
  <c r="AL74" i="61"/>
  <c r="BO74" i="61" s="1"/>
  <c r="AQ74" i="61"/>
  <c r="BT74" i="61" s="1"/>
  <c r="AJ74" i="61"/>
  <c r="BM74" i="61" s="1"/>
  <c r="AM74" i="61"/>
  <c r="BP74" i="61" s="1"/>
  <c r="AO74" i="61"/>
  <c r="BR74" i="61" s="1"/>
  <c r="AI74" i="61"/>
  <c r="BL74" i="61" s="1"/>
  <c r="AH74" i="61"/>
  <c r="BK74" i="61" s="1"/>
  <c r="AJ272" i="61"/>
  <c r="BM272" i="61" s="1"/>
  <c r="AI272" i="61"/>
  <c r="BL272" i="61" s="1"/>
  <c r="AP272" i="61"/>
  <c r="BS272" i="61" s="1"/>
  <c r="AH272" i="61"/>
  <c r="BK272" i="61" s="1"/>
  <c r="AO272" i="61"/>
  <c r="BR272" i="61" s="1"/>
  <c r="AM272" i="61"/>
  <c r="BP272" i="61" s="1"/>
  <c r="AQ272" i="61"/>
  <c r="BT272" i="61" s="1"/>
  <c r="AL272" i="61"/>
  <c r="BO272" i="61" s="1"/>
  <c r="AN272" i="61"/>
  <c r="BQ272" i="61" s="1"/>
  <c r="AK272" i="61"/>
  <c r="BN272" i="61" s="1"/>
  <c r="AJ236" i="61"/>
  <c r="BM236" i="61" s="1"/>
  <c r="AP236" i="61"/>
  <c r="BS236" i="61" s="1"/>
  <c r="AK236" i="61"/>
  <c r="BN236" i="61" s="1"/>
  <c r="AI236" i="61"/>
  <c r="BL236" i="61" s="1"/>
  <c r="AL236" i="61"/>
  <c r="BO236" i="61" s="1"/>
  <c r="AQ236" i="61"/>
  <c r="BT236" i="61" s="1"/>
  <c r="AM236" i="61"/>
  <c r="BP236" i="61" s="1"/>
  <c r="AO236" i="61"/>
  <c r="BR236" i="61" s="1"/>
  <c r="AH236" i="61"/>
  <c r="BK236" i="61" s="1"/>
  <c r="AN236" i="61"/>
  <c r="BQ236" i="61" s="1"/>
  <c r="AH80" i="61"/>
  <c r="BK80" i="61" s="1"/>
  <c r="AI80" i="61"/>
  <c r="BL80" i="61" s="1"/>
  <c r="AJ80" i="61"/>
  <c r="BM80" i="61" s="1"/>
  <c r="AO80" i="61"/>
  <c r="BR80" i="61" s="1"/>
  <c r="AP80" i="61"/>
  <c r="BS80" i="61" s="1"/>
  <c r="AN80" i="61"/>
  <c r="BQ80" i="61" s="1"/>
  <c r="AQ80" i="61"/>
  <c r="BT80" i="61" s="1"/>
  <c r="AM80" i="61"/>
  <c r="BP80" i="61" s="1"/>
  <c r="AL80" i="61"/>
  <c r="BO80" i="61" s="1"/>
  <c r="AK80" i="61"/>
  <c r="BN80" i="61" s="1"/>
  <c r="AN180" i="61"/>
  <c r="BQ180" i="61" s="1"/>
  <c r="AO180" i="61"/>
  <c r="BR180" i="61" s="1"/>
  <c r="AP180" i="61"/>
  <c r="BS180" i="61" s="1"/>
  <c r="AL180" i="61"/>
  <c r="BO180" i="61" s="1"/>
  <c r="AI180" i="61"/>
  <c r="BL180" i="61" s="1"/>
  <c r="AH180" i="61"/>
  <c r="BK180" i="61" s="1"/>
  <c r="AJ180" i="61"/>
  <c r="BM180" i="61" s="1"/>
  <c r="AK180" i="61"/>
  <c r="BN180" i="61" s="1"/>
  <c r="AM180" i="61"/>
  <c r="BP180" i="61" s="1"/>
  <c r="AQ180" i="61"/>
  <c r="BT180" i="61" s="1"/>
  <c r="AO293" i="61"/>
  <c r="BR293" i="61" s="1"/>
  <c r="AL293" i="61"/>
  <c r="BO293" i="61" s="1"/>
  <c r="AP293" i="61"/>
  <c r="BS293" i="61" s="1"/>
  <c r="AN293" i="61"/>
  <c r="BQ293" i="61" s="1"/>
  <c r="AQ293" i="61"/>
  <c r="BT293" i="61" s="1"/>
  <c r="AK293" i="61"/>
  <c r="BN293" i="61" s="1"/>
  <c r="AH293" i="61"/>
  <c r="BK293" i="61" s="1"/>
  <c r="AJ293" i="61"/>
  <c r="BM293" i="61" s="1"/>
  <c r="AM293" i="61"/>
  <c r="BP293" i="61" s="1"/>
  <c r="AI293" i="61"/>
  <c r="BL293" i="61" s="1"/>
  <c r="AN315" i="61"/>
  <c r="BQ315" i="61" s="1"/>
  <c r="AM315" i="61"/>
  <c r="BP315" i="61" s="1"/>
  <c r="AO315" i="61"/>
  <c r="BR315" i="61" s="1"/>
  <c r="AL315" i="61"/>
  <c r="BO315" i="61" s="1"/>
  <c r="AI315" i="61"/>
  <c r="BL315" i="61" s="1"/>
  <c r="AK315" i="61"/>
  <c r="BN315" i="61" s="1"/>
  <c r="AP315" i="61"/>
  <c r="BS315" i="61" s="1"/>
  <c r="AQ315" i="61"/>
  <c r="BT315" i="61" s="1"/>
  <c r="AH315" i="61"/>
  <c r="BK315" i="61" s="1"/>
  <c r="AJ315" i="61"/>
  <c r="BM315" i="61" s="1"/>
  <c r="AH219" i="61"/>
  <c r="BK219" i="61" s="1"/>
  <c r="AK219" i="61"/>
  <c r="BN219" i="61" s="1"/>
  <c r="AL219" i="61"/>
  <c r="BO219" i="61" s="1"/>
  <c r="AN219" i="61"/>
  <c r="BQ219" i="61" s="1"/>
  <c r="AM219" i="61"/>
  <c r="BP219" i="61" s="1"/>
  <c r="AI219" i="61"/>
  <c r="BL219" i="61" s="1"/>
  <c r="AQ219" i="61"/>
  <c r="BT219" i="61" s="1"/>
  <c r="AJ219" i="61"/>
  <c r="BM219" i="61" s="1"/>
  <c r="AP219" i="61"/>
  <c r="BS219" i="61" s="1"/>
  <c r="AO219" i="61"/>
  <c r="BR219" i="61" s="1"/>
  <c r="AH138" i="61"/>
  <c r="BK138" i="61" s="1"/>
  <c r="AJ138" i="61"/>
  <c r="BM138" i="61" s="1"/>
  <c r="AM138" i="61"/>
  <c r="BP138" i="61" s="1"/>
  <c r="AP138" i="61"/>
  <c r="BS138" i="61" s="1"/>
  <c r="AO138" i="61"/>
  <c r="BR138" i="61" s="1"/>
  <c r="AI138" i="61"/>
  <c r="BL138" i="61" s="1"/>
  <c r="AN138" i="61"/>
  <c r="BQ138" i="61" s="1"/>
  <c r="AQ138" i="61"/>
  <c r="BT138" i="61" s="1"/>
  <c r="AL138" i="61"/>
  <c r="BO138" i="61" s="1"/>
  <c r="AK138" i="61"/>
  <c r="BN138" i="61" s="1"/>
  <c r="AN175" i="61"/>
  <c r="BQ175" i="61" s="1"/>
  <c r="AM175" i="61"/>
  <c r="BP175" i="61" s="1"/>
  <c r="AI175" i="61"/>
  <c r="BL175" i="61" s="1"/>
  <c r="AK175" i="61"/>
  <c r="BN175" i="61" s="1"/>
  <c r="AL175" i="61"/>
  <c r="BO175" i="61" s="1"/>
  <c r="AQ175" i="61"/>
  <c r="BT175" i="61" s="1"/>
  <c r="AH175" i="61"/>
  <c r="BK175" i="61" s="1"/>
  <c r="AP175" i="61"/>
  <c r="BS175" i="61" s="1"/>
  <c r="AO175" i="61"/>
  <c r="BR175" i="61" s="1"/>
  <c r="AJ175" i="61"/>
  <c r="BM175" i="61" s="1"/>
  <c r="AJ136" i="61"/>
  <c r="BM136" i="61" s="1"/>
  <c r="AM136" i="61"/>
  <c r="BP136" i="61" s="1"/>
  <c r="AL136" i="61"/>
  <c r="BO136" i="61" s="1"/>
  <c r="AH136" i="61"/>
  <c r="BK136" i="61" s="1"/>
  <c r="AQ136" i="61"/>
  <c r="BT136" i="61" s="1"/>
  <c r="AK136" i="61"/>
  <c r="BN136" i="61" s="1"/>
  <c r="AI136" i="61"/>
  <c r="BL136" i="61" s="1"/>
  <c r="AN136" i="61"/>
  <c r="BQ136" i="61" s="1"/>
  <c r="AO136" i="61"/>
  <c r="BR136" i="61" s="1"/>
  <c r="AP136" i="61"/>
  <c r="BS136" i="61" s="1"/>
  <c r="AN215" i="61"/>
  <c r="BQ215" i="61" s="1"/>
  <c r="AO215" i="61"/>
  <c r="BR215" i="61" s="1"/>
  <c r="AI215" i="61"/>
  <c r="BL215" i="61" s="1"/>
  <c r="AJ215" i="61"/>
  <c r="BM215" i="61" s="1"/>
  <c r="AP215" i="61"/>
  <c r="BS215" i="61" s="1"/>
  <c r="AM215" i="61"/>
  <c r="BP215" i="61" s="1"/>
  <c r="AK215" i="61"/>
  <c r="BN215" i="61" s="1"/>
  <c r="AH215" i="61"/>
  <c r="BK215" i="61" s="1"/>
  <c r="AQ215" i="61"/>
  <c r="BT215" i="61" s="1"/>
  <c r="AL215" i="61"/>
  <c r="BO215" i="61" s="1"/>
  <c r="AM9" i="61"/>
  <c r="BP9" i="61" s="1"/>
  <c r="AN9" i="61"/>
  <c r="BQ9" i="61" s="1"/>
  <c r="AL9" i="61"/>
  <c r="BO9" i="61" s="1"/>
  <c r="AK9" i="61"/>
  <c r="BN9" i="61" s="1"/>
  <c r="AH9" i="61"/>
  <c r="BK9" i="61" s="1"/>
  <c r="AI9" i="61"/>
  <c r="BL9" i="61" s="1"/>
  <c r="AJ9" i="61"/>
  <c r="BM9" i="61" s="1"/>
  <c r="AO9" i="61"/>
  <c r="BR9" i="61" s="1"/>
  <c r="AP9" i="61"/>
  <c r="BS9" i="61" s="1"/>
  <c r="AQ9" i="61"/>
  <c r="BT9" i="61" s="1"/>
  <c r="AN316" i="61"/>
  <c r="BQ316" i="61" s="1"/>
  <c r="AM316" i="61"/>
  <c r="BP316" i="61" s="1"/>
  <c r="AO316" i="61"/>
  <c r="BR316" i="61" s="1"/>
  <c r="AK316" i="61"/>
  <c r="BN316" i="61" s="1"/>
  <c r="AJ316" i="61"/>
  <c r="BM316" i="61" s="1"/>
  <c r="AP316" i="61"/>
  <c r="BS316" i="61" s="1"/>
  <c r="AI316" i="61"/>
  <c r="BL316" i="61" s="1"/>
  <c r="AH316" i="61"/>
  <c r="BK316" i="61" s="1"/>
  <c r="AQ316" i="61"/>
  <c r="BT316" i="61" s="1"/>
  <c r="AL316" i="61"/>
  <c r="BO316" i="61" s="1"/>
  <c r="AA86" i="61"/>
  <c r="BD86" i="61" s="1"/>
  <c r="AE86" i="61"/>
  <c r="BH86" i="61" s="1"/>
  <c r="X86" i="61"/>
  <c r="BA86" i="61" s="1"/>
  <c r="U86" i="61"/>
  <c r="AX86" i="61" s="1"/>
  <c r="AC86" i="61"/>
  <c r="BF86" i="61" s="1"/>
  <c r="AG86" i="61"/>
  <c r="BJ86" i="61" s="1"/>
  <c r="AD86" i="61"/>
  <c r="BG86" i="61" s="1"/>
  <c r="Z86" i="61"/>
  <c r="BC86" i="61" s="1"/>
  <c r="AF86" i="61"/>
  <c r="BI86" i="61" s="1"/>
  <c r="Y86" i="61"/>
  <c r="BB86" i="61" s="1"/>
  <c r="T86" i="61"/>
  <c r="AW86" i="61" s="1"/>
  <c r="AB86" i="61"/>
  <c r="BE86" i="61" s="1"/>
  <c r="W86" i="61"/>
  <c r="AZ86" i="61" s="1"/>
  <c r="V86" i="61"/>
  <c r="AY86" i="61" s="1"/>
  <c r="S86" i="61"/>
  <c r="AV86" i="61" s="1"/>
  <c r="T32" i="61"/>
  <c r="AW32" i="61" s="1"/>
  <c r="W32" i="61"/>
  <c r="AZ32" i="61" s="1"/>
  <c r="Y32" i="61"/>
  <c r="BB32" i="61" s="1"/>
  <c r="AG32" i="61"/>
  <c r="BJ32" i="61" s="1"/>
  <c r="X32" i="61"/>
  <c r="BA32" i="61" s="1"/>
  <c r="AA32" i="61"/>
  <c r="BD32" i="61" s="1"/>
  <c r="V32" i="61"/>
  <c r="AY32" i="61" s="1"/>
  <c r="Z32" i="61"/>
  <c r="BC32" i="61" s="1"/>
  <c r="AB32" i="61"/>
  <c r="BE32" i="61" s="1"/>
  <c r="AC32" i="61"/>
  <c r="BF32" i="61" s="1"/>
  <c r="U32" i="61"/>
  <c r="AX32" i="61" s="1"/>
  <c r="AE32" i="61"/>
  <c r="BH32" i="61" s="1"/>
  <c r="AF32" i="61"/>
  <c r="BI32" i="61" s="1"/>
  <c r="AD32" i="61"/>
  <c r="BG32" i="61" s="1"/>
  <c r="S32" i="61"/>
  <c r="AV32" i="61" s="1"/>
  <c r="Y213" i="61"/>
  <c r="BB213" i="61" s="1"/>
  <c r="T213" i="61"/>
  <c r="AW213" i="61" s="1"/>
  <c r="Z213" i="61"/>
  <c r="BC213" i="61" s="1"/>
  <c r="AG213" i="61"/>
  <c r="BJ213" i="61" s="1"/>
  <c r="AB213" i="61"/>
  <c r="BE213" i="61" s="1"/>
  <c r="AD213" i="61"/>
  <c r="BG213" i="61" s="1"/>
  <c r="W213" i="61"/>
  <c r="AZ213" i="61" s="1"/>
  <c r="U213" i="61"/>
  <c r="AX213" i="61" s="1"/>
  <c r="AA213" i="61"/>
  <c r="BD213" i="61" s="1"/>
  <c r="X213" i="61"/>
  <c r="BA213" i="61" s="1"/>
  <c r="V213" i="61"/>
  <c r="AY213" i="61" s="1"/>
  <c r="AF213" i="61"/>
  <c r="BI213" i="61" s="1"/>
  <c r="AE213" i="61"/>
  <c r="BH213" i="61" s="1"/>
  <c r="AC213" i="61"/>
  <c r="BF213" i="61" s="1"/>
  <c r="S213" i="61"/>
  <c r="AV213" i="61" s="1"/>
  <c r="Z201" i="61"/>
  <c r="BC201" i="61" s="1"/>
  <c r="AC201" i="61"/>
  <c r="BF201" i="61" s="1"/>
  <c r="Y201" i="61"/>
  <c r="BB201" i="61" s="1"/>
  <c r="AA201" i="61"/>
  <c r="BD201" i="61" s="1"/>
  <c r="X201" i="61"/>
  <c r="BA201" i="61" s="1"/>
  <c r="AB201" i="61"/>
  <c r="BE201" i="61" s="1"/>
  <c r="T201" i="61"/>
  <c r="AW201" i="61" s="1"/>
  <c r="AD201" i="61"/>
  <c r="BG201" i="61" s="1"/>
  <c r="V201" i="61"/>
  <c r="AY201" i="61" s="1"/>
  <c r="AG201" i="61"/>
  <c r="BJ201" i="61" s="1"/>
  <c r="AE201" i="61"/>
  <c r="BH201" i="61" s="1"/>
  <c r="W201" i="61"/>
  <c r="AZ201" i="61" s="1"/>
  <c r="U201" i="61"/>
  <c r="AX201" i="61" s="1"/>
  <c r="AF201" i="61"/>
  <c r="BI201" i="61" s="1"/>
  <c r="S201" i="61"/>
  <c r="AV201" i="61" s="1"/>
  <c r="U294" i="61"/>
  <c r="AX294" i="61" s="1"/>
  <c r="AG294" i="61"/>
  <c r="BJ294" i="61" s="1"/>
  <c r="T294" i="61"/>
  <c r="AW294" i="61" s="1"/>
  <c r="V294" i="61"/>
  <c r="AY294" i="61" s="1"/>
  <c r="Z294" i="61"/>
  <c r="BC294" i="61" s="1"/>
  <c r="AB294" i="61"/>
  <c r="BE294" i="61" s="1"/>
  <c r="AA294" i="61"/>
  <c r="BD294" i="61" s="1"/>
  <c r="X294" i="61"/>
  <c r="BA294" i="61" s="1"/>
  <c r="W294" i="61"/>
  <c r="AZ294" i="61" s="1"/>
  <c r="AC294" i="61"/>
  <c r="BF294" i="61" s="1"/>
  <c r="AE294" i="61"/>
  <c r="BH294" i="61" s="1"/>
  <c r="AD294" i="61"/>
  <c r="BG294" i="61" s="1"/>
  <c r="Y294" i="61"/>
  <c r="BB294" i="61" s="1"/>
  <c r="AF294" i="61"/>
  <c r="BI294" i="61" s="1"/>
  <c r="S294" i="61"/>
  <c r="AV294" i="61" s="1"/>
  <c r="AF222" i="61"/>
  <c r="BI222" i="61" s="1"/>
  <c r="AA222" i="61"/>
  <c r="BD222" i="61" s="1"/>
  <c r="AG222" i="61"/>
  <c r="BJ222" i="61" s="1"/>
  <c r="Z222" i="61"/>
  <c r="BC222" i="61" s="1"/>
  <c r="AD222" i="61"/>
  <c r="BG222" i="61" s="1"/>
  <c r="V222" i="61"/>
  <c r="AY222" i="61" s="1"/>
  <c r="AB222" i="61"/>
  <c r="BE222" i="61" s="1"/>
  <c r="U222" i="61"/>
  <c r="AX222" i="61" s="1"/>
  <c r="AC222" i="61"/>
  <c r="BF222" i="61" s="1"/>
  <c r="AE222" i="61"/>
  <c r="BH222" i="61" s="1"/>
  <c r="W222" i="61"/>
  <c r="AZ222" i="61" s="1"/>
  <c r="Y222" i="61"/>
  <c r="BB222" i="61" s="1"/>
  <c r="X222" i="61"/>
  <c r="BA222" i="61" s="1"/>
  <c r="T222" i="61"/>
  <c r="AW222" i="61" s="1"/>
  <c r="S222" i="61"/>
  <c r="AV222" i="61" s="1"/>
  <c r="U38" i="61"/>
  <c r="AX38" i="61" s="1"/>
  <c r="AD38" i="61"/>
  <c r="BG38" i="61" s="1"/>
  <c r="V38" i="61"/>
  <c r="AY38" i="61" s="1"/>
  <c r="AC38" i="61"/>
  <c r="BF38" i="61" s="1"/>
  <c r="X38" i="61"/>
  <c r="BA38" i="61" s="1"/>
  <c r="W38" i="61"/>
  <c r="AZ38" i="61" s="1"/>
  <c r="AE38" i="61"/>
  <c r="BH38" i="61" s="1"/>
  <c r="AB38" i="61"/>
  <c r="BE38" i="61" s="1"/>
  <c r="Z38" i="61"/>
  <c r="BC38" i="61" s="1"/>
  <c r="T38" i="61"/>
  <c r="AW38" i="61" s="1"/>
  <c r="Y38" i="61"/>
  <c r="BB38" i="61" s="1"/>
  <c r="AA38" i="61"/>
  <c r="BD38" i="61" s="1"/>
  <c r="AF38" i="61"/>
  <c r="BI38" i="61" s="1"/>
  <c r="AG38" i="61"/>
  <c r="BJ38" i="61" s="1"/>
  <c r="S38" i="61"/>
  <c r="AV38" i="61" s="1"/>
  <c r="Y195" i="61"/>
  <c r="BB195" i="61" s="1"/>
  <c r="Z195" i="61"/>
  <c r="BC195" i="61" s="1"/>
  <c r="U195" i="61"/>
  <c r="AX195" i="61" s="1"/>
  <c r="W195" i="61"/>
  <c r="AZ195" i="61" s="1"/>
  <c r="X195" i="61"/>
  <c r="BA195" i="61" s="1"/>
  <c r="V195" i="61"/>
  <c r="AY195" i="61" s="1"/>
  <c r="AB195" i="61"/>
  <c r="BE195" i="61" s="1"/>
  <c r="AC195" i="61"/>
  <c r="BF195" i="61" s="1"/>
  <c r="T195" i="61"/>
  <c r="AW195" i="61" s="1"/>
  <c r="AF195" i="61"/>
  <c r="BI195" i="61" s="1"/>
  <c r="AA195" i="61"/>
  <c r="BD195" i="61" s="1"/>
  <c r="AG195" i="61"/>
  <c r="BJ195" i="61" s="1"/>
  <c r="AE195" i="61"/>
  <c r="BH195" i="61" s="1"/>
  <c r="AD195" i="61"/>
  <c r="BG195" i="61" s="1"/>
  <c r="S195" i="61"/>
  <c r="AV195" i="61" s="1"/>
  <c r="T301" i="61"/>
  <c r="AW301" i="61" s="1"/>
  <c r="W301" i="61"/>
  <c r="AZ301" i="61" s="1"/>
  <c r="AA301" i="61"/>
  <c r="BD301" i="61" s="1"/>
  <c r="U301" i="61"/>
  <c r="AX301" i="61" s="1"/>
  <c r="Z301" i="61"/>
  <c r="BC301" i="61" s="1"/>
  <c r="V301" i="61"/>
  <c r="AY301" i="61" s="1"/>
  <c r="AD301" i="61"/>
  <c r="BG301" i="61" s="1"/>
  <c r="AF301" i="61"/>
  <c r="BI301" i="61" s="1"/>
  <c r="AG301" i="61"/>
  <c r="BJ301" i="61" s="1"/>
  <c r="X301" i="61"/>
  <c r="BA301" i="61" s="1"/>
  <c r="AE301" i="61"/>
  <c r="BH301" i="61" s="1"/>
  <c r="AB301" i="61"/>
  <c r="BE301" i="61" s="1"/>
  <c r="AC301" i="61"/>
  <c r="BF301" i="61" s="1"/>
  <c r="Y301" i="61"/>
  <c r="BB301" i="61" s="1"/>
  <c r="S301" i="61"/>
  <c r="AV301" i="61" s="1"/>
  <c r="Z221" i="61"/>
  <c r="BC221" i="61" s="1"/>
  <c r="Y221" i="61"/>
  <c r="BB221" i="61" s="1"/>
  <c r="X221" i="61"/>
  <c r="BA221" i="61" s="1"/>
  <c r="AB221" i="61"/>
  <c r="BE221" i="61" s="1"/>
  <c r="AC221" i="61"/>
  <c r="BF221" i="61" s="1"/>
  <c r="W221" i="61"/>
  <c r="AZ221" i="61" s="1"/>
  <c r="V221" i="61"/>
  <c r="AY221" i="61" s="1"/>
  <c r="AE221" i="61"/>
  <c r="BH221" i="61" s="1"/>
  <c r="AG221" i="61"/>
  <c r="BJ221" i="61" s="1"/>
  <c r="AD221" i="61"/>
  <c r="BG221" i="61" s="1"/>
  <c r="T221" i="61"/>
  <c r="AW221" i="61" s="1"/>
  <c r="AA221" i="61"/>
  <c r="BD221" i="61" s="1"/>
  <c r="AF221" i="61"/>
  <c r="BI221" i="61" s="1"/>
  <c r="U221" i="61"/>
  <c r="AX221" i="61" s="1"/>
  <c r="S221" i="61"/>
  <c r="AV221" i="61" s="1"/>
  <c r="Z19" i="61"/>
  <c r="BC19" i="61" s="1"/>
  <c r="AA19" i="61"/>
  <c r="BD19" i="61" s="1"/>
  <c r="X19" i="61"/>
  <c r="BA19" i="61" s="1"/>
  <c r="W19" i="61"/>
  <c r="AZ19" i="61" s="1"/>
  <c r="AG19" i="61"/>
  <c r="BJ19" i="61" s="1"/>
  <c r="U19" i="61"/>
  <c r="AX19" i="61" s="1"/>
  <c r="T19" i="61"/>
  <c r="AW19" i="61" s="1"/>
  <c r="Y19" i="61"/>
  <c r="BB19" i="61" s="1"/>
  <c r="AD19" i="61"/>
  <c r="BG19" i="61" s="1"/>
  <c r="AE19" i="61"/>
  <c r="BH19" i="61" s="1"/>
  <c r="AB19" i="61"/>
  <c r="BE19" i="61" s="1"/>
  <c r="AF19" i="61"/>
  <c r="BI19" i="61" s="1"/>
  <c r="V19" i="61"/>
  <c r="AY19" i="61" s="1"/>
  <c r="AC19" i="61"/>
  <c r="BF19" i="61" s="1"/>
  <c r="S19" i="61"/>
  <c r="AV19" i="61" s="1"/>
  <c r="U173" i="61"/>
  <c r="AX173" i="61" s="1"/>
  <c r="T173" i="61"/>
  <c r="AW173" i="61" s="1"/>
  <c r="V173" i="61"/>
  <c r="AY173" i="61" s="1"/>
  <c r="X173" i="61"/>
  <c r="BA173" i="61" s="1"/>
  <c r="AG173" i="61"/>
  <c r="BJ173" i="61" s="1"/>
  <c r="W173" i="61"/>
  <c r="AZ173" i="61" s="1"/>
  <c r="Y173" i="61"/>
  <c r="BB173" i="61" s="1"/>
  <c r="AD173" i="61"/>
  <c r="BG173" i="61" s="1"/>
  <c r="AB173" i="61"/>
  <c r="BE173" i="61" s="1"/>
  <c r="AA173" i="61"/>
  <c r="BD173" i="61" s="1"/>
  <c r="Z173" i="61"/>
  <c r="BC173" i="61" s="1"/>
  <c r="AF173" i="61"/>
  <c r="BI173" i="61" s="1"/>
  <c r="AE173" i="61"/>
  <c r="BH173" i="61" s="1"/>
  <c r="AC173" i="61"/>
  <c r="BF173" i="61" s="1"/>
  <c r="S173" i="61"/>
  <c r="AV173" i="61" s="1"/>
  <c r="U155" i="61"/>
  <c r="AX155" i="61" s="1"/>
  <c r="T155" i="61"/>
  <c r="AW155" i="61" s="1"/>
  <c r="AF155" i="61"/>
  <c r="BI155" i="61" s="1"/>
  <c r="AG155" i="61"/>
  <c r="BJ155" i="61" s="1"/>
  <c r="X155" i="61"/>
  <c r="BA155" i="61" s="1"/>
  <c r="AD155" i="61"/>
  <c r="BG155" i="61" s="1"/>
  <c r="V155" i="61"/>
  <c r="AY155" i="61" s="1"/>
  <c r="Y155" i="61"/>
  <c r="BB155" i="61" s="1"/>
  <c r="AE155" i="61"/>
  <c r="BH155" i="61" s="1"/>
  <c r="Z155" i="61"/>
  <c r="BC155" i="61" s="1"/>
  <c r="W155" i="61"/>
  <c r="AZ155" i="61" s="1"/>
  <c r="AB155" i="61"/>
  <c r="BE155" i="61" s="1"/>
  <c r="AC155" i="61"/>
  <c r="BF155" i="61" s="1"/>
  <c r="AA155" i="61"/>
  <c r="BD155" i="61" s="1"/>
  <c r="S155" i="61"/>
  <c r="AV155" i="61" s="1"/>
  <c r="AA13" i="61"/>
  <c r="BD13" i="61" s="1"/>
  <c r="T13" i="61"/>
  <c r="AW13" i="61" s="1"/>
  <c r="Z13" i="61"/>
  <c r="BC13" i="61" s="1"/>
  <c r="AG13" i="61"/>
  <c r="BJ13" i="61" s="1"/>
  <c r="AB13" i="61"/>
  <c r="BE13" i="61" s="1"/>
  <c r="Y13" i="61"/>
  <c r="BB13" i="61" s="1"/>
  <c r="V13" i="61"/>
  <c r="AY13" i="61" s="1"/>
  <c r="X13" i="61"/>
  <c r="BA13" i="61" s="1"/>
  <c r="U13" i="61"/>
  <c r="AX13" i="61" s="1"/>
  <c r="W13" i="61"/>
  <c r="AZ13" i="61" s="1"/>
  <c r="AD13" i="61"/>
  <c r="BG13" i="61" s="1"/>
  <c r="AC13" i="61"/>
  <c r="BF13" i="61" s="1"/>
  <c r="AE13" i="61"/>
  <c r="BH13" i="61" s="1"/>
  <c r="AF13" i="61"/>
  <c r="BI13" i="61" s="1"/>
  <c r="S13" i="61"/>
  <c r="AV13" i="61" s="1"/>
  <c r="X305" i="61"/>
  <c r="BA305" i="61" s="1"/>
  <c r="Z305" i="61"/>
  <c r="BC305" i="61" s="1"/>
  <c r="Y305" i="61"/>
  <c r="BB305" i="61" s="1"/>
  <c r="AD305" i="61"/>
  <c r="BG305" i="61" s="1"/>
  <c r="AA305" i="61"/>
  <c r="BD305" i="61" s="1"/>
  <c r="AG305" i="61"/>
  <c r="BJ305" i="61" s="1"/>
  <c r="U305" i="61"/>
  <c r="AX305" i="61" s="1"/>
  <c r="AB305" i="61"/>
  <c r="BE305" i="61" s="1"/>
  <c r="T305" i="61"/>
  <c r="AW305" i="61" s="1"/>
  <c r="AC305" i="61"/>
  <c r="BF305" i="61" s="1"/>
  <c r="AF305" i="61"/>
  <c r="BI305" i="61" s="1"/>
  <c r="V305" i="61"/>
  <c r="AY305" i="61" s="1"/>
  <c r="AE305" i="61"/>
  <c r="BH305" i="61" s="1"/>
  <c r="W305" i="61"/>
  <c r="AZ305" i="61" s="1"/>
  <c r="S305" i="61"/>
  <c r="AV305" i="61" s="1"/>
  <c r="AE178" i="61"/>
  <c r="BH178" i="61" s="1"/>
  <c r="AD178" i="61"/>
  <c r="BG178" i="61" s="1"/>
  <c r="AG178" i="61"/>
  <c r="BJ178" i="61" s="1"/>
  <c r="AB178" i="61"/>
  <c r="BE178" i="61" s="1"/>
  <c r="AF178" i="61"/>
  <c r="BI178" i="61" s="1"/>
  <c r="Y178" i="61"/>
  <c r="BB178" i="61" s="1"/>
  <c r="AA178" i="61"/>
  <c r="BD178" i="61" s="1"/>
  <c r="W178" i="61"/>
  <c r="AZ178" i="61" s="1"/>
  <c r="AC178" i="61"/>
  <c r="BF178" i="61" s="1"/>
  <c r="Z178" i="61"/>
  <c r="BC178" i="61" s="1"/>
  <c r="T178" i="61"/>
  <c r="AW178" i="61" s="1"/>
  <c r="U178" i="61"/>
  <c r="AX178" i="61" s="1"/>
  <c r="X178" i="61"/>
  <c r="BA178" i="61" s="1"/>
  <c r="V178" i="61"/>
  <c r="AY178" i="61" s="1"/>
  <c r="S178" i="61"/>
  <c r="AV178" i="61" s="1"/>
  <c r="AE280" i="61"/>
  <c r="BH280" i="61" s="1"/>
  <c r="W280" i="61"/>
  <c r="AZ280" i="61" s="1"/>
  <c r="AG280" i="61"/>
  <c r="BJ280" i="61" s="1"/>
  <c r="X280" i="61"/>
  <c r="BA280" i="61" s="1"/>
  <c r="Y280" i="61"/>
  <c r="BB280" i="61" s="1"/>
  <c r="T280" i="61"/>
  <c r="AW280" i="61" s="1"/>
  <c r="AD280" i="61"/>
  <c r="BG280" i="61" s="1"/>
  <c r="AA280" i="61"/>
  <c r="BD280" i="61" s="1"/>
  <c r="AF280" i="61"/>
  <c r="BI280" i="61" s="1"/>
  <c r="Z280" i="61"/>
  <c r="BC280" i="61" s="1"/>
  <c r="V280" i="61"/>
  <c r="AY280" i="61" s="1"/>
  <c r="U280" i="61"/>
  <c r="AX280" i="61" s="1"/>
  <c r="AB280" i="61"/>
  <c r="BE280" i="61" s="1"/>
  <c r="AC280" i="61"/>
  <c r="BF280" i="61" s="1"/>
  <c r="S280" i="61"/>
  <c r="AV280" i="61" s="1"/>
  <c r="AA335" i="61"/>
  <c r="BD335" i="61" s="1"/>
  <c r="AD335" i="61"/>
  <c r="BG335" i="61" s="1"/>
  <c r="AG335" i="61"/>
  <c r="BJ335" i="61" s="1"/>
  <c r="AC335" i="61"/>
  <c r="BF335" i="61" s="1"/>
  <c r="W335" i="61"/>
  <c r="AZ335" i="61" s="1"/>
  <c r="Y335" i="61"/>
  <c r="BB335" i="61" s="1"/>
  <c r="V335" i="61"/>
  <c r="AY335" i="61" s="1"/>
  <c r="X335" i="61"/>
  <c r="BA335" i="61" s="1"/>
  <c r="AF335" i="61"/>
  <c r="BI335" i="61" s="1"/>
  <c r="T335" i="61"/>
  <c r="AW335" i="61" s="1"/>
  <c r="AE335" i="61"/>
  <c r="BH335" i="61" s="1"/>
  <c r="U335" i="61"/>
  <c r="AX335" i="61" s="1"/>
  <c r="AB335" i="61"/>
  <c r="BE335" i="61" s="1"/>
  <c r="Z335" i="61"/>
  <c r="BC335" i="61" s="1"/>
  <c r="S335" i="61"/>
  <c r="AV335" i="61" s="1"/>
  <c r="AA193" i="61"/>
  <c r="BD193" i="61" s="1"/>
  <c r="T193" i="61"/>
  <c r="AW193" i="61" s="1"/>
  <c r="AB193" i="61"/>
  <c r="BE193" i="61" s="1"/>
  <c r="AC193" i="61"/>
  <c r="BF193" i="61" s="1"/>
  <c r="Z193" i="61"/>
  <c r="BC193" i="61" s="1"/>
  <c r="AE193" i="61"/>
  <c r="BH193" i="61" s="1"/>
  <c r="U193" i="61"/>
  <c r="AX193" i="61" s="1"/>
  <c r="AD193" i="61"/>
  <c r="BG193" i="61" s="1"/>
  <c r="W193" i="61"/>
  <c r="AZ193" i="61" s="1"/>
  <c r="X193" i="61"/>
  <c r="BA193" i="61" s="1"/>
  <c r="V193" i="61"/>
  <c r="AY193" i="61" s="1"/>
  <c r="Y193" i="61"/>
  <c r="BB193" i="61" s="1"/>
  <c r="AG193" i="61"/>
  <c r="BJ193" i="61" s="1"/>
  <c r="AF193" i="61"/>
  <c r="BI193" i="61" s="1"/>
  <c r="S193" i="61"/>
  <c r="AV193" i="61" s="1"/>
  <c r="AA130" i="61"/>
  <c r="BD130" i="61" s="1"/>
  <c r="AB130" i="61"/>
  <c r="BE130" i="61" s="1"/>
  <c r="AC130" i="61"/>
  <c r="BF130" i="61" s="1"/>
  <c r="W130" i="61"/>
  <c r="AZ130" i="61" s="1"/>
  <c r="T130" i="61"/>
  <c r="AW130" i="61" s="1"/>
  <c r="AG130" i="61"/>
  <c r="BJ130" i="61" s="1"/>
  <c r="X130" i="61"/>
  <c r="BA130" i="61" s="1"/>
  <c r="AE130" i="61"/>
  <c r="BH130" i="61" s="1"/>
  <c r="AD130" i="61"/>
  <c r="BG130" i="61" s="1"/>
  <c r="AF130" i="61"/>
  <c r="BI130" i="61" s="1"/>
  <c r="V130" i="61"/>
  <c r="AY130" i="61" s="1"/>
  <c r="Y130" i="61"/>
  <c r="BB130" i="61" s="1"/>
  <c r="U130" i="61"/>
  <c r="AX130" i="61" s="1"/>
  <c r="Z130" i="61"/>
  <c r="BC130" i="61" s="1"/>
  <c r="S130" i="61"/>
  <c r="AV130" i="61" s="1"/>
  <c r="AA147" i="61"/>
  <c r="BD147" i="61" s="1"/>
  <c r="AG147" i="61"/>
  <c r="BJ147" i="61" s="1"/>
  <c r="T147" i="61"/>
  <c r="AW147" i="61" s="1"/>
  <c r="AD147" i="61"/>
  <c r="BG147" i="61" s="1"/>
  <c r="AC147" i="61"/>
  <c r="BF147" i="61" s="1"/>
  <c r="U147" i="61"/>
  <c r="AX147" i="61" s="1"/>
  <c r="V147" i="61"/>
  <c r="AY147" i="61" s="1"/>
  <c r="AE147" i="61"/>
  <c r="BH147" i="61" s="1"/>
  <c r="X147" i="61"/>
  <c r="BA147" i="61" s="1"/>
  <c r="AB147" i="61"/>
  <c r="BE147" i="61" s="1"/>
  <c r="AF147" i="61"/>
  <c r="BI147" i="61" s="1"/>
  <c r="Z147" i="61"/>
  <c r="BC147" i="61" s="1"/>
  <c r="W147" i="61"/>
  <c r="AZ147" i="61" s="1"/>
  <c r="Y147" i="61"/>
  <c r="BB147" i="61" s="1"/>
  <c r="S147" i="61"/>
  <c r="AV147" i="61" s="1"/>
  <c r="AG223" i="61"/>
  <c r="BJ223" i="61" s="1"/>
  <c r="AA223" i="61"/>
  <c r="BD223" i="61" s="1"/>
  <c r="AD223" i="61"/>
  <c r="BG223" i="61" s="1"/>
  <c r="W223" i="61"/>
  <c r="AZ223" i="61" s="1"/>
  <c r="AB223" i="61"/>
  <c r="BE223" i="61" s="1"/>
  <c r="AF223" i="61"/>
  <c r="BI223" i="61" s="1"/>
  <c r="T223" i="61"/>
  <c r="AW223" i="61" s="1"/>
  <c r="AE223" i="61"/>
  <c r="BH223" i="61" s="1"/>
  <c r="U223" i="61"/>
  <c r="AX223" i="61" s="1"/>
  <c r="Z223" i="61"/>
  <c r="BC223" i="61" s="1"/>
  <c r="X223" i="61"/>
  <c r="BA223" i="61" s="1"/>
  <c r="Y223" i="61"/>
  <c r="BB223" i="61" s="1"/>
  <c r="AC223" i="61"/>
  <c r="BF223" i="61" s="1"/>
  <c r="V223" i="61"/>
  <c r="AY223" i="61" s="1"/>
  <c r="S223" i="61"/>
  <c r="AV223" i="61" s="1"/>
  <c r="AG251" i="61"/>
  <c r="BJ251" i="61" s="1"/>
  <c r="AF251" i="61"/>
  <c r="BI251" i="61" s="1"/>
  <c r="AA251" i="61"/>
  <c r="BD251" i="61" s="1"/>
  <c r="Z251" i="61"/>
  <c r="BC251" i="61" s="1"/>
  <c r="T251" i="61"/>
  <c r="AW251" i="61" s="1"/>
  <c r="Y251" i="61"/>
  <c r="BB251" i="61" s="1"/>
  <c r="AB251" i="61"/>
  <c r="BE251" i="61" s="1"/>
  <c r="X251" i="61"/>
  <c r="BA251" i="61" s="1"/>
  <c r="AD251" i="61"/>
  <c r="BG251" i="61" s="1"/>
  <c r="W251" i="61"/>
  <c r="AZ251" i="61" s="1"/>
  <c r="V251" i="61"/>
  <c r="AY251" i="61" s="1"/>
  <c r="U251" i="61"/>
  <c r="AX251" i="61" s="1"/>
  <c r="AC251" i="61"/>
  <c r="BF251" i="61" s="1"/>
  <c r="AE251" i="61"/>
  <c r="BH251" i="61" s="1"/>
  <c r="S251" i="61"/>
  <c r="AV251" i="61" s="1"/>
  <c r="AF109" i="61"/>
  <c r="BI109" i="61" s="1"/>
  <c r="T109" i="61"/>
  <c r="AW109" i="61" s="1"/>
  <c r="AG109" i="61"/>
  <c r="BJ109" i="61" s="1"/>
  <c r="W109" i="61"/>
  <c r="AZ109" i="61" s="1"/>
  <c r="V109" i="61"/>
  <c r="AY109" i="61" s="1"/>
  <c r="AE109" i="61"/>
  <c r="BH109" i="61" s="1"/>
  <c r="U109" i="61"/>
  <c r="AX109" i="61" s="1"/>
  <c r="AD109" i="61"/>
  <c r="BG109" i="61" s="1"/>
  <c r="Z109" i="61"/>
  <c r="BC109" i="61" s="1"/>
  <c r="X109" i="61"/>
  <c r="BA109" i="61" s="1"/>
  <c r="AB109" i="61"/>
  <c r="BE109" i="61" s="1"/>
  <c r="Y109" i="61"/>
  <c r="BB109" i="61" s="1"/>
  <c r="AC109" i="61"/>
  <c r="BF109" i="61" s="1"/>
  <c r="AA109" i="61"/>
  <c r="BD109" i="61" s="1"/>
  <c r="S109" i="61"/>
  <c r="AV109" i="61" s="1"/>
  <c r="AF207" i="61"/>
  <c r="BI207" i="61" s="1"/>
  <c r="AE207" i="61"/>
  <c r="BH207" i="61" s="1"/>
  <c r="AB207" i="61"/>
  <c r="BE207" i="61" s="1"/>
  <c r="AD207" i="61"/>
  <c r="BG207" i="61" s="1"/>
  <c r="AC207" i="61"/>
  <c r="BF207" i="61" s="1"/>
  <c r="W207" i="61"/>
  <c r="AZ207" i="61" s="1"/>
  <c r="U207" i="61"/>
  <c r="AX207" i="61" s="1"/>
  <c r="Z207" i="61"/>
  <c r="BC207" i="61" s="1"/>
  <c r="Y207" i="61"/>
  <c r="BB207" i="61" s="1"/>
  <c r="AG207" i="61"/>
  <c r="BJ207" i="61" s="1"/>
  <c r="T207" i="61"/>
  <c r="AW207" i="61" s="1"/>
  <c r="V207" i="61"/>
  <c r="AY207" i="61" s="1"/>
  <c r="AA207" i="61"/>
  <c r="BD207" i="61" s="1"/>
  <c r="X207" i="61"/>
  <c r="BA207" i="61" s="1"/>
  <c r="S207" i="61"/>
  <c r="AV207" i="61" s="1"/>
  <c r="AC103" i="61"/>
  <c r="BF103" i="61" s="1"/>
  <c r="AA103" i="61"/>
  <c r="BD103" i="61" s="1"/>
  <c r="Z103" i="61"/>
  <c r="BC103" i="61" s="1"/>
  <c r="AB103" i="61"/>
  <c r="BE103" i="61" s="1"/>
  <c r="W103" i="61"/>
  <c r="AZ103" i="61" s="1"/>
  <c r="AD103" i="61"/>
  <c r="BG103" i="61" s="1"/>
  <c r="T103" i="61"/>
  <c r="AW103" i="61" s="1"/>
  <c r="X103" i="61"/>
  <c r="BA103" i="61" s="1"/>
  <c r="AG103" i="61"/>
  <c r="BJ103" i="61" s="1"/>
  <c r="V103" i="61"/>
  <c r="AY103" i="61" s="1"/>
  <c r="U103" i="61"/>
  <c r="AX103" i="61" s="1"/>
  <c r="AF103" i="61"/>
  <c r="BI103" i="61" s="1"/>
  <c r="AE103" i="61"/>
  <c r="BH103" i="61" s="1"/>
  <c r="Y103" i="61"/>
  <c r="BB103" i="61" s="1"/>
  <c r="S103" i="61"/>
  <c r="AV103" i="61" s="1"/>
  <c r="Z158" i="61"/>
  <c r="BC158" i="61" s="1"/>
  <c r="V158" i="61"/>
  <c r="AY158" i="61" s="1"/>
  <c r="AD158" i="61"/>
  <c r="BG158" i="61" s="1"/>
  <c r="AE158" i="61"/>
  <c r="BH158" i="61" s="1"/>
  <c r="AA158" i="61"/>
  <c r="BD158" i="61" s="1"/>
  <c r="U158" i="61"/>
  <c r="AX158" i="61" s="1"/>
  <c r="T158" i="61"/>
  <c r="AW158" i="61" s="1"/>
  <c r="AF158" i="61"/>
  <c r="BI158" i="61" s="1"/>
  <c r="W158" i="61"/>
  <c r="AZ158" i="61" s="1"/>
  <c r="AC158" i="61"/>
  <c r="BF158" i="61" s="1"/>
  <c r="AG158" i="61"/>
  <c r="BJ158" i="61" s="1"/>
  <c r="X158" i="61"/>
  <c r="BA158" i="61" s="1"/>
  <c r="Y158" i="61"/>
  <c r="BB158" i="61" s="1"/>
  <c r="AB158" i="61"/>
  <c r="BE158" i="61" s="1"/>
  <c r="S158" i="61"/>
  <c r="AV158" i="61" s="1"/>
  <c r="Z165" i="61"/>
  <c r="BC165" i="61" s="1"/>
  <c r="AB165" i="61"/>
  <c r="BE165" i="61" s="1"/>
  <c r="AE165" i="61"/>
  <c r="BH165" i="61" s="1"/>
  <c r="AC165" i="61"/>
  <c r="BF165" i="61" s="1"/>
  <c r="AF165" i="61"/>
  <c r="BI165" i="61" s="1"/>
  <c r="AD165" i="61"/>
  <c r="BG165" i="61" s="1"/>
  <c r="AG165" i="61"/>
  <c r="BJ165" i="61" s="1"/>
  <c r="U165" i="61"/>
  <c r="AX165" i="61" s="1"/>
  <c r="AA165" i="61"/>
  <c r="BD165" i="61" s="1"/>
  <c r="W165" i="61"/>
  <c r="AZ165" i="61" s="1"/>
  <c r="T165" i="61"/>
  <c r="AW165" i="61" s="1"/>
  <c r="Y165" i="61"/>
  <c r="BB165" i="61" s="1"/>
  <c r="X165" i="61"/>
  <c r="BA165" i="61" s="1"/>
  <c r="V165" i="61"/>
  <c r="AY165" i="61" s="1"/>
  <c r="S165" i="61"/>
  <c r="AV165" i="61" s="1"/>
  <c r="T336" i="61"/>
  <c r="AW336" i="61" s="1"/>
  <c r="AD336" i="61"/>
  <c r="BG336" i="61" s="1"/>
  <c r="AB336" i="61"/>
  <c r="BE336" i="61" s="1"/>
  <c r="AA336" i="61"/>
  <c r="BD336" i="61" s="1"/>
  <c r="Y336" i="61"/>
  <c r="BB336" i="61" s="1"/>
  <c r="W336" i="61"/>
  <c r="AZ336" i="61" s="1"/>
  <c r="AC336" i="61"/>
  <c r="BF336" i="61" s="1"/>
  <c r="AG336" i="61"/>
  <c r="BJ336" i="61" s="1"/>
  <c r="V336" i="61"/>
  <c r="AY336" i="61" s="1"/>
  <c r="AE336" i="61"/>
  <c r="BH336" i="61" s="1"/>
  <c r="U336" i="61"/>
  <c r="AX336" i="61" s="1"/>
  <c r="X336" i="61"/>
  <c r="BA336" i="61" s="1"/>
  <c r="Z336" i="61"/>
  <c r="BC336" i="61" s="1"/>
  <c r="AF336" i="61"/>
  <c r="BI336" i="61" s="1"/>
  <c r="S336" i="61"/>
  <c r="AV336" i="61" s="1"/>
  <c r="AD151" i="61"/>
  <c r="BG151" i="61" s="1"/>
  <c r="Y151" i="61"/>
  <c r="BB151" i="61" s="1"/>
  <c r="AF151" i="61"/>
  <c r="BI151" i="61" s="1"/>
  <c r="AG151" i="61"/>
  <c r="BJ151" i="61" s="1"/>
  <c r="AE151" i="61"/>
  <c r="BH151" i="61" s="1"/>
  <c r="AB151" i="61"/>
  <c r="BE151" i="61" s="1"/>
  <c r="AA151" i="61"/>
  <c r="BD151" i="61" s="1"/>
  <c r="T151" i="61"/>
  <c r="AW151" i="61" s="1"/>
  <c r="AC151" i="61"/>
  <c r="BF151" i="61" s="1"/>
  <c r="U151" i="61"/>
  <c r="AX151" i="61" s="1"/>
  <c r="Z151" i="61"/>
  <c r="BC151" i="61" s="1"/>
  <c r="W151" i="61"/>
  <c r="AZ151" i="61" s="1"/>
  <c r="X151" i="61"/>
  <c r="BA151" i="61" s="1"/>
  <c r="V151" i="61"/>
  <c r="AY151" i="61" s="1"/>
  <c r="S151" i="61"/>
  <c r="AV151" i="61" s="1"/>
  <c r="AF153" i="61"/>
  <c r="BI153" i="61" s="1"/>
  <c r="AD153" i="61"/>
  <c r="BG153" i="61" s="1"/>
  <c r="AE153" i="61"/>
  <c r="BH153" i="61" s="1"/>
  <c r="Z153" i="61"/>
  <c r="BC153" i="61" s="1"/>
  <c r="U153" i="61"/>
  <c r="AX153" i="61" s="1"/>
  <c r="Y153" i="61"/>
  <c r="BB153" i="61" s="1"/>
  <c r="X153" i="61"/>
  <c r="BA153" i="61" s="1"/>
  <c r="T153" i="61"/>
  <c r="AW153" i="61" s="1"/>
  <c r="AA153" i="61"/>
  <c r="BD153" i="61" s="1"/>
  <c r="AB153" i="61"/>
  <c r="BE153" i="61" s="1"/>
  <c r="AG153" i="61"/>
  <c r="BJ153" i="61" s="1"/>
  <c r="W153" i="61"/>
  <c r="AZ153" i="61" s="1"/>
  <c r="V153" i="61"/>
  <c r="AY153" i="61" s="1"/>
  <c r="AC153" i="61"/>
  <c r="BF153" i="61" s="1"/>
  <c r="S153" i="61"/>
  <c r="AV153" i="61" s="1"/>
  <c r="W237" i="61"/>
  <c r="AZ237" i="61" s="1"/>
  <c r="T237" i="61"/>
  <c r="AW237" i="61" s="1"/>
  <c r="Z237" i="61"/>
  <c r="BC237" i="61" s="1"/>
  <c r="AB237" i="61"/>
  <c r="BE237" i="61" s="1"/>
  <c r="X237" i="61"/>
  <c r="BA237" i="61" s="1"/>
  <c r="AD237" i="61"/>
  <c r="BG237" i="61" s="1"/>
  <c r="AA237" i="61"/>
  <c r="BD237" i="61" s="1"/>
  <c r="AE237" i="61"/>
  <c r="BH237" i="61" s="1"/>
  <c r="U237" i="61"/>
  <c r="AX237" i="61" s="1"/>
  <c r="AC237" i="61"/>
  <c r="BF237" i="61" s="1"/>
  <c r="AG237" i="61"/>
  <c r="BJ237" i="61" s="1"/>
  <c r="V237" i="61"/>
  <c r="AY237" i="61" s="1"/>
  <c r="AF237" i="61"/>
  <c r="BI237" i="61" s="1"/>
  <c r="Y237" i="61"/>
  <c r="BB237" i="61" s="1"/>
  <c r="S237" i="61"/>
  <c r="AV237" i="61" s="1"/>
  <c r="AD332" i="61"/>
  <c r="BG332" i="61" s="1"/>
  <c r="V332" i="61"/>
  <c r="AY332" i="61" s="1"/>
  <c r="W332" i="61"/>
  <c r="AZ332" i="61" s="1"/>
  <c r="T332" i="61"/>
  <c r="AW332" i="61" s="1"/>
  <c r="AB332" i="61"/>
  <c r="BE332" i="61" s="1"/>
  <c r="Z332" i="61"/>
  <c r="BC332" i="61" s="1"/>
  <c r="U332" i="61"/>
  <c r="AX332" i="61" s="1"/>
  <c r="AG332" i="61"/>
  <c r="BJ332" i="61" s="1"/>
  <c r="X332" i="61"/>
  <c r="BA332" i="61" s="1"/>
  <c r="Y332" i="61"/>
  <c r="BB332" i="61" s="1"/>
  <c r="AA332" i="61"/>
  <c r="BD332" i="61" s="1"/>
  <c r="AC332" i="61"/>
  <c r="BF332" i="61" s="1"/>
  <c r="AF332" i="61"/>
  <c r="BI332" i="61" s="1"/>
  <c r="AE332" i="61"/>
  <c r="BH332" i="61" s="1"/>
  <c r="S332" i="61"/>
  <c r="AV332" i="61" s="1"/>
  <c r="V192" i="61"/>
  <c r="AY192" i="61" s="1"/>
  <c r="U192" i="61"/>
  <c r="AX192" i="61" s="1"/>
  <c r="T192" i="61"/>
  <c r="AW192" i="61" s="1"/>
  <c r="AC192" i="61"/>
  <c r="BF192" i="61" s="1"/>
  <c r="AD192" i="61"/>
  <c r="BG192" i="61" s="1"/>
  <c r="Y192" i="61"/>
  <c r="BB192" i="61" s="1"/>
  <c r="W192" i="61"/>
  <c r="AZ192" i="61" s="1"/>
  <c r="AB192" i="61"/>
  <c r="BE192" i="61" s="1"/>
  <c r="AG192" i="61"/>
  <c r="BJ192" i="61" s="1"/>
  <c r="AA192" i="61"/>
  <c r="BD192" i="61" s="1"/>
  <c r="X192" i="61"/>
  <c r="BA192" i="61" s="1"/>
  <c r="Z192" i="61"/>
  <c r="BC192" i="61" s="1"/>
  <c r="AF192" i="61"/>
  <c r="BI192" i="61" s="1"/>
  <c r="AE192" i="61"/>
  <c r="BH192" i="61" s="1"/>
  <c r="S192" i="61"/>
  <c r="AV192" i="61" s="1"/>
  <c r="U117" i="61"/>
  <c r="AX117" i="61" s="1"/>
  <c r="AG117" i="61"/>
  <c r="BJ117" i="61" s="1"/>
  <c r="Z117" i="61"/>
  <c r="BC117" i="61" s="1"/>
  <c r="AF117" i="61"/>
  <c r="BI117" i="61" s="1"/>
  <c r="Y117" i="61"/>
  <c r="BB117" i="61" s="1"/>
  <c r="AB117" i="61"/>
  <c r="BE117" i="61" s="1"/>
  <c r="AE117" i="61"/>
  <c r="BH117" i="61" s="1"/>
  <c r="V117" i="61"/>
  <c r="AY117" i="61" s="1"/>
  <c r="X117" i="61"/>
  <c r="BA117" i="61" s="1"/>
  <c r="T117" i="61"/>
  <c r="AW117" i="61" s="1"/>
  <c r="AA117" i="61"/>
  <c r="BD117" i="61" s="1"/>
  <c r="AC117" i="61"/>
  <c r="BF117" i="61" s="1"/>
  <c r="W117" i="61"/>
  <c r="AZ117" i="61" s="1"/>
  <c r="AD117" i="61"/>
  <c r="BG117" i="61" s="1"/>
  <c r="S117" i="61"/>
  <c r="AV117" i="61" s="1"/>
  <c r="AF225" i="61"/>
  <c r="BI225" i="61" s="1"/>
  <c r="Y225" i="61"/>
  <c r="BB225" i="61" s="1"/>
  <c r="X225" i="61"/>
  <c r="BA225" i="61" s="1"/>
  <c r="AE225" i="61"/>
  <c r="BH225" i="61" s="1"/>
  <c r="AD225" i="61"/>
  <c r="BG225" i="61" s="1"/>
  <c r="W225" i="61"/>
  <c r="AZ225" i="61" s="1"/>
  <c r="AG225" i="61"/>
  <c r="BJ225" i="61" s="1"/>
  <c r="AC225" i="61"/>
  <c r="BF225" i="61" s="1"/>
  <c r="U225" i="61"/>
  <c r="AX225" i="61" s="1"/>
  <c r="Z225" i="61"/>
  <c r="BC225" i="61" s="1"/>
  <c r="AA225" i="61"/>
  <c r="BD225" i="61" s="1"/>
  <c r="T225" i="61"/>
  <c r="AW225" i="61" s="1"/>
  <c r="V225" i="61"/>
  <c r="AY225" i="61" s="1"/>
  <c r="AB225" i="61"/>
  <c r="BE225" i="61" s="1"/>
  <c r="S225" i="61"/>
  <c r="AV225" i="61" s="1"/>
  <c r="AA114" i="61"/>
  <c r="BD114" i="61" s="1"/>
  <c r="AD114" i="61"/>
  <c r="BG114" i="61" s="1"/>
  <c r="AC114" i="61"/>
  <c r="BF114" i="61" s="1"/>
  <c r="T114" i="61"/>
  <c r="AW114" i="61" s="1"/>
  <c r="AE114" i="61"/>
  <c r="BH114" i="61" s="1"/>
  <c r="V114" i="61"/>
  <c r="AY114" i="61" s="1"/>
  <c r="AG114" i="61"/>
  <c r="BJ114" i="61" s="1"/>
  <c r="Z114" i="61"/>
  <c r="BC114" i="61" s="1"/>
  <c r="X114" i="61"/>
  <c r="BA114" i="61" s="1"/>
  <c r="AB114" i="61"/>
  <c r="BE114" i="61" s="1"/>
  <c r="W114" i="61"/>
  <c r="AZ114" i="61" s="1"/>
  <c r="U114" i="61"/>
  <c r="AX114" i="61" s="1"/>
  <c r="Y114" i="61"/>
  <c r="BB114" i="61" s="1"/>
  <c r="AF114" i="61"/>
  <c r="BI114" i="61" s="1"/>
  <c r="S114" i="61"/>
  <c r="AV114" i="61" s="1"/>
  <c r="AB160" i="61"/>
  <c r="BE160" i="61" s="1"/>
  <c r="AE160" i="61"/>
  <c r="BH160" i="61" s="1"/>
  <c r="AC160" i="61"/>
  <c r="BF160" i="61" s="1"/>
  <c r="AD160" i="61"/>
  <c r="BG160" i="61" s="1"/>
  <c r="T160" i="61"/>
  <c r="AW160" i="61" s="1"/>
  <c r="V160" i="61"/>
  <c r="AY160" i="61" s="1"/>
  <c r="AG160" i="61"/>
  <c r="BJ160" i="61" s="1"/>
  <c r="Z160" i="61"/>
  <c r="BC160" i="61" s="1"/>
  <c r="AA160" i="61"/>
  <c r="BD160" i="61" s="1"/>
  <c r="U160" i="61"/>
  <c r="AX160" i="61" s="1"/>
  <c r="AF160" i="61"/>
  <c r="BI160" i="61" s="1"/>
  <c r="W160" i="61"/>
  <c r="AZ160" i="61" s="1"/>
  <c r="X160" i="61"/>
  <c r="BA160" i="61" s="1"/>
  <c r="Y160" i="61"/>
  <c r="BB160" i="61" s="1"/>
  <c r="S160" i="61"/>
  <c r="AV160" i="61" s="1"/>
  <c r="AG334" i="61"/>
  <c r="BJ334" i="61" s="1"/>
  <c r="AA334" i="61"/>
  <c r="BD334" i="61" s="1"/>
  <c r="W334" i="61"/>
  <c r="AZ334" i="61" s="1"/>
  <c r="Y334" i="61"/>
  <c r="BB334" i="61" s="1"/>
  <c r="V334" i="61"/>
  <c r="AY334" i="61" s="1"/>
  <c r="Z334" i="61"/>
  <c r="BC334" i="61" s="1"/>
  <c r="AC334" i="61"/>
  <c r="BF334" i="61" s="1"/>
  <c r="T334" i="61"/>
  <c r="AW334" i="61" s="1"/>
  <c r="AE334" i="61"/>
  <c r="BH334" i="61" s="1"/>
  <c r="AD334" i="61"/>
  <c r="BG334" i="61" s="1"/>
  <c r="AB334" i="61"/>
  <c r="BE334" i="61" s="1"/>
  <c r="X334" i="61"/>
  <c r="BA334" i="61" s="1"/>
  <c r="AF334" i="61"/>
  <c r="BI334" i="61" s="1"/>
  <c r="U334" i="61"/>
  <c r="AX334" i="61" s="1"/>
  <c r="S334" i="61"/>
  <c r="AV334" i="61" s="1"/>
  <c r="U186" i="61"/>
  <c r="AX186" i="61" s="1"/>
  <c r="AG186" i="61"/>
  <c r="BJ186" i="61" s="1"/>
  <c r="T186" i="61"/>
  <c r="AW186" i="61" s="1"/>
  <c r="V186" i="61"/>
  <c r="AY186" i="61" s="1"/>
  <c r="W186" i="61"/>
  <c r="AZ186" i="61" s="1"/>
  <c r="X186" i="61"/>
  <c r="BA186" i="61" s="1"/>
  <c r="AF186" i="61"/>
  <c r="BI186" i="61" s="1"/>
  <c r="AE186" i="61"/>
  <c r="BH186" i="61" s="1"/>
  <c r="Z186" i="61"/>
  <c r="BC186" i="61" s="1"/>
  <c r="AD186" i="61"/>
  <c r="BG186" i="61" s="1"/>
  <c r="AB186" i="61"/>
  <c r="BE186" i="61" s="1"/>
  <c r="Y186" i="61"/>
  <c r="BB186" i="61" s="1"/>
  <c r="AA186" i="61"/>
  <c r="BD186" i="61" s="1"/>
  <c r="AC186" i="61"/>
  <c r="BF186" i="61" s="1"/>
  <c r="S186" i="61"/>
  <c r="AV186" i="61" s="1"/>
  <c r="W170" i="61"/>
  <c r="AZ170" i="61" s="1"/>
  <c r="U170" i="61"/>
  <c r="AX170" i="61" s="1"/>
  <c r="AG170" i="61"/>
  <c r="BJ170" i="61" s="1"/>
  <c r="T170" i="61"/>
  <c r="AW170" i="61" s="1"/>
  <c r="AA170" i="61"/>
  <c r="BD170" i="61" s="1"/>
  <c r="Y170" i="61"/>
  <c r="BB170" i="61" s="1"/>
  <c r="AC170" i="61"/>
  <c r="BF170" i="61" s="1"/>
  <c r="X170" i="61"/>
  <c r="BA170" i="61" s="1"/>
  <c r="AD170" i="61"/>
  <c r="BG170" i="61" s="1"/>
  <c r="V170" i="61"/>
  <c r="AY170" i="61" s="1"/>
  <c r="AE170" i="61"/>
  <c r="BH170" i="61" s="1"/>
  <c r="AB170" i="61"/>
  <c r="BE170" i="61" s="1"/>
  <c r="AF170" i="61"/>
  <c r="BI170" i="61" s="1"/>
  <c r="Z170" i="61"/>
  <c r="BC170" i="61" s="1"/>
  <c r="S170" i="61"/>
  <c r="AV170" i="61" s="1"/>
  <c r="AC231" i="61"/>
  <c r="BF231" i="61" s="1"/>
  <c r="V231" i="61"/>
  <c r="AY231" i="61" s="1"/>
  <c r="AB231" i="61"/>
  <c r="BE231" i="61" s="1"/>
  <c r="AE231" i="61"/>
  <c r="BH231" i="61" s="1"/>
  <c r="W231" i="61"/>
  <c r="AZ231" i="61" s="1"/>
  <c r="AG231" i="61"/>
  <c r="BJ231" i="61" s="1"/>
  <c r="AD231" i="61"/>
  <c r="BG231" i="61" s="1"/>
  <c r="AF231" i="61"/>
  <c r="BI231" i="61" s="1"/>
  <c r="Y231" i="61"/>
  <c r="BB231" i="61" s="1"/>
  <c r="Z231" i="61"/>
  <c r="BC231" i="61" s="1"/>
  <c r="X231" i="61"/>
  <c r="BA231" i="61" s="1"/>
  <c r="T231" i="61"/>
  <c r="AW231" i="61" s="1"/>
  <c r="U231" i="61"/>
  <c r="AX231" i="61" s="1"/>
  <c r="AA231" i="61"/>
  <c r="BD231" i="61" s="1"/>
  <c r="S231" i="61"/>
  <c r="AV231" i="61" s="1"/>
  <c r="Z333" i="61"/>
  <c r="BC333" i="61" s="1"/>
  <c r="AG333" i="61"/>
  <c r="BJ333" i="61" s="1"/>
  <c r="AF333" i="61"/>
  <c r="BI333" i="61" s="1"/>
  <c r="X333" i="61"/>
  <c r="BA333" i="61" s="1"/>
  <c r="T333" i="61"/>
  <c r="AW333" i="61" s="1"/>
  <c r="AA333" i="61"/>
  <c r="BD333" i="61" s="1"/>
  <c r="AE333" i="61"/>
  <c r="BH333" i="61" s="1"/>
  <c r="U333" i="61"/>
  <c r="AX333" i="61" s="1"/>
  <c r="AC333" i="61"/>
  <c r="BF333" i="61" s="1"/>
  <c r="Y333" i="61"/>
  <c r="BB333" i="61" s="1"/>
  <c r="AB333" i="61"/>
  <c r="BE333" i="61" s="1"/>
  <c r="W333" i="61"/>
  <c r="AZ333" i="61" s="1"/>
  <c r="V333" i="61"/>
  <c r="AY333" i="61" s="1"/>
  <c r="AD333" i="61"/>
  <c r="BG333" i="61" s="1"/>
  <c r="S333" i="61"/>
  <c r="AV333" i="61" s="1"/>
  <c r="AA196" i="61"/>
  <c r="BD196" i="61" s="1"/>
  <c r="X196" i="61"/>
  <c r="BA196" i="61" s="1"/>
  <c r="Y196" i="61"/>
  <c r="BB196" i="61" s="1"/>
  <c r="T196" i="61"/>
  <c r="AW196" i="61" s="1"/>
  <c r="U196" i="61"/>
  <c r="AX196" i="61" s="1"/>
  <c r="AG196" i="61"/>
  <c r="BJ196" i="61" s="1"/>
  <c r="V196" i="61"/>
  <c r="AY196" i="61" s="1"/>
  <c r="AC196" i="61"/>
  <c r="BF196" i="61" s="1"/>
  <c r="W196" i="61"/>
  <c r="AZ196" i="61" s="1"/>
  <c r="AF196" i="61"/>
  <c r="BI196" i="61" s="1"/>
  <c r="Z196" i="61"/>
  <c r="BC196" i="61" s="1"/>
  <c r="AB196" i="61"/>
  <c r="BE196" i="61" s="1"/>
  <c r="AE196" i="61"/>
  <c r="BH196" i="61" s="1"/>
  <c r="AD196" i="61"/>
  <c r="BG196" i="61" s="1"/>
  <c r="S196" i="61"/>
  <c r="AV196" i="61" s="1"/>
  <c r="X84" i="61"/>
  <c r="BA84" i="61" s="1"/>
  <c r="W84" i="61"/>
  <c r="AZ84" i="61" s="1"/>
  <c r="AC84" i="61"/>
  <c r="BF84" i="61" s="1"/>
  <c r="AE84" i="61"/>
  <c r="BH84" i="61" s="1"/>
  <c r="AD84" i="61"/>
  <c r="BG84" i="61" s="1"/>
  <c r="Z84" i="61"/>
  <c r="BC84" i="61" s="1"/>
  <c r="AG84" i="61"/>
  <c r="BJ84" i="61" s="1"/>
  <c r="AB84" i="61"/>
  <c r="BE84" i="61" s="1"/>
  <c r="T84" i="61"/>
  <c r="AW84" i="61" s="1"/>
  <c r="AA84" i="61"/>
  <c r="BD84" i="61" s="1"/>
  <c r="V84" i="61"/>
  <c r="AY84" i="61" s="1"/>
  <c r="AF84" i="61"/>
  <c r="BI84" i="61" s="1"/>
  <c r="Y84" i="61"/>
  <c r="BB84" i="61" s="1"/>
  <c r="U84" i="61"/>
  <c r="AX84" i="61" s="1"/>
  <c r="S84" i="61"/>
  <c r="AV84" i="61" s="1"/>
  <c r="AF43" i="61"/>
  <c r="BI43" i="61" s="1"/>
  <c r="U43" i="61"/>
  <c r="AX43" i="61" s="1"/>
  <c r="V43" i="61"/>
  <c r="AY43" i="61" s="1"/>
  <c r="T43" i="61"/>
  <c r="AW43" i="61" s="1"/>
  <c r="X43" i="61"/>
  <c r="BA43" i="61" s="1"/>
  <c r="AA43" i="61"/>
  <c r="BD43" i="61" s="1"/>
  <c r="AC43" i="61"/>
  <c r="BF43" i="61" s="1"/>
  <c r="AG43" i="61"/>
  <c r="BJ43" i="61" s="1"/>
  <c r="Z43" i="61"/>
  <c r="BC43" i="61" s="1"/>
  <c r="Y43" i="61"/>
  <c r="BB43" i="61" s="1"/>
  <c r="W43" i="61"/>
  <c r="AZ43" i="61" s="1"/>
  <c r="AB43" i="61"/>
  <c r="BE43" i="61" s="1"/>
  <c r="AD43" i="61"/>
  <c r="BG43" i="61" s="1"/>
  <c r="AE43" i="61"/>
  <c r="BH43" i="61" s="1"/>
  <c r="S43" i="61"/>
  <c r="AV43" i="61" s="1"/>
  <c r="X96" i="61"/>
  <c r="BA96" i="61" s="1"/>
  <c r="T96" i="61"/>
  <c r="AW96" i="61" s="1"/>
  <c r="AG96" i="61"/>
  <c r="BJ96" i="61" s="1"/>
  <c r="Y96" i="61"/>
  <c r="BB96" i="61" s="1"/>
  <c r="AE96" i="61"/>
  <c r="BH96" i="61" s="1"/>
  <c r="AA96" i="61"/>
  <c r="BD96" i="61" s="1"/>
  <c r="AF96" i="61"/>
  <c r="BI96" i="61" s="1"/>
  <c r="V96" i="61"/>
  <c r="AY96" i="61" s="1"/>
  <c r="Z96" i="61"/>
  <c r="BC96" i="61" s="1"/>
  <c r="AC96" i="61"/>
  <c r="BF96" i="61" s="1"/>
  <c r="U96" i="61"/>
  <c r="AX96" i="61" s="1"/>
  <c r="AD96" i="61"/>
  <c r="BG96" i="61" s="1"/>
  <c r="AB96" i="61"/>
  <c r="BE96" i="61" s="1"/>
  <c r="W96" i="61"/>
  <c r="AZ96" i="61" s="1"/>
  <c r="S96" i="61"/>
  <c r="AV96" i="61" s="1"/>
  <c r="AF119" i="61"/>
  <c r="BI119" i="61" s="1"/>
  <c r="T119" i="61"/>
  <c r="AW119" i="61" s="1"/>
  <c r="AD119" i="61"/>
  <c r="BG119" i="61" s="1"/>
  <c r="Y119" i="61"/>
  <c r="BB119" i="61" s="1"/>
  <c r="AC119" i="61"/>
  <c r="BF119" i="61" s="1"/>
  <c r="AE119" i="61"/>
  <c r="BH119" i="61" s="1"/>
  <c r="AB119" i="61"/>
  <c r="BE119" i="61" s="1"/>
  <c r="Z119" i="61"/>
  <c r="BC119" i="61" s="1"/>
  <c r="X119" i="61"/>
  <c r="BA119" i="61" s="1"/>
  <c r="U119" i="61"/>
  <c r="AX119" i="61" s="1"/>
  <c r="AA119" i="61"/>
  <c r="BD119" i="61" s="1"/>
  <c r="AG119" i="61"/>
  <c r="BJ119" i="61" s="1"/>
  <c r="W119" i="61"/>
  <c r="AZ119" i="61" s="1"/>
  <c r="V119" i="61"/>
  <c r="AY119" i="61" s="1"/>
  <c r="S119" i="61"/>
  <c r="AV119" i="61" s="1"/>
  <c r="Y240" i="61"/>
  <c r="BB240" i="61" s="1"/>
  <c r="X240" i="61"/>
  <c r="BA240" i="61" s="1"/>
  <c r="Z240" i="61"/>
  <c r="BC240" i="61" s="1"/>
  <c r="AB240" i="61"/>
  <c r="BE240" i="61" s="1"/>
  <c r="W240" i="61"/>
  <c r="AZ240" i="61" s="1"/>
  <c r="AG240" i="61"/>
  <c r="BJ240" i="61" s="1"/>
  <c r="AA240" i="61"/>
  <c r="BD240" i="61" s="1"/>
  <c r="V240" i="61"/>
  <c r="AY240" i="61" s="1"/>
  <c r="U240" i="61"/>
  <c r="AX240" i="61" s="1"/>
  <c r="AC240" i="61"/>
  <c r="BF240" i="61" s="1"/>
  <c r="AE240" i="61"/>
  <c r="BH240" i="61" s="1"/>
  <c r="T240" i="61"/>
  <c r="AW240" i="61" s="1"/>
  <c r="AD240" i="61"/>
  <c r="BG240" i="61" s="1"/>
  <c r="AF240" i="61"/>
  <c r="BI240" i="61" s="1"/>
  <c r="S240" i="61"/>
  <c r="AV240" i="61" s="1"/>
  <c r="AG76" i="61"/>
  <c r="BJ76" i="61" s="1"/>
  <c r="AB76" i="61"/>
  <c r="BE76" i="61" s="1"/>
  <c r="Y76" i="61"/>
  <c r="BB76" i="61" s="1"/>
  <c r="AE76" i="61"/>
  <c r="BH76" i="61" s="1"/>
  <c r="U76" i="61"/>
  <c r="AX76" i="61" s="1"/>
  <c r="T76" i="61"/>
  <c r="AW76" i="61" s="1"/>
  <c r="AD76" i="61"/>
  <c r="BG76" i="61" s="1"/>
  <c r="W76" i="61"/>
  <c r="AZ76" i="61" s="1"/>
  <c r="AF76" i="61"/>
  <c r="BI76" i="61" s="1"/>
  <c r="AC76" i="61"/>
  <c r="BF76" i="61" s="1"/>
  <c r="X76" i="61"/>
  <c r="BA76" i="61" s="1"/>
  <c r="AA76" i="61"/>
  <c r="BD76" i="61" s="1"/>
  <c r="V76" i="61"/>
  <c r="AY76" i="61" s="1"/>
  <c r="Z76" i="61"/>
  <c r="BC76" i="61" s="1"/>
  <c r="S76" i="61"/>
  <c r="AV76" i="61" s="1"/>
  <c r="AD41" i="61"/>
  <c r="BG41" i="61" s="1"/>
  <c r="AA41" i="61"/>
  <c r="BD41" i="61" s="1"/>
  <c r="AE41" i="61"/>
  <c r="BH41" i="61" s="1"/>
  <c r="Z41" i="61"/>
  <c r="BC41" i="61" s="1"/>
  <c r="Y41" i="61"/>
  <c r="BB41" i="61" s="1"/>
  <c r="AC41" i="61"/>
  <c r="BF41" i="61" s="1"/>
  <c r="W41" i="61"/>
  <c r="AZ41" i="61" s="1"/>
  <c r="AG41" i="61"/>
  <c r="BJ41" i="61" s="1"/>
  <c r="T41" i="61"/>
  <c r="AW41" i="61" s="1"/>
  <c r="AF41" i="61"/>
  <c r="BI41" i="61" s="1"/>
  <c r="X41" i="61"/>
  <c r="BA41" i="61" s="1"/>
  <c r="V41" i="61"/>
  <c r="AY41" i="61" s="1"/>
  <c r="AB41" i="61"/>
  <c r="BE41" i="61" s="1"/>
  <c r="U41" i="61"/>
  <c r="AX41" i="61" s="1"/>
  <c r="S41" i="61"/>
  <c r="AV41" i="61" s="1"/>
  <c r="Y245" i="61"/>
  <c r="BB245" i="61" s="1"/>
  <c r="AF245" i="61"/>
  <c r="BI245" i="61" s="1"/>
  <c r="X245" i="61"/>
  <c r="BA245" i="61" s="1"/>
  <c r="AA245" i="61"/>
  <c r="BD245" i="61" s="1"/>
  <c r="AC245" i="61"/>
  <c r="BF245" i="61" s="1"/>
  <c r="V245" i="61"/>
  <c r="AY245" i="61" s="1"/>
  <c r="AD245" i="61"/>
  <c r="BG245" i="61" s="1"/>
  <c r="W245" i="61"/>
  <c r="AZ245" i="61" s="1"/>
  <c r="AB245" i="61"/>
  <c r="BE245" i="61" s="1"/>
  <c r="AG245" i="61"/>
  <c r="BJ245" i="61" s="1"/>
  <c r="T245" i="61"/>
  <c r="AW245" i="61" s="1"/>
  <c r="AE245" i="61"/>
  <c r="BH245" i="61" s="1"/>
  <c r="U245" i="61"/>
  <c r="AX245" i="61" s="1"/>
  <c r="Z245" i="61"/>
  <c r="BC245" i="61" s="1"/>
  <c r="S245" i="61"/>
  <c r="AV245" i="61" s="1"/>
  <c r="V79" i="61"/>
  <c r="AY79" i="61" s="1"/>
  <c r="X79" i="61"/>
  <c r="BA79" i="61" s="1"/>
  <c r="U79" i="61"/>
  <c r="AX79" i="61" s="1"/>
  <c r="AB79" i="61"/>
  <c r="BE79" i="61" s="1"/>
  <c r="W79" i="61"/>
  <c r="AZ79" i="61" s="1"/>
  <c r="Y79" i="61"/>
  <c r="BB79" i="61" s="1"/>
  <c r="AC79" i="61"/>
  <c r="BF79" i="61" s="1"/>
  <c r="AD79" i="61"/>
  <c r="BG79" i="61" s="1"/>
  <c r="AF79" i="61"/>
  <c r="BI79" i="61" s="1"/>
  <c r="Z79" i="61"/>
  <c r="BC79" i="61" s="1"/>
  <c r="T79" i="61"/>
  <c r="AW79" i="61" s="1"/>
  <c r="AE79" i="61"/>
  <c r="BH79" i="61" s="1"/>
  <c r="AG79" i="61"/>
  <c r="BJ79" i="61" s="1"/>
  <c r="AA79" i="61"/>
  <c r="BD79" i="61" s="1"/>
  <c r="S79" i="61"/>
  <c r="AV79" i="61" s="1"/>
  <c r="W125" i="61"/>
  <c r="AZ125" i="61" s="1"/>
  <c r="AE125" i="61"/>
  <c r="BH125" i="61" s="1"/>
  <c r="AG125" i="61"/>
  <c r="BJ125" i="61" s="1"/>
  <c r="U125" i="61"/>
  <c r="AX125" i="61" s="1"/>
  <c r="Y125" i="61"/>
  <c r="BB125" i="61" s="1"/>
  <c r="AD125" i="61"/>
  <c r="BG125" i="61" s="1"/>
  <c r="T125" i="61"/>
  <c r="AW125" i="61" s="1"/>
  <c r="X125" i="61"/>
  <c r="BA125" i="61" s="1"/>
  <c r="AB125" i="61"/>
  <c r="BE125" i="61" s="1"/>
  <c r="AC125" i="61"/>
  <c r="BF125" i="61" s="1"/>
  <c r="AA125" i="61"/>
  <c r="BD125" i="61" s="1"/>
  <c r="AF125" i="61"/>
  <c r="BI125" i="61" s="1"/>
  <c r="Z125" i="61"/>
  <c r="BC125" i="61" s="1"/>
  <c r="V125" i="61"/>
  <c r="AY125" i="61" s="1"/>
  <c r="S125" i="61"/>
  <c r="AV125" i="61" s="1"/>
  <c r="U262" i="61"/>
  <c r="AX262" i="61" s="1"/>
  <c r="AE262" i="61"/>
  <c r="BH262" i="61" s="1"/>
  <c r="T262" i="61"/>
  <c r="AW262" i="61" s="1"/>
  <c r="AG262" i="61"/>
  <c r="BJ262" i="61" s="1"/>
  <c r="AB262" i="61"/>
  <c r="BE262" i="61" s="1"/>
  <c r="AC262" i="61"/>
  <c r="BF262" i="61" s="1"/>
  <c r="AD262" i="61"/>
  <c r="BG262" i="61" s="1"/>
  <c r="W262" i="61"/>
  <c r="AZ262" i="61" s="1"/>
  <c r="AF262" i="61"/>
  <c r="BI262" i="61" s="1"/>
  <c r="Y262" i="61"/>
  <c r="BB262" i="61" s="1"/>
  <c r="AA262" i="61"/>
  <c r="BD262" i="61" s="1"/>
  <c r="Z262" i="61"/>
  <c r="BC262" i="61" s="1"/>
  <c r="V262" i="61"/>
  <c r="AY262" i="61" s="1"/>
  <c r="X262" i="61"/>
  <c r="BA262" i="61" s="1"/>
  <c r="S262" i="61"/>
  <c r="AV262" i="61" s="1"/>
  <c r="X100" i="61"/>
  <c r="BA100" i="61" s="1"/>
  <c r="AE100" i="61"/>
  <c r="BH100" i="61" s="1"/>
  <c r="U100" i="61"/>
  <c r="AX100" i="61" s="1"/>
  <c r="V100" i="61"/>
  <c r="AY100" i="61" s="1"/>
  <c r="AC100" i="61"/>
  <c r="BF100" i="61" s="1"/>
  <c r="Y100" i="61"/>
  <c r="BB100" i="61" s="1"/>
  <c r="AB100" i="61"/>
  <c r="BE100" i="61" s="1"/>
  <c r="W100" i="61"/>
  <c r="AZ100" i="61" s="1"/>
  <c r="AG100" i="61"/>
  <c r="BJ100" i="61" s="1"/>
  <c r="T100" i="61"/>
  <c r="AW100" i="61" s="1"/>
  <c r="AD100" i="61"/>
  <c r="BG100" i="61" s="1"/>
  <c r="AF100" i="61"/>
  <c r="BI100" i="61" s="1"/>
  <c r="Z100" i="61"/>
  <c r="BC100" i="61" s="1"/>
  <c r="AA100" i="61"/>
  <c r="BD100" i="61" s="1"/>
  <c r="S100" i="61"/>
  <c r="AV100" i="61" s="1"/>
  <c r="X255" i="61"/>
  <c r="BA255" i="61" s="1"/>
  <c r="AC255" i="61"/>
  <c r="BF255" i="61" s="1"/>
  <c r="T255" i="61"/>
  <c r="AW255" i="61" s="1"/>
  <c r="Y255" i="61"/>
  <c r="BB255" i="61" s="1"/>
  <c r="AG255" i="61"/>
  <c r="BJ255" i="61" s="1"/>
  <c r="AA255" i="61"/>
  <c r="BD255" i="61" s="1"/>
  <c r="AD255" i="61"/>
  <c r="BG255" i="61" s="1"/>
  <c r="Z255" i="61"/>
  <c r="BC255" i="61" s="1"/>
  <c r="W255" i="61"/>
  <c r="AZ255" i="61" s="1"/>
  <c r="AB255" i="61"/>
  <c r="BE255" i="61" s="1"/>
  <c r="AE255" i="61"/>
  <c r="BH255" i="61" s="1"/>
  <c r="U255" i="61"/>
  <c r="AX255" i="61" s="1"/>
  <c r="AF255" i="61"/>
  <c r="BI255" i="61" s="1"/>
  <c r="V255" i="61"/>
  <c r="AY255" i="61" s="1"/>
  <c r="S255" i="61"/>
  <c r="AV255" i="61" s="1"/>
  <c r="AE89" i="61"/>
  <c r="BH89" i="61" s="1"/>
  <c r="Y89" i="61"/>
  <c r="BB89" i="61" s="1"/>
  <c r="U89" i="61"/>
  <c r="AX89" i="61" s="1"/>
  <c r="AG89" i="61"/>
  <c r="BJ89" i="61" s="1"/>
  <c r="AF89" i="61"/>
  <c r="BI89" i="61" s="1"/>
  <c r="V89" i="61"/>
  <c r="AY89" i="61" s="1"/>
  <c r="W89" i="61"/>
  <c r="AZ89" i="61" s="1"/>
  <c r="X89" i="61"/>
  <c r="BA89" i="61" s="1"/>
  <c r="Z89" i="61"/>
  <c r="BC89" i="61" s="1"/>
  <c r="AD89" i="61"/>
  <c r="BG89" i="61" s="1"/>
  <c r="AB89" i="61"/>
  <c r="BE89" i="61" s="1"/>
  <c r="AA89" i="61"/>
  <c r="BD89" i="61" s="1"/>
  <c r="AC89" i="61"/>
  <c r="BF89" i="61" s="1"/>
  <c r="T89" i="61"/>
  <c r="AW89" i="61" s="1"/>
  <c r="S89" i="61"/>
  <c r="AV89" i="61" s="1"/>
  <c r="AF21" i="61"/>
  <c r="BI21" i="61" s="1"/>
  <c r="V21" i="61"/>
  <c r="AY21" i="61" s="1"/>
  <c r="AB21" i="61"/>
  <c r="BE21" i="61" s="1"/>
  <c r="Z21" i="61"/>
  <c r="BC21" i="61" s="1"/>
  <c r="AC21" i="61"/>
  <c r="BF21" i="61" s="1"/>
  <c r="U21" i="61"/>
  <c r="AX21" i="61" s="1"/>
  <c r="AE21" i="61"/>
  <c r="BH21" i="61" s="1"/>
  <c r="W21" i="61"/>
  <c r="AZ21" i="61" s="1"/>
  <c r="AA21" i="61"/>
  <c r="BD21" i="61" s="1"/>
  <c r="T21" i="61"/>
  <c r="AW21" i="61" s="1"/>
  <c r="AG21" i="61"/>
  <c r="BJ21" i="61" s="1"/>
  <c r="X21" i="61"/>
  <c r="BA21" i="61" s="1"/>
  <c r="AD21" i="61"/>
  <c r="BG21" i="61" s="1"/>
  <c r="Y21" i="61"/>
  <c r="BB21" i="61" s="1"/>
  <c r="S21" i="61"/>
  <c r="AV21" i="61" s="1"/>
  <c r="AB295" i="61"/>
  <c r="BE295" i="61" s="1"/>
  <c r="AF295" i="61"/>
  <c r="BI295" i="61" s="1"/>
  <c r="AC295" i="61"/>
  <c r="BF295" i="61" s="1"/>
  <c r="T295" i="61"/>
  <c r="AW295" i="61" s="1"/>
  <c r="AD295" i="61"/>
  <c r="BG295" i="61" s="1"/>
  <c r="AE295" i="61"/>
  <c r="BH295" i="61" s="1"/>
  <c r="U295" i="61"/>
  <c r="AX295" i="61" s="1"/>
  <c r="AG295" i="61"/>
  <c r="BJ295" i="61" s="1"/>
  <c r="AA295" i="61"/>
  <c r="BD295" i="61" s="1"/>
  <c r="Z295" i="61"/>
  <c r="BC295" i="61" s="1"/>
  <c r="V295" i="61"/>
  <c r="AY295" i="61" s="1"/>
  <c r="W295" i="61"/>
  <c r="AZ295" i="61" s="1"/>
  <c r="X295" i="61"/>
  <c r="BA295" i="61" s="1"/>
  <c r="Y295" i="61"/>
  <c r="BB295" i="61" s="1"/>
  <c r="S295" i="61"/>
  <c r="AV295" i="61" s="1"/>
  <c r="U22" i="61"/>
  <c r="AX22" i="61" s="1"/>
  <c r="AE22" i="61"/>
  <c r="BH22" i="61" s="1"/>
  <c r="Y22" i="61"/>
  <c r="BB22" i="61" s="1"/>
  <c r="W22" i="61"/>
  <c r="AZ22" i="61" s="1"/>
  <c r="AB22" i="61"/>
  <c r="BE22" i="61" s="1"/>
  <c r="X22" i="61"/>
  <c r="BA22" i="61" s="1"/>
  <c r="T22" i="61"/>
  <c r="AW22" i="61" s="1"/>
  <c r="Z22" i="61"/>
  <c r="BC22" i="61" s="1"/>
  <c r="AD22" i="61"/>
  <c r="BG22" i="61" s="1"/>
  <c r="AC22" i="61"/>
  <c r="BF22" i="61" s="1"/>
  <c r="AG22" i="61"/>
  <c r="BJ22" i="61" s="1"/>
  <c r="AF22" i="61"/>
  <c r="BI22" i="61" s="1"/>
  <c r="V22" i="61"/>
  <c r="AY22" i="61" s="1"/>
  <c r="AA22" i="61"/>
  <c r="BD22" i="61" s="1"/>
  <c r="S22" i="61"/>
  <c r="AV22" i="61" s="1"/>
  <c r="W101" i="61"/>
  <c r="AZ101" i="61" s="1"/>
  <c r="Z101" i="61"/>
  <c r="BC101" i="61" s="1"/>
  <c r="AF101" i="61"/>
  <c r="BI101" i="61" s="1"/>
  <c r="Y101" i="61"/>
  <c r="BB101" i="61" s="1"/>
  <c r="AA101" i="61"/>
  <c r="BD101" i="61" s="1"/>
  <c r="T101" i="61"/>
  <c r="AW101" i="61" s="1"/>
  <c r="X101" i="61"/>
  <c r="BA101" i="61" s="1"/>
  <c r="AE101" i="61"/>
  <c r="BH101" i="61" s="1"/>
  <c r="AC101" i="61"/>
  <c r="BF101" i="61" s="1"/>
  <c r="AG101" i="61"/>
  <c r="BJ101" i="61" s="1"/>
  <c r="V101" i="61"/>
  <c r="AY101" i="61" s="1"/>
  <c r="AD101" i="61"/>
  <c r="BG101" i="61" s="1"/>
  <c r="AB101" i="61"/>
  <c r="BE101" i="61" s="1"/>
  <c r="U101" i="61"/>
  <c r="AX101" i="61" s="1"/>
  <c r="S101" i="61"/>
  <c r="AV101" i="61" s="1"/>
  <c r="Y266" i="61"/>
  <c r="BB266" i="61" s="1"/>
  <c r="U266" i="61"/>
  <c r="AX266" i="61" s="1"/>
  <c r="Z266" i="61"/>
  <c r="BC266" i="61" s="1"/>
  <c r="T266" i="61"/>
  <c r="AW266" i="61" s="1"/>
  <c r="V266" i="61"/>
  <c r="AY266" i="61" s="1"/>
  <c r="W266" i="61"/>
  <c r="AZ266" i="61" s="1"/>
  <c r="AE266" i="61"/>
  <c r="BH266" i="61" s="1"/>
  <c r="X266" i="61"/>
  <c r="BA266" i="61" s="1"/>
  <c r="AB266" i="61"/>
  <c r="BE266" i="61" s="1"/>
  <c r="AG266" i="61"/>
  <c r="BJ266" i="61" s="1"/>
  <c r="AD266" i="61"/>
  <c r="BG266" i="61" s="1"/>
  <c r="AF266" i="61"/>
  <c r="BI266" i="61" s="1"/>
  <c r="AA266" i="61"/>
  <c r="BD266" i="61" s="1"/>
  <c r="AC266" i="61"/>
  <c r="BF266" i="61" s="1"/>
  <c r="S266" i="61"/>
  <c r="AV266" i="61" s="1"/>
  <c r="W169" i="61"/>
  <c r="AZ169" i="61" s="1"/>
  <c r="AA169" i="61"/>
  <c r="BD169" i="61" s="1"/>
  <c r="X169" i="61"/>
  <c r="BA169" i="61" s="1"/>
  <c r="AE169" i="61"/>
  <c r="BH169" i="61" s="1"/>
  <c r="AG169" i="61"/>
  <c r="BJ169" i="61" s="1"/>
  <c r="AD169" i="61"/>
  <c r="BG169" i="61" s="1"/>
  <c r="AC169" i="61"/>
  <c r="BF169" i="61" s="1"/>
  <c r="AF169" i="61"/>
  <c r="BI169" i="61" s="1"/>
  <c r="T169" i="61"/>
  <c r="AW169" i="61" s="1"/>
  <c r="Z169" i="61"/>
  <c r="BC169" i="61" s="1"/>
  <c r="U169" i="61"/>
  <c r="AX169" i="61" s="1"/>
  <c r="Y169" i="61"/>
  <c r="BB169" i="61" s="1"/>
  <c r="AB169" i="61"/>
  <c r="BE169" i="61" s="1"/>
  <c r="V169" i="61"/>
  <c r="AY169" i="61" s="1"/>
  <c r="S169" i="61"/>
  <c r="AV169" i="61" s="1"/>
  <c r="AD94" i="61"/>
  <c r="BG94" i="61" s="1"/>
  <c r="AG94" i="61"/>
  <c r="BJ94" i="61" s="1"/>
  <c r="T94" i="61"/>
  <c r="AW94" i="61" s="1"/>
  <c r="AE94" i="61"/>
  <c r="BH94" i="61" s="1"/>
  <c r="AF94" i="61"/>
  <c r="BI94" i="61" s="1"/>
  <c r="W94" i="61"/>
  <c r="AZ94" i="61" s="1"/>
  <c r="U94" i="61"/>
  <c r="AX94" i="61" s="1"/>
  <c r="X94" i="61"/>
  <c r="BA94" i="61" s="1"/>
  <c r="AA94" i="61"/>
  <c r="BD94" i="61" s="1"/>
  <c r="V94" i="61"/>
  <c r="AY94" i="61" s="1"/>
  <c r="Z94" i="61"/>
  <c r="BC94" i="61" s="1"/>
  <c r="AC94" i="61"/>
  <c r="BF94" i="61" s="1"/>
  <c r="AB94" i="61"/>
  <c r="BE94" i="61" s="1"/>
  <c r="Y94" i="61"/>
  <c r="BB94" i="61" s="1"/>
  <c r="S94" i="61"/>
  <c r="AV94" i="61" s="1"/>
  <c r="W220" i="61"/>
  <c r="AZ220" i="61" s="1"/>
  <c r="X220" i="61"/>
  <c r="BA220" i="61" s="1"/>
  <c r="Y220" i="61"/>
  <c r="BB220" i="61" s="1"/>
  <c r="Z220" i="61"/>
  <c r="BC220" i="61" s="1"/>
  <c r="AG220" i="61"/>
  <c r="BJ220" i="61" s="1"/>
  <c r="AA220" i="61"/>
  <c r="BD220" i="61" s="1"/>
  <c r="AE220" i="61"/>
  <c r="BH220" i="61" s="1"/>
  <c r="AF220" i="61"/>
  <c r="BI220" i="61" s="1"/>
  <c r="AD220" i="61"/>
  <c r="BG220" i="61" s="1"/>
  <c r="V220" i="61"/>
  <c r="AY220" i="61" s="1"/>
  <c r="AB220" i="61"/>
  <c r="BE220" i="61" s="1"/>
  <c r="U220" i="61"/>
  <c r="AX220" i="61" s="1"/>
  <c r="AC220" i="61"/>
  <c r="BF220" i="61" s="1"/>
  <c r="T220" i="61"/>
  <c r="AW220" i="61" s="1"/>
  <c r="S220" i="61"/>
  <c r="AV220" i="61" s="1"/>
  <c r="X187" i="61"/>
  <c r="BA187" i="61" s="1"/>
  <c r="AB187" i="61"/>
  <c r="BE187" i="61" s="1"/>
  <c r="AD187" i="61"/>
  <c r="BG187" i="61" s="1"/>
  <c r="AA187" i="61"/>
  <c r="BD187" i="61" s="1"/>
  <c r="AC187" i="61"/>
  <c r="BF187" i="61" s="1"/>
  <c r="AG187" i="61"/>
  <c r="BJ187" i="61" s="1"/>
  <c r="W187" i="61"/>
  <c r="AZ187" i="61" s="1"/>
  <c r="T187" i="61"/>
  <c r="AW187" i="61" s="1"/>
  <c r="Y187" i="61"/>
  <c r="BB187" i="61" s="1"/>
  <c r="U187" i="61"/>
  <c r="AX187" i="61" s="1"/>
  <c r="Z187" i="61"/>
  <c r="BC187" i="61" s="1"/>
  <c r="AF187" i="61"/>
  <c r="BI187" i="61" s="1"/>
  <c r="AE187" i="61"/>
  <c r="BH187" i="61" s="1"/>
  <c r="V187" i="61"/>
  <c r="AY187" i="61" s="1"/>
  <c r="S187" i="61"/>
  <c r="AV187" i="61" s="1"/>
  <c r="AD257" i="61"/>
  <c r="BG257" i="61" s="1"/>
  <c r="AC257" i="61"/>
  <c r="BF257" i="61" s="1"/>
  <c r="AG257" i="61"/>
  <c r="BJ257" i="61" s="1"/>
  <c r="U257" i="61"/>
  <c r="AX257" i="61" s="1"/>
  <c r="AE257" i="61"/>
  <c r="BH257" i="61" s="1"/>
  <c r="AB257" i="61"/>
  <c r="BE257" i="61" s="1"/>
  <c r="AA257" i="61"/>
  <c r="BD257" i="61" s="1"/>
  <c r="Z257" i="61"/>
  <c r="BC257" i="61" s="1"/>
  <c r="Y257" i="61"/>
  <c r="BB257" i="61" s="1"/>
  <c r="W257" i="61"/>
  <c r="AZ257" i="61" s="1"/>
  <c r="T257" i="61"/>
  <c r="AW257" i="61" s="1"/>
  <c r="AF257" i="61"/>
  <c r="BI257" i="61" s="1"/>
  <c r="X257" i="61"/>
  <c r="BA257" i="61" s="1"/>
  <c r="V257" i="61"/>
  <c r="AY257" i="61" s="1"/>
  <c r="S257" i="61"/>
  <c r="AV257" i="61" s="1"/>
  <c r="AG157" i="61"/>
  <c r="BJ157" i="61" s="1"/>
  <c r="AA157" i="61"/>
  <c r="BD157" i="61" s="1"/>
  <c r="AD157" i="61"/>
  <c r="BG157" i="61" s="1"/>
  <c r="W157" i="61"/>
  <c r="AZ157" i="61" s="1"/>
  <c r="Z157" i="61"/>
  <c r="BC157" i="61" s="1"/>
  <c r="AF157" i="61"/>
  <c r="BI157" i="61" s="1"/>
  <c r="Y157" i="61"/>
  <c r="BB157" i="61" s="1"/>
  <c r="AE157" i="61"/>
  <c r="BH157" i="61" s="1"/>
  <c r="X157" i="61"/>
  <c r="BA157" i="61" s="1"/>
  <c r="AB157" i="61"/>
  <c r="BE157" i="61" s="1"/>
  <c r="U157" i="61"/>
  <c r="AX157" i="61" s="1"/>
  <c r="AC157" i="61"/>
  <c r="BF157" i="61" s="1"/>
  <c r="T157" i="61"/>
  <c r="AW157" i="61" s="1"/>
  <c r="V157" i="61"/>
  <c r="AY157" i="61" s="1"/>
  <c r="S157" i="61"/>
  <c r="AV157" i="61" s="1"/>
  <c r="T320" i="61"/>
  <c r="AW320" i="61" s="1"/>
  <c r="Y320" i="61"/>
  <c r="BB320" i="61" s="1"/>
  <c r="AD320" i="61"/>
  <c r="BG320" i="61" s="1"/>
  <c r="U320" i="61"/>
  <c r="AX320" i="61" s="1"/>
  <c r="X320" i="61"/>
  <c r="BA320" i="61" s="1"/>
  <c r="V320" i="61"/>
  <c r="AY320" i="61" s="1"/>
  <c r="AA320" i="61"/>
  <c r="BD320" i="61" s="1"/>
  <c r="Z320" i="61"/>
  <c r="BC320" i="61" s="1"/>
  <c r="AG320" i="61"/>
  <c r="BJ320" i="61" s="1"/>
  <c r="W320" i="61"/>
  <c r="AZ320" i="61" s="1"/>
  <c r="AC320" i="61"/>
  <c r="BF320" i="61" s="1"/>
  <c r="AE320" i="61"/>
  <c r="BH320" i="61" s="1"/>
  <c r="AB320" i="61"/>
  <c r="BE320" i="61" s="1"/>
  <c r="AF320" i="61"/>
  <c r="BI320" i="61" s="1"/>
  <c r="S320" i="61"/>
  <c r="AV320" i="61" s="1"/>
  <c r="V150" i="61"/>
  <c r="AY150" i="61" s="1"/>
  <c r="X150" i="61"/>
  <c r="BA150" i="61" s="1"/>
  <c r="Y150" i="61"/>
  <c r="BB150" i="61" s="1"/>
  <c r="AA150" i="61"/>
  <c r="BD150" i="61" s="1"/>
  <c r="Z150" i="61"/>
  <c r="BC150" i="61" s="1"/>
  <c r="U150" i="61"/>
  <c r="AX150" i="61" s="1"/>
  <c r="AB150" i="61"/>
  <c r="BE150" i="61" s="1"/>
  <c r="AE150" i="61"/>
  <c r="BH150" i="61" s="1"/>
  <c r="AD150" i="61"/>
  <c r="BG150" i="61" s="1"/>
  <c r="AG150" i="61"/>
  <c r="BJ150" i="61" s="1"/>
  <c r="W150" i="61"/>
  <c r="AZ150" i="61" s="1"/>
  <c r="AC150" i="61"/>
  <c r="BF150" i="61" s="1"/>
  <c r="AF150" i="61"/>
  <c r="BI150" i="61" s="1"/>
  <c r="T150" i="61"/>
  <c r="AW150" i="61" s="1"/>
  <c r="S150" i="61"/>
  <c r="AV150" i="61" s="1"/>
  <c r="AG194" i="61"/>
  <c r="BJ194" i="61" s="1"/>
  <c r="AB194" i="61"/>
  <c r="BE194" i="61" s="1"/>
  <c r="AC194" i="61"/>
  <c r="BF194" i="61" s="1"/>
  <c r="AF194" i="61"/>
  <c r="BI194" i="61" s="1"/>
  <c r="AD194" i="61"/>
  <c r="BG194" i="61" s="1"/>
  <c r="Y194" i="61"/>
  <c r="BB194" i="61" s="1"/>
  <c r="W194" i="61"/>
  <c r="AZ194" i="61" s="1"/>
  <c r="X194" i="61"/>
  <c r="BA194" i="61" s="1"/>
  <c r="T194" i="61"/>
  <c r="AW194" i="61" s="1"/>
  <c r="U194" i="61"/>
  <c r="AX194" i="61" s="1"/>
  <c r="AE194" i="61"/>
  <c r="BH194" i="61" s="1"/>
  <c r="Z194" i="61"/>
  <c r="BC194" i="61" s="1"/>
  <c r="AA194" i="61"/>
  <c r="BD194" i="61" s="1"/>
  <c r="V194" i="61"/>
  <c r="AY194" i="61" s="1"/>
  <c r="S194" i="61"/>
  <c r="AV194" i="61" s="1"/>
  <c r="W278" i="61"/>
  <c r="AZ278" i="61" s="1"/>
  <c r="T278" i="61"/>
  <c r="AW278" i="61" s="1"/>
  <c r="AC278" i="61"/>
  <c r="BF278" i="61" s="1"/>
  <c r="V278" i="61"/>
  <c r="AY278" i="61" s="1"/>
  <c r="Z278" i="61"/>
  <c r="BC278" i="61" s="1"/>
  <c r="U278" i="61"/>
  <c r="AX278" i="61" s="1"/>
  <c r="Y278" i="61"/>
  <c r="BB278" i="61" s="1"/>
  <c r="AB278" i="61"/>
  <c r="BE278" i="61" s="1"/>
  <c r="AF278" i="61"/>
  <c r="BI278" i="61" s="1"/>
  <c r="AA278" i="61"/>
  <c r="BD278" i="61" s="1"/>
  <c r="AD278" i="61"/>
  <c r="BG278" i="61" s="1"/>
  <c r="X278" i="61"/>
  <c r="BA278" i="61" s="1"/>
  <c r="AG278" i="61"/>
  <c r="BJ278" i="61" s="1"/>
  <c r="AE278" i="61"/>
  <c r="BH278" i="61" s="1"/>
  <c r="S278" i="61"/>
  <c r="AV278" i="61" s="1"/>
  <c r="T26" i="61"/>
  <c r="AW26" i="61" s="1"/>
  <c r="V26" i="61"/>
  <c r="AY26" i="61" s="1"/>
  <c r="U26" i="61"/>
  <c r="AX26" i="61" s="1"/>
  <c r="X26" i="61"/>
  <c r="BA26" i="61" s="1"/>
  <c r="AC26" i="61"/>
  <c r="BF26" i="61" s="1"/>
  <c r="Y26" i="61"/>
  <c r="BB26" i="61" s="1"/>
  <c r="AA26" i="61"/>
  <c r="BD26" i="61" s="1"/>
  <c r="W26" i="61"/>
  <c r="AZ26" i="61" s="1"/>
  <c r="AB26" i="61"/>
  <c r="BE26" i="61" s="1"/>
  <c r="AE26" i="61"/>
  <c r="BH26" i="61" s="1"/>
  <c r="AD26" i="61"/>
  <c r="BG26" i="61" s="1"/>
  <c r="AG26" i="61"/>
  <c r="BJ26" i="61" s="1"/>
  <c r="AF26" i="61"/>
  <c r="BI26" i="61" s="1"/>
  <c r="Z26" i="61"/>
  <c r="BC26" i="61" s="1"/>
  <c r="S26" i="61"/>
  <c r="AV26" i="61" s="1"/>
  <c r="AB10" i="61"/>
  <c r="BE10" i="61" s="1"/>
  <c r="AC10" i="61"/>
  <c r="BF10" i="61" s="1"/>
  <c r="T10" i="61"/>
  <c r="AW10" i="61" s="1"/>
  <c r="AA10" i="61"/>
  <c r="BD10" i="61" s="1"/>
  <c r="W10" i="61"/>
  <c r="AZ10" i="61" s="1"/>
  <c r="AE10" i="61"/>
  <c r="BH10" i="61" s="1"/>
  <c r="Z10" i="61"/>
  <c r="BC10" i="61" s="1"/>
  <c r="AD10" i="61"/>
  <c r="BG10" i="61" s="1"/>
  <c r="U10" i="61"/>
  <c r="AX10" i="61" s="1"/>
  <c r="AF10" i="61"/>
  <c r="BI10" i="61" s="1"/>
  <c r="Y10" i="61"/>
  <c r="BB10" i="61" s="1"/>
  <c r="AG10" i="61"/>
  <c r="BJ10" i="61" s="1"/>
  <c r="V10" i="61"/>
  <c r="AY10" i="61" s="1"/>
  <c r="X10" i="61"/>
  <c r="BA10" i="61" s="1"/>
  <c r="S10" i="61"/>
  <c r="AV10" i="61" s="1"/>
  <c r="X299" i="61"/>
  <c r="BA299" i="61" s="1"/>
  <c r="Y299" i="61"/>
  <c r="BB299" i="61" s="1"/>
  <c r="AF299" i="61"/>
  <c r="BI299" i="61" s="1"/>
  <c r="Z299" i="61"/>
  <c r="BC299" i="61" s="1"/>
  <c r="AA299" i="61"/>
  <c r="BD299" i="61" s="1"/>
  <c r="T299" i="61"/>
  <c r="AW299" i="61" s="1"/>
  <c r="AB299" i="61"/>
  <c r="BE299" i="61" s="1"/>
  <c r="AG299" i="61"/>
  <c r="BJ299" i="61" s="1"/>
  <c r="V299" i="61"/>
  <c r="AY299" i="61" s="1"/>
  <c r="AD299" i="61"/>
  <c r="BG299" i="61" s="1"/>
  <c r="AE299" i="61"/>
  <c r="BH299" i="61" s="1"/>
  <c r="AC299" i="61"/>
  <c r="BF299" i="61" s="1"/>
  <c r="U299" i="61"/>
  <c r="AX299" i="61" s="1"/>
  <c r="W299" i="61"/>
  <c r="AZ299" i="61" s="1"/>
  <c r="S299" i="61"/>
  <c r="AV299" i="61" s="1"/>
  <c r="U177" i="61"/>
  <c r="AX177" i="61" s="1"/>
  <c r="Y177" i="61"/>
  <c r="BB177" i="61" s="1"/>
  <c r="T177" i="61"/>
  <c r="AW177" i="61" s="1"/>
  <c r="AB177" i="61"/>
  <c r="BE177" i="61" s="1"/>
  <c r="AD177" i="61"/>
  <c r="BG177" i="61" s="1"/>
  <c r="AA177" i="61"/>
  <c r="BD177" i="61" s="1"/>
  <c r="AG177" i="61"/>
  <c r="BJ177" i="61" s="1"/>
  <c r="AE177" i="61"/>
  <c r="BH177" i="61" s="1"/>
  <c r="Z177" i="61"/>
  <c r="BC177" i="61" s="1"/>
  <c r="W177" i="61"/>
  <c r="AZ177" i="61" s="1"/>
  <c r="AC177" i="61"/>
  <c r="BF177" i="61" s="1"/>
  <c r="AF177" i="61"/>
  <c r="BI177" i="61" s="1"/>
  <c r="X177" i="61"/>
  <c r="BA177" i="61" s="1"/>
  <c r="V177" i="61"/>
  <c r="AY177" i="61" s="1"/>
  <c r="S177" i="61"/>
  <c r="AV177" i="61" s="1"/>
  <c r="W218" i="61"/>
  <c r="AZ218" i="61" s="1"/>
  <c r="Y218" i="61"/>
  <c r="BB218" i="61" s="1"/>
  <c r="X218" i="61"/>
  <c r="BA218" i="61" s="1"/>
  <c r="AG218" i="61"/>
  <c r="BJ218" i="61" s="1"/>
  <c r="AE218" i="61"/>
  <c r="BH218" i="61" s="1"/>
  <c r="AD218" i="61"/>
  <c r="BG218" i="61" s="1"/>
  <c r="AA218" i="61"/>
  <c r="BD218" i="61" s="1"/>
  <c r="V218" i="61"/>
  <c r="AY218" i="61" s="1"/>
  <c r="AB218" i="61"/>
  <c r="BE218" i="61" s="1"/>
  <c r="U218" i="61"/>
  <c r="AX218" i="61" s="1"/>
  <c r="Z218" i="61"/>
  <c r="BC218" i="61" s="1"/>
  <c r="AF218" i="61"/>
  <c r="BI218" i="61" s="1"/>
  <c r="T218" i="61"/>
  <c r="AW218" i="61" s="1"/>
  <c r="AC218" i="61"/>
  <c r="BF218" i="61" s="1"/>
  <c r="S218" i="61"/>
  <c r="AV218" i="61" s="1"/>
  <c r="Z124" i="61"/>
  <c r="BC124" i="61" s="1"/>
  <c r="AB124" i="61"/>
  <c r="BE124" i="61" s="1"/>
  <c r="T124" i="61"/>
  <c r="AW124" i="61" s="1"/>
  <c r="AF124" i="61"/>
  <c r="BI124" i="61" s="1"/>
  <c r="AA124" i="61"/>
  <c r="BD124" i="61" s="1"/>
  <c r="W124" i="61"/>
  <c r="AZ124" i="61" s="1"/>
  <c r="U124" i="61"/>
  <c r="AX124" i="61" s="1"/>
  <c r="AC124" i="61"/>
  <c r="BF124" i="61" s="1"/>
  <c r="V124" i="61"/>
  <c r="AY124" i="61" s="1"/>
  <c r="X124" i="61"/>
  <c r="BA124" i="61" s="1"/>
  <c r="AD124" i="61"/>
  <c r="BG124" i="61" s="1"/>
  <c r="Y124" i="61"/>
  <c r="BB124" i="61" s="1"/>
  <c r="AE124" i="61"/>
  <c r="BH124" i="61" s="1"/>
  <c r="AG124" i="61"/>
  <c r="BJ124" i="61" s="1"/>
  <c r="S124" i="61"/>
  <c r="AV124" i="61" s="1"/>
  <c r="AB284" i="61"/>
  <c r="BE284" i="61" s="1"/>
  <c r="V284" i="61"/>
  <c r="AY284" i="61" s="1"/>
  <c r="AE284" i="61"/>
  <c r="BH284" i="61" s="1"/>
  <c r="AF284" i="61"/>
  <c r="BI284" i="61" s="1"/>
  <c r="U284" i="61"/>
  <c r="AX284" i="61" s="1"/>
  <c r="AC284" i="61"/>
  <c r="BF284" i="61" s="1"/>
  <c r="X284" i="61"/>
  <c r="BA284" i="61" s="1"/>
  <c r="AG284" i="61"/>
  <c r="BJ284" i="61" s="1"/>
  <c r="AD284" i="61"/>
  <c r="BG284" i="61" s="1"/>
  <c r="T284" i="61"/>
  <c r="AW284" i="61" s="1"/>
  <c r="Y284" i="61"/>
  <c r="BB284" i="61" s="1"/>
  <c r="AA284" i="61"/>
  <c r="BD284" i="61" s="1"/>
  <c r="W284" i="61"/>
  <c r="AZ284" i="61" s="1"/>
  <c r="Z284" i="61"/>
  <c r="BC284" i="61" s="1"/>
  <c r="S284" i="61"/>
  <c r="AV284" i="61" s="1"/>
  <c r="U244" i="61"/>
  <c r="AX244" i="61" s="1"/>
  <c r="X244" i="61"/>
  <c r="BA244" i="61" s="1"/>
  <c r="W244" i="61"/>
  <c r="AZ244" i="61" s="1"/>
  <c r="V244" i="61"/>
  <c r="AY244" i="61" s="1"/>
  <c r="AG244" i="61"/>
  <c r="BJ244" i="61" s="1"/>
  <c r="AC244" i="61"/>
  <c r="BF244" i="61" s="1"/>
  <c r="AE244" i="61"/>
  <c r="BH244" i="61" s="1"/>
  <c r="AA244" i="61"/>
  <c r="BD244" i="61" s="1"/>
  <c r="Z244" i="61"/>
  <c r="BC244" i="61" s="1"/>
  <c r="AF244" i="61"/>
  <c r="BI244" i="61" s="1"/>
  <c r="AB244" i="61"/>
  <c r="BE244" i="61" s="1"/>
  <c r="AD244" i="61"/>
  <c r="BG244" i="61" s="1"/>
  <c r="T244" i="61"/>
  <c r="AW244" i="61" s="1"/>
  <c r="Y244" i="61"/>
  <c r="BB244" i="61" s="1"/>
  <c r="S244" i="61"/>
  <c r="AV244" i="61" s="1"/>
  <c r="AB267" i="61"/>
  <c r="BE267" i="61" s="1"/>
  <c r="AF267" i="61"/>
  <c r="BI267" i="61" s="1"/>
  <c r="X267" i="61"/>
  <c r="BA267" i="61" s="1"/>
  <c r="Y267" i="61"/>
  <c r="BB267" i="61" s="1"/>
  <c r="AE267" i="61"/>
  <c r="BH267" i="61" s="1"/>
  <c r="AD267" i="61"/>
  <c r="BG267" i="61" s="1"/>
  <c r="Z267" i="61"/>
  <c r="BC267" i="61" s="1"/>
  <c r="U267" i="61"/>
  <c r="AX267" i="61" s="1"/>
  <c r="AA267" i="61"/>
  <c r="BD267" i="61" s="1"/>
  <c r="W267" i="61"/>
  <c r="AZ267" i="61" s="1"/>
  <c r="AG267" i="61"/>
  <c r="BJ267" i="61" s="1"/>
  <c r="AC267" i="61"/>
  <c r="BF267" i="61" s="1"/>
  <c r="T267" i="61"/>
  <c r="AW267" i="61" s="1"/>
  <c r="V267" i="61"/>
  <c r="AY267" i="61" s="1"/>
  <c r="S267" i="61"/>
  <c r="AV267" i="61" s="1"/>
  <c r="AC191" i="61"/>
  <c r="BF191" i="61" s="1"/>
  <c r="T191" i="61"/>
  <c r="AW191" i="61" s="1"/>
  <c r="X191" i="61"/>
  <c r="BA191" i="61" s="1"/>
  <c r="U191" i="61"/>
  <c r="AX191" i="61" s="1"/>
  <c r="AE191" i="61"/>
  <c r="BH191" i="61" s="1"/>
  <c r="Y191" i="61"/>
  <c r="BB191" i="61" s="1"/>
  <c r="AB191" i="61"/>
  <c r="BE191" i="61" s="1"/>
  <c r="Z191" i="61"/>
  <c r="BC191" i="61" s="1"/>
  <c r="W191" i="61"/>
  <c r="AZ191" i="61" s="1"/>
  <c r="AF191" i="61"/>
  <c r="BI191" i="61" s="1"/>
  <c r="V191" i="61"/>
  <c r="AY191" i="61" s="1"/>
  <c r="AG191" i="61"/>
  <c r="BJ191" i="61" s="1"/>
  <c r="AA191" i="61"/>
  <c r="BD191" i="61" s="1"/>
  <c r="AD191" i="61"/>
  <c r="BG191" i="61" s="1"/>
  <c r="S191" i="61"/>
  <c r="AV191" i="61" s="1"/>
  <c r="AC92" i="61"/>
  <c r="BF92" i="61" s="1"/>
  <c r="AE92" i="61"/>
  <c r="BH92" i="61" s="1"/>
  <c r="W92" i="61"/>
  <c r="AZ92" i="61" s="1"/>
  <c r="AA92" i="61"/>
  <c r="BD92" i="61" s="1"/>
  <c r="U92" i="61"/>
  <c r="AX92" i="61" s="1"/>
  <c r="AD92" i="61"/>
  <c r="BG92" i="61" s="1"/>
  <c r="AG92" i="61"/>
  <c r="BJ92" i="61" s="1"/>
  <c r="V92" i="61"/>
  <c r="AY92" i="61" s="1"/>
  <c r="T92" i="61"/>
  <c r="AW92" i="61" s="1"/>
  <c r="AF92" i="61"/>
  <c r="BI92" i="61" s="1"/>
  <c r="X92" i="61"/>
  <c r="BA92" i="61" s="1"/>
  <c r="Y92" i="61"/>
  <c r="BB92" i="61" s="1"/>
  <c r="AB92" i="61"/>
  <c r="BE92" i="61" s="1"/>
  <c r="Z92" i="61"/>
  <c r="BC92" i="61" s="1"/>
  <c r="S92" i="61"/>
  <c r="AV92" i="61" s="1"/>
  <c r="Y149" i="61"/>
  <c r="BB149" i="61" s="1"/>
  <c r="AF149" i="61"/>
  <c r="BI149" i="61" s="1"/>
  <c r="T149" i="61"/>
  <c r="AW149" i="61" s="1"/>
  <c r="Z149" i="61"/>
  <c r="BC149" i="61" s="1"/>
  <c r="AD149" i="61"/>
  <c r="BG149" i="61" s="1"/>
  <c r="X149" i="61"/>
  <c r="BA149" i="61" s="1"/>
  <c r="AA149" i="61"/>
  <c r="BD149" i="61" s="1"/>
  <c r="AE149" i="61"/>
  <c r="BH149" i="61" s="1"/>
  <c r="AG149" i="61"/>
  <c r="BJ149" i="61" s="1"/>
  <c r="AB149" i="61"/>
  <c r="BE149" i="61" s="1"/>
  <c r="W149" i="61"/>
  <c r="AZ149" i="61" s="1"/>
  <c r="V149" i="61"/>
  <c r="AY149" i="61" s="1"/>
  <c r="U149" i="61"/>
  <c r="AX149" i="61" s="1"/>
  <c r="AC149" i="61"/>
  <c r="BF149" i="61" s="1"/>
  <c r="S149" i="61"/>
  <c r="AV149" i="61" s="1"/>
  <c r="AE70" i="61"/>
  <c r="BH70" i="61" s="1"/>
  <c r="W70" i="61"/>
  <c r="AZ70" i="61" s="1"/>
  <c r="U70" i="61"/>
  <c r="AX70" i="61" s="1"/>
  <c r="T70" i="61"/>
  <c r="AW70" i="61" s="1"/>
  <c r="AG70" i="61"/>
  <c r="BJ70" i="61" s="1"/>
  <c r="V70" i="61"/>
  <c r="AY70" i="61" s="1"/>
  <c r="AB70" i="61"/>
  <c r="BE70" i="61" s="1"/>
  <c r="AF70" i="61"/>
  <c r="BI70" i="61" s="1"/>
  <c r="AD70" i="61"/>
  <c r="BG70" i="61" s="1"/>
  <c r="X70" i="61"/>
  <c r="BA70" i="61" s="1"/>
  <c r="Y70" i="61"/>
  <c r="BB70" i="61" s="1"/>
  <c r="Z70" i="61"/>
  <c r="BC70" i="61" s="1"/>
  <c r="AA70" i="61"/>
  <c r="BD70" i="61" s="1"/>
  <c r="AC70" i="61"/>
  <c r="BF70" i="61" s="1"/>
  <c r="S70" i="61"/>
  <c r="AV70" i="61" s="1"/>
  <c r="AA185" i="61"/>
  <c r="BD185" i="61" s="1"/>
  <c r="AE185" i="61"/>
  <c r="BH185" i="61" s="1"/>
  <c r="AG185" i="61"/>
  <c r="BJ185" i="61" s="1"/>
  <c r="AF185" i="61"/>
  <c r="BI185" i="61" s="1"/>
  <c r="AB185" i="61"/>
  <c r="BE185" i="61" s="1"/>
  <c r="T185" i="61"/>
  <c r="AW185" i="61" s="1"/>
  <c r="AD185" i="61"/>
  <c r="BG185" i="61" s="1"/>
  <c r="AC185" i="61"/>
  <c r="BF185" i="61" s="1"/>
  <c r="V185" i="61"/>
  <c r="AY185" i="61" s="1"/>
  <c r="X185" i="61"/>
  <c r="BA185" i="61" s="1"/>
  <c r="W185" i="61"/>
  <c r="AZ185" i="61" s="1"/>
  <c r="U185" i="61"/>
  <c r="AX185" i="61" s="1"/>
  <c r="Z185" i="61"/>
  <c r="BC185" i="61" s="1"/>
  <c r="Y185" i="61"/>
  <c r="BB185" i="61" s="1"/>
  <c r="S185" i="61"/>
  <c r="AV185" i="61" s="1"/>
  <c r="U217" i="61"/>
  <c r="AX217" i="61" s="1"/>
  <c r="X217" i="61"/>
  <c r="BA217" i="61" s="1"/>
  <c r="V217" i="61"/>
  <c r="AY217" i="61" s="1"/>
  <c r="AC217" i="61"/>
  <c r="BF217" i="61" s="1"/>
  <c r="AB217" i="61"/>
  <c r="BE217" i="61" s="1"/>
  <c r="AE217" i="61"/>
  <c r="BH217" i="61" s="1"/>
  <c r="Y217" i="61"/>
  <c r="BB217" i="61" s="1"/>
  <c r="T217" i="61"/>
  <c r="AW217" i="61" s="1"/>
  <c r="AD217" i="61"/>
  <c r="BG217" i="61" s="1"/>
  <c r="AA217" i="61"/>
  <c r="BD217" i="61" s="1"/>
  <c r="Z217" i="61"/>
  <c r="BC217" i="61" s="1"/>
  <c r="AF217" i="61"/>
  <c r="BI217" i="61" s="1"/>
  <c r="W217" i="61"/>
  <c r="AZ217" i="61" s="1"/>
  <c r="AG217" i="61"/>
  <c r="BJ217" i="61" s="1"/>
  <c r="S217" i="61"/>
  <c r="AV217" i="61" s="1"/>
  <c r="AD54" i="61"/>
  <c r="BG54" i="61" s="1"/>
  <c r="AF54" i="61"/>
  <c r="BI54" i="61" s="1"/>
  <c r="AG54" i="61"/>
  <c r="BJ54" i="61" s="1"/>
  <c r="W54" i="61"/>
  <c r="AZ54" i="61" s="1"/>
  <c r="X54" i="61"/>
  <c r="BA54" i="61" s="1"/>
  <c r="U54" i="61"/>
  <c r="AX54" i="61" s="1"/>
  <c r="T54" i="61"/>
  <c r="AW54" i="61" s="1"/>
  <c r="AB54" i="61"/>
  <c r="BE54" i="61" s="1"/>
  <c r="AE54" i="61"/>
  <c r="BH54" i="61" s="1"/>
  <c r="Y54" i="61"/>
  <c r="BB54" i="61" s="1"/>
  <c r="V54" i="61"/>
  <c r="AY54" i="61" s="1"/>
  <c r="Z54" i="61"/>
  <c r="BC54" i="61" s="1"/>
  <c r="AA54" i="61"/>
  <c r="BD54" i="61" s="1"/>
  <c r="AC54" i="61"/>
  <c r="BF54" i="61" s="1"/>
  <c r="S54" i="61"/>
  <c r="AV54" i="61" s="1"/>
  <c r="X42" i="61"/>
  <c r="BA42" i="61" s="1"/>
  <c r="Z42" i="61"/>
  <c r="BC42" i="61" s="1"/>
  <c r="AC42" i="61"/>
  <c r="BF42" i="61" s="1"/>
  <c r="Y42" i="61"/>
  <c r="BB42" i="61" s="1"/>
  <c r="W42" i="61"/>
  <c r="AZ42" i="61" s="1"/>
  <c r="AD42" i="61"/>
  <c r="BG42" i="61" s="1"/>
  <c r="AG42" i="61"/>
  <c r="BJ42" i="61" s="1"/>
  <c r="AA42" i="61"/>
  <c r="BD42" i="61" s="1"/>
  <c r="V42" i="61"/>
  <c r="AY42" i="61" s="1"/>
  <c r="AB42" i="61"/>
  <c r="BE42" i="61" s="1"/>
  <c r="AF42" i="61"/>
  <c r="BI42" i="61" s="1"/>
  <c r="U42" i="61"/>
  <c r="AX42" i="61" s="1"/>
  <c r="AE42" i="61"/>
  <c r="BH42" i="61" s="1"/>
  <c r="T42" i="61"/>
  <c r="AW42" i="61" s="1"/>
  <c r="S42" i="61"/>
  <c r="AV42" i="61" s="1"/>
  <c r="U235" i="61"/>
  <c r="AX235" i="61" s="1"/>
  <c r="AG235" i="61"/>
  <c r="BJ235" i="61" s="1"/>
  <c r="AA235" i="61"/>
  <c r="BD235" i="61" s="1"/>
  <c r="AE235" i="61"/>
  <c r="BH235" i="61" s="1"/>
  <c r="AF235" i="61"/>
  <c r="BI235" i="61" s="1"/>
  <c r="Z235" i="61"/>
  <c r="BC235" i="61" s="1"/>
  <c r="V235" i="61"/>
  <c r="AY235" i="61" s="1"/>
  <c r="AB235" i="61"/>
  <c r="BE235" i="61" s="1"/>
  <c r="Y235" i="61"/>
  <c r="BB235" i="61" s="1"/>
  <c r="W235" i="61"/>
  <c r="AZ235" i="61" s="1"/>
  <c r="T235" i="61"/>
  <c r="AW235" i="61" s="1"/>
  <c r="AC235" i="61"/>
  <c r="BF235" i="61" s="1"/>
  <c r="X235" i="61"/>
  <c r="BA235" i="61" s="1"/>
  <c r="AD235" i="61"/>
  <c r="BG235" i="61" s="1"/>
  <c r="S235" i="61"/>
  <c r="AV235" i="61" s="1"/>
  <c r="AF11" i="61"/>
  <c r="BI11" i="61" s="1"/>
  <c r="T11" i="61"/>
  <c r="AW11" i="61" s="1"/>
  <c r="Y11" i="61"/>
  <c r="BB11" i="61" s="1"/>
  <c r="Z11" i="61"/>
  <c r="BC11" i="61" s="1"/>
  <c r="AG11" i="61"/>
  <c r="BJ11" i="61" s="1"/>
  <c r="AA11" i="61"/>
  <c r="BD11" i="61" s="1"/>
  <c r="AC11" i="61"/>
  <c r="BF11" i="61" s="1"/>
  <c r="AB11" i="61"/>
  <c r="BE11" i="61" s="1"/>
  <c r="V11" i="61"/>
  <c r="AY11" i="61" s="1"/>
  <c r="X11" i="61"/>
  <c r="BA11" i="61" s="1"/>
  <c r="U11" i="61"/>
  <c r="AX11" i="61" s="1"/>
  <c r="W11" i="61"/>
  <c r="AZ11" i="61" s="1"/>
  <c r="AE11" i="61"/>
  <c r="BH11" i="61" s="1"/>
  <c r="AD11" i="61"/>
  <c r="BG11" i="61" s="1"/>
  <c r="S11" i="61"/>
  <c r="AV11" i="61" s="1"/>
  <c r="T171" i="61"/>
  <c r="AW171" i="61" s="1"/>
  <c r="AF171" i="61"/>
  <c r="BI171" i="61" s="1"/>
  <c r="U171" i="61"/>
  <c r="AX171" i="61" s="1"/>
  <c r="Z171" i="61"/>
  <c r="BC171" i="61" s="1"/>
  <c r="AG171" i="61"/>
  <c r="BJ171" i="61" s="1"/>
  <c r="AC171" i="61"/>
  <c r="BF171" i="61" s="1"/>
  <c r="AE171" i="61"/>
  <c r="BH171" i="61" s="1"/>
  <c r="Y171" i="61"/>
  <c r="BB171" i="61" s="1"/>
  <c r="AA171" i="61"/>
  <c r="BD171" i="61" s="1"/>
  <c r="AB171" i="61"/>
  <c r="BE171" i="61" s="1"/>
  <c r="V171" i="61"/>
  <c r="AY171" i="61" s="1"/>
  <c r="AD171" i="61"/>
  <c r="BG171" i="61" s="1"/>
  <c r="W171" i="61"/>
  <c r="AZ171" i="61" s="1"/>
  <c r="X171" i="61"/>
  <c r="BA171" i="61" s="1"/>
  <c r="S171" i="61"/>
  <c r="AV171" i="61" s="1"/>
  <c r="AD90" i="61"/>
  <c r="BG90" i="61" s="1"/>
  <c r="AE90" i="61"/>
  <c r="BH90" i="61" s="1"/>
  <c r="AC90" i="61"/>
  <c r="BF90" i="61" s="1"/>
  <c r="AB90" i="61"/>
  <c r="BE90" i="61" s="1"/>
  <c r="U90" i="61"/>
  <c r="AX90" i="61" s="1"/>
  <c r="AF90" i="61"/>
  <c r="BI90" i="61" s="1"/>
  <c r="T90" i="61"/>
  <c r="AW90" i="61" s="1"/>
  <c r="AG90" i="61"/>
  <c r="BJ90" i="61" s="1"/>
  <c r="AA90" i="61"/>
  <c r="BD90" i="61" s="1"/>
  <c r="Y90" i="61"/>
  <c r="BB90" i="61" s="1"/>
  <c r="W90" i="61"/>
  <c r="AZ90" i="61" s="1"/>
  <c r="V90" i="61"/>
  <c r="AY90" i="61" s="1"/>
  <c r="Z90" i="61"/>
  <c r="BC90" i="61" s="1"/>
  <c r="X90" i="61"/>
  <c r="BA90" i="61" s="1"/>
  <c r="S90" i="61"/>
  <c r="AV90" i="61" s="1"/>
  <c r="AB140" i="61"/>
  <c r="BE140" i="61" s="1"/>
  <c r="Z140" i="61"/>
  <c r="BC140" i="61" s="1"/>
  <c r="AA140" i="61"/>
  <c r="BD140" i="61" s="1"/>
  <c r="X140" i="61"/>
  <c r="BA140" i="61" s="1"/>
  <c r="Y140" i="61"/>
  <c r="BB140" i="61" s="1"/>
  <c r="V140" i="61"/>
  <c r="AY140" i="61" s="1"/>
  <c r="AG140" i="61"/>
  <c r="BJ140" i="61" s="1"/>
  <c r="U140" i="61"/>
  <c r="AX140" i="61" s="1"/>
  <c r="T140" i="61"/>
  <c r="AW140" i="61" s="1"/>
  <c r="AE140" i="61"/>
  <c r="BH140" i="61" s="1"/>
  <c r="AC140" i="61"/>
  <c r="BF140" i="61" s="1"/>
  <c r="W140" i="61"/>
  <c r="AZ140" i="61" s="1"/>
  <c r="AD140" i="61"/>
  <c r="BG140" i="61" s="1"/>
  <c r="AF140" i="61"/>
  <c r="BI140" i="61" s="1"/>
  <c r="S140" i="61"/>
  <c r="AV140" i="61" s="1"/>
  <c r="Z303" i="61"/>
  <c r="BC303" i="61" s="1"/>
  <c r="U303" i="61"/>
  <c r="AX303" i="61" s="1"/>
  <c r="AB303" i="61"/>
  <c r="BE303" i="61" s="1"/>
  <c r="V303" i="61"/>
  <c r="AY303" i="61" s="1"/>
  <c r="AF303" i="61"/>
  <c r="BI303" i="61" s="1"/>
  <c r="AD303" i="61"/>
  <c r="BG303" i="61" s="1"/>
  <c r="T303" i="61"/>
  <c r="AW303" i="61" s="1"/>
  <c r="AE303" i="61"/>
  <c r="BH303" i="61" s="1"/>
  <c r="AC303" i="61"/>
  <c r="BF303" i="61" s="1"/>
  <c r="AA303" i="61"/>
  <c r="BD303" i="61" s="1"/>
  <c r="W303" i="61"/>
  <c r="AZ303" i="61" s="1"/>
  <c r="X303" i="61"/>
  <c r="BA303" i="61" s="1"/>
  <c r="Y303" i="61"/>
  <c r="BB303" i="61" s="1"/>
  <c r="AG303" i="61"/>
  <c r="BJ303" i="61" s="1"/>
  <c r="S303" i="61"/>
  <c r="AV303" i="61" s="1"/>
  <c r="AB232" i="61"/>
  <c r="BE232" i="61" s="1"/>
  <c r="AA232" i="61"/>
  <c r="BD232" i="61" s="1"/>
  <c r="AD232" i="61"/>
  <c r="BG232" i="61" s="1"/>
  <c r="Z232" i="61"/>
  <c r="BC232" i="61" s="1"/>
  <c r="AG232" i="61"/>
  <c r="BJ232" i="61" s="1"/>
  <c r="U232" i="61"/>
  <c r="AX232" i="61" s="1"/>
  <c r="AF232" i="61"/>
  <c r="BI232" i="61" s="1"/>
  <c r="AC232" i="61"/>
  <c r="BF232" i="61" s="1"/>
  <c r="T232" i="61"/>
  <c r="AW232" i="61" s="1"/>
  <c r="Y232" i="61"/>
  <c r="BB232" i="61" s="1"/>
  <c r="AE232" i="61"/>
  <c r="BH232" i="61" s="1"/>
  <c r="V232" i="61"/>
  <c r="AY232" i="61" s="1"/>
  <c r="W232" i="61"/>
  <c r="AZ232" i="61" s="1"/>
  <c r="X232" i="61"/>
  <c r="BA232" i="61" s="1"/>
  <c r="S232" i="61"/>
  <c r="AV232" i="61" s="1"/>
  <c r="AF254" i="61"/>
  <c r="BI254" i="61" s="1"/>
  <c r="AB254" i="61"/>
  <c r="BE254" i="61" s="1"/>
  <c r="AE254" i="61"/>
  <c r="BH254" i="61" s="1"/>
  <c r="V254" i="61"/>
  <c r="AY254" i="61" s="1"/>
  <c r="AC254" i="61"/>
  <c r="BF254" i="61" s="1"/>
  <c r="AD254" i="61"/>
  <c r="BG254" i="61" s="1"/>
  <c r="T254" i="61"/>
  <c r="AW254" i="61" s="1"/>
  <c r="W254" i="61"/>
  <c r="AZ254" i="61" s="1"/>
  <c r="U254" i="61"/>
  <c r="AX254" i="61" s="1"/>
  <c r="Z254" i="61"/>
  <c r="BC254" i="61" s="1"/>
  <c r="Y254" i="61"/>
  <c r="BB254" i="61" s="1"/>
  <c r="AG254" i="61"/>
  <c r="BJ254" i="61" s="1"/>
  <c r="AA254" i="61"/>
  <c r="BD254" i="61" s="1"/>
  <c r="X254" i="61"/>
  <c r="BA254" i="61" s="1"/>
  <c r="S254" i="61"/>
  <c r="AV254" i="61" s="1"/>
  <c r="AG285" i="61"/>
  <c r="BJ285" i="61" s="1"/>
  <c r="T285" i="61"/>
  <c r="AW285" i="61" s="1"/>
  <c r="Y285" i="61"/>
  <c r="BB285" i="61" s="1"/>
  <c r="AE285" i="61"/>
  <c r="BH285" i="61" s="1"/>
  <c r="AD285" i="61"/>
  <c r="BG285" i="61" s="1"/>
  <c r="AA285" i="61"/>
  <c r="BD285" i="61" s="1"/>
  <c r="Z285" i="61"/>
  <c r="BC285" i="61" s="1"/>
  <c r="V285" i="61"/>
  <c r="AY285" i="61" s="1"/>
  <c r="W285" i="61"/>
  <c r="AZ285" i="61" s="1"/>
  <c r="AF285" i="61"/>
  <c r="BI285" i="61" s="1"/>
  <c r="AB285" i="61"/>
  <c r="BE285" i="61" s="1"/>
  <c r="X285" i="61"/>
  <c r="BA285" i="61" s="1"/>
  <c r="AC285" i="61"/>
  <c r="BF285" i="61" s="1"/>
  <c r="U285" i="61"/>
  <c r="AX285" i="61" s="1"/>
  <c r="S285" i="61"/>
  <c r="AV285" i="61" s="1"/>
  <c r="AB91" i="61"/>
  <c r="BE91" i="61" s="1"/>
  <c r="V91" i="61"/>
  <c r="AY91" i="61" s="1"/>
  <c r="AA91" i="61"/>
  <c r="BD91" i="61" s="1"/>
  <c r="T91" i="61"/>
  <c r="AW91" i="61" s="1"/>
  <c r="AD91" i="61"/>
  <c r="BG91" i="61" s="1"/>
  <c r="AG91" i="61"/>
  <c r="BJ91" i="61" s="1"/>
  <c r="AC91" i="61"/>
  <c r="BF91" i="61" s="1"/>
  <c r="X91" i="61"/>
  <c r="BA91" i="61" s="1"/>
  <c r="W91" i="61"/>
  <c r="AZ91" i="61" s="1"/>
  <c r="Y91" i="61"/>
  <c r="BB91" i="61" s="1"/>
  <c r="AF91" i="61"/>
  <c r="BI91" i="61" s="1"/>
  <c r="Z91" i="61"/>
  <c r="BC91" i="61" s="1"/>
  <c r="AE91" i="61"/>
  <c r="BH91" i="61" s="1"/>
  <c r="U91" i="61"/>
  <c r="AX91" i="61" s="1"/>
  <c r="S91" i="61"/>
  <c r="AV91" i="61" s="1"/>
  <c r="AF238" i="61"/>
  <c r="BI238" i="61" s="1"/>
  <c r="X238" i="61"/>
  <c r="BA238" i="61" s="1"/>
  <c r="AG238" i="61"/>
  <c r="BJ238" i="61" s="1"/>
  <c r="AE238" i="61"/>
  <c r="BH238" i="61" s="1"/>
  <c r="U238" i="61"/>
  <c r="AX238" i="61" s="1"/>
  <c r="Z238" i="61"/>
  <c r="BC238" i="61" s="1"/>
  <c r="AA238" i="61"/>
  <c r="BD238" i="61" s="1"/>
  <c r="T238" i="61"/>
  <c r="AW238" i="61" s="1"/>
  <c r="AD238" i="61"/>
  <c r="BG238" i="61" s="1"/>
  <c r="AC238" i="61"/>
  <c r="BF238" i="61" s="1"/>
  <c r="AB238" i="61"/>
  <c r="BE238" i="61" s="1"/>
  <c r="W238" i="61"/>
  <c r="AZ238" i="61" s="1"/>
  <c r="V238" i="61"/>
  <c r="AY238" i="61" s="1"/>
  <c r="Y238" i="61"/>
  <c r="BB238" i="61" s="1"/>
  <c r="S238" i="61"/>
  <c r="AV238" i="61" s="1"/>
  <c r="U61" i="61"/>
  <c r="AX61" i="61" s="1"/>
  <c r="AB61" i="61"/>
  <c r="BE61" i="61" s="1"/>
  <c r="AA61" i="61"/>
  <c r="BD61" i="61" s="1"/>
  <c r="AD61" i="61"/>
  <c r="BG61" i="61" s="1"/>
  <c r="T61" i="61"/>
  <c r="AW61" i="61" s="1"/>
  <c r="AF61" i="61"/>
  <c r="BI61" i="61" s="1"/>
  <c r="V61" i="61"/>
  <c r="AY61" i="61" s="1"/>
  <c r="W61" i="61"/>
  <c r="AZ61" i="61" s="1"/>
  <c r="Z61" i="61"/>
  <c r="BC61" i="61" s="1"/>
  <c r="AC61" i="61"/>
  <c r="BF61" i="61" s="1"/>
  <c r="AG61" i="61"/>
  <c r="BJ61" i="61" s="1"/>
  <c r="AE61" i="61"/>
  <c r="BH61" i="61" s="1"/>
  <c r="X61" i="61"/>
  <c r="BA61" i="61" s="1"/>
  <c r="Y61" i="61"/>
  <c r="BB61" i="61" s="1"/>
  <c r="S61" i="61"/>
  <c r="AV61" i="61" s="1"/>
  <c r="AA66" i="61"/>
  <c r="BD66" i="61" s="1"/>
  <c r="Y66" i="61"/>
  <c r="BB66" i="61" s="1"/>
  <c r="Z66" i="61"/>
  <c r="BC66" i="61" s="1"/>
  <c r="AD66" i="61"/>
  <c r="BG66" i="61" s="1"/>
  <c r="AB66" i="61"/>
  <c r="BE66" i="61" s="1"/>
  <c r="AG66" i="61"/>
  <c r="BJ66" i="61" s="1"/>
  <c r="V66" i="61"/>
  <c r="AY66" i="61" s="1"/>
  <c r="W66" i="61"/>
  <c r="AZ66" i="61" s="1"/>
  <c r="X66" i="61"/>
  <c r="BA66" i="61" s="1"/>
  <c r="AE66" i="61"/>
  <c r="BH66" i="61" s="1"/>
  <c r="AF66" i="61"/>
  <c r="BI66" i="61" s="1"/>
  <c r="U66" i="61"/>
  <c r="AX66" i="61" s="1"/>
  <c r="T66" i="61"/>
  <c r="AW66" i="61" s="1"/>
  <c r="AC66" i="61"/>
  <c r="BF66" i="61" s="1"/>
  <c r="S66" i="61"/>
  <c r="AV66" i="61" s="1"/>
  <c r="AF121" i="61"/>
  <c r="BI121" i="61" s="1"/>
  <c r="AG121" i="61"/>
  <c r="BJ121" i="61" s="1"/>
  <c r="V121" i="61"/>
  <c r="AY121" i="61" s="1"/>
  <c r="AE121" i="61"/>
  <c r="BH121" i="61" s="1"/>
  <c r="AB121" i="61"/>
  <c r="BE121" i="61" s="1"/>
  <c r="U121" i="61"/>
  <c r="AX121" i="61" s="1"/>
  <c r="T121" i="61"/>
  <c r="AW121" i="61" s="1"/>
  <c r="AC121" i="61"/>
  <c r="BF121" i="61" s="1"/>
  <c r="Y121" i="61"/>
  <c r="BB121" i="61" s="1"/>
  <c r="AA121" i="61"/>
  <c r="BD121" i="61" s="1"/>
  <c r="W121" i="61"/>
  <c r="AZ121" i="61" s="1"/>
  <c r="Z121" i="61"/>
  <c r="BC121" i="61" s="1"/>
  <c r="X121" i="61"/>
  <c r="BA121" i="61" s="1"/>
  <c r="AD121" i="61"/>
  <c r="BG121" i="61" s="1"/>
  <c r="S121" i="61"/>
  <c r="AV121" i="61" s="1"/>
  <c r="T208" i="61"/>
  <c r="AW208" i="61" s="1"/>
  <c r="AG208" i="61"/>
  <c r="BJ208" i="61" s="1"/>
  <c r="Z208" i="61"/>
  <c r="BC208" i="61" s="1"/>
  <c r="X208" i="61"/>
  <c r="BA208" i="61" s="1"/>
  <c r="U208" i="61"/>
  <c r="AX208" i="61" s="1"/>
  <c r="W208" i="61"/>
  <c r="AZ208" i="61" s="1"/>
  <c r="AC208" i="61"/>
  <c r="BF208" i="61" s="1"/>
  <c r="AA208" i="61"/>
  <c r="BD208" i="61" s="1"/>
  <c r="Y208" i="61"/>
  <c r="BB208" i="61" s="1"/>
  <c r="V208" i="61"/>
  <c r="AY208" i="61" s="1"/>
  <c r="AB208" i="61"/>
  <c r="BE208" i="61" s="1"/>
  <c r="AE208" i="61"/>
  <c r="BH208" i="61" s="1"/>
  <c r="AD208" i="61"/>
  <c r="BG208" i="61" s="1"/>
  <c r="AF208" i="61"/>
  <c r="BI208" i="61" s="1"/>
  <c r="S208" i="61"/>
  <c r="AV208" i="61" s="1"/>
  <c r="AF258" i="61"/>
  <c r="BI258" i="61" s="1"/>
  <c r="AD258" i="61"/>
  <c r="BG258" i="61" s="1"/>
  <c r="AG258" i="61"/>
  <c r="BJ258" i="61" s="1"/>
  <c r="U258" i="61"/>
  <c r="AX258" i="61" s="1"/>
  <c r="V258" i="61"/>
  <c r="AY258" i="61" s="1"/>
  <c r="T258" i="61"/>
  <c r="AW258" i="61" s="1"/>
  <c r="AA258" i="61"/>
  <c r="BD258" i="61" s="1"/>
  <c r="W258" i="61"/>
  <c r="AZ258" i="61" s="1"/>
  <c r="AC258" i="61"/>
  <c r="BF258" i="61" s="1"/>
  <c r="AE258" i="61"/>
  <c r="BH258" i="61" s="1"/>
  <c r="AB258" i="61"/>
  <c r="BE258" i="61" s="1"/>
  <c r="X258" i="61"/>
  <c r="BA258" i="61" s="1"/>
  <c r="Y258" i="61"/>
  <c r="BB258" i="61" s="1"/>
  <c r="Z258" i="61"/>
  <c r="BC258" i="61" s="1"/>
  <c r="S258" i="61"/>
  <c r="AV258" i="61" s="1"/>
  <c r="AG271" i="61"/>
  <c r="BJ271" i="61" s="1"/>
  <c r="U271" i="61"/>
  <c r="AX271" i="61" s="1"/>
  <c r="T271" i="61"/>
  <c r="AW271" i="61" s="1"/>
  <c r="V271" i="61"/>
  <c r="AY271" i="61" s="1"/>
  <c r="AA271" i="61"/>
  <c r="BD271" i="61" s="1"/>
  <c r="Z271" i="61"/>
  <c r="BC271" i="61" s="1"/>
  <c r="AD271" i="61"/>
  <c r="BG271" i="61" s="1"/>
  <c r="X271" i="61"/>
  <c r="BA271" i="61" s="1"/>
  <c r="Y271" i="61"/>
  <c r="BB271" i="61" s="1"/>
  <c r="AE271" i="61"/>
  <c r="BH271" i="61" s="1"/>
  <c r="W271" i="61"/>
  <c r="AZ271" i="61" s="1"/>
  <c r="AC271" i="61"/>
  <c r="BF271" i="61" s="1"/>
  <c r="AF271" i="61"/>
  <c r="BI271" i="61" s="1"/>
  <c r="AB271" i="61"/>
  <c r="BE271" i="61" s="1"/>
  <c r="S271" i="61"/>
  <c r="AV271" i="61" s="1"/>
  <c r="AG198" i="61"/>
  <c r="BJ198" i="61" s="1"/>
  <c r="T198" i="61"/>
  <c r="AW198" i="61" s="1"/>
  <c r="U198" i="61"/>
  <c r="AX198" i="61" s="1"/>
  <c r="W198" i="61"/>
  <c r="AZ198" i="61" s="1"/>
  <c r="X198" i="61"/>
  <c r="BA198" i="61" s="1"/>
  <c r="V198" i="61"/>
  <c r="AY198" i="61" s="1"/>
  <c r="AB198" i="61"/>
  <c r="BE198" i="61" s="1"/>
  <c r="AC198" i="61"/>
  <c r="BF198" i="61" s="1"/>
  <c r="Z198" i="61"/>
  <c r="BC198" i="61" s="1"/>
  <c r="AD198" i="61"/>
  <c r="BG198" i="61" s="1"/>
  <c r="Y198" i="61"/>
  <c r="BB198" i="61" s="1"/>
  <c r="AE198" i="61"/>
  <c r="BH198" i="61" s="1"/>
  <c r="AF198" i="61"/>
  <c r="BI198" i="61" s="1"/>
  <c r="AA198" i="61"/>
  <c r="BD198" i="61" s="1"/>
  <c r="S198" i="61"/>
  <c r="AV198" i="61" s="1"/>
  <c r="T144" i="61"/>
  <c r="AW144" i="61" s="1"/>
  <c r="AA144" i="61"/>
  <c r="BD144" i="61" s="1"/>
  <c r="Z144" i="61"/>
  <c r="BC144" i="61" s="1"/>
  <c r="AC144" i="61"/>
  <c r="BF144" i="61" s="1"/>
  <c r="AG144" i="61"/>
  <c r="BJ144" i="61" s="1"/>
  <c r="X144" i="61"/>
  <c r="BA144" i="61" s="1"/>
  <c r="W144" i="61"/>
  <c r="AZ144" i="61" s="1"/>
  <c r="AB144" i="61"/>
  <c r="BE144" i="61" s="1"/>
  <c r="Y144" i="61"/>
  <c r="BB144" i="61" s="1"/>
  <c r="AE144" i="61"/>
  <c r="BH144" i="61" s="1"/>
  <c r="AD144" i="61"/>
  <c r="BG144" i="61" s="1"/>
  <c r="V144" i="61"/>
  <c r="AY144" i="61" s="1"/>
  <c r="AF144" i="61"/>
  <c r="BI144" i="61" s="1"/>
  <c r="U144" i="61"/>
  <c r="AX144" i="61" s="1"/>
  <c r="S144" i="61"/>
  <c r="AV144" i="61" s="1"/>
  <c r="AE242" i="61"/>
  <c r="BH242" i="61" s="1"/>
  <c r="AD242" i="61"/>
  <c r="BG242" i="61" s="1"/>
  <c r="AB242" i="61"/>
  <c r="BE242" i="61" s="1"/>
  <c r="AG242" i="61"/>
  <c r="BJ242" i="61" s="1"/>
  <c r="Y242" i="61"/>
  <c r="BB242" i="61" s="1"/>
  <c r="Z242" i="61"/>
  <c r="BC242" i="61" s="1"/>
  <c r="X242" i="61"/>
  <c r="BA242" i="61" s="1"/>
  <c r="W242" i="61"/>
  <c r="AZ242" i="61" s="1"/>
  <c r="AF242" i="61"/>
  <c r="BI242" i="61" s="1"/>
  <c r="U242" i="61"/>
  <c r="AX242" i="61" s="1"/>
  <c r="T242" i="61"/>
  <c r="AW242" i="61" s="1"/>
  <c r="AC242" i="61"/>
  <c r="BF242" i="61" s="1"/>
  <c r="V242" i="61"/>
  <c r="AY242" i="61" s="1"/>
  <c r="AA242" i="61"/>
  <c r="BD242" i="61" s="1"/>
  <c r="S242" i="61"/>
  <c r="AV242" i="61" s="1"/>
  <c r="T127" i="61"/>
  <c r="AW127" i="61" s="1"/>
  <c r="AD127" i="61"/>
  <c r="BG127" i="61" s="1"/>
  <c r="V127" i="61"/>
  <c r="AY127" i="61" s="1"/>
  <c r="Y127" i="61"/>
  <c r="BB127" i="61" s="1"/>
  <c r="Z127" i="61"/>
  <c r="BC127" i="61" s="1"/>
  <c r="AE127" i="61"/>
  <c r="BH127" i="61" s="1"/>
  <c r="U127" i="61"/>
  <c r="AX127" i="61" s="1"/>
  <c r="AA127" i="61"/>
  <c r="BD127" i="61" s="1"/>
  <c r="X127" i="61"/>
  <c r="BA127" i="61" s="1"/>
  <c r="AC127" i="61"/>
  <c r="BF127" i="61" s="1"/>
  <c r="AF127" i="61"/>
  <c r="BI127" i="61" s="1"/>
  <c r="AB127" i="61"/>
  <c r="BE127" i="61" s="1"/>
  <c r="W127" i="61"/>
  <c r="AZ127" i="61" s="1"/>
  <c r="AG127" i="61"/>
  <c r="BJ127" i="61" s="1"/>
  <c r="S127" i="61"/>
  <c r="AV127" i="61" s="1"/>
  <c r="V212" i="61"/>
  <c r="AY212" i="61" s="1"/>
  <c r="X212" i="61"/>
  <c r="BA212" i="61" s="1"/>
  <c r="AD212" i="61"/>
  <c r="BG212" i="61" s="1"/>
  <c r="Y212" i="61"/>
  <c r="BB212" i="61" s="1"/>
  <c r="AB212" i="61"/>
  <c r="BE212" i="61" s="1"/>
  <c r="AA212" i="61"/>
  <c r="BD212" i="61" s="1"/>
  <c r="W212" i="61"/>
  <c r="AZ212" i="61" s="1"/>
  <c r="U212" i="61"/>
  <c r="AX212" i="61" s="1"/>
  <c r="AF212" i="61"/>
  <c r="BI212" i="61" s="1"/>
  <c r="AG212" i="61"/>
  <c r="BJ212" i="61" s="1"/>
  <c r="AC212" i="61"/>
  <c r="BF212" i="61" s="1"/>
  <c r="AE212" i="61"/>
  <c r="BH212" i="61" s="1"/>
  <c r="Z212" i="61"/>
  <c r="BC212" i="61" s="1"/>
  <c r="T212" i="61"/>
  <c r="AW212" i="61" s="1"/>
  <c r="S212" i="61"/>
  <c r="AV212" i="61" s="1"/>
  <c r="U323" i="61"/>
  <c r="AX323" i="61" s="1"/>
  <c r="AF323" i="61"/>
  <c r="BI323" i="61" s="1"/>
  <c r="V323" i="61"/>
  <c r="AY323" i="61" s="1"/>
  <c r="X323" i="61"/>
  <c r="BA323" i="61" s="1"/>
  <c r="Y323" i="61"/>
  <c r="BB323" i="61" s="1"/>
  <c r="T323" i="61"/>
  <c r="AW323" i="61" s="1"/>
  <c r="AG323" i="61"/>
  <c r="BJ323" i="61" s="1"/>
  <c r="AD323" i="61"/>
  <c r="BG323" i="61" s="1"/>
  <c r="AC323" i="61"/>
  <c r="BF323" i="61" s="1"/>
  <c r="AB323" i="61"/>
  <c r="BE323" i="61" s="1"/>
  <c r="AE323" i="61"/>
  <c r="BH323" i="61" s="1"/>
  <c r="AA323" i="61"/>
  <c r="BD323" i="61" s="1"/>
  <c r="W323" i="61"/>
  <c r="AZ323" i="61" s="1"/>
  <c r="Z323" i="61"/>
  <c r="BC323" i="61" s="1"/>
  <c r="S323" i="61"/>
  <c r="AV323" i="61" s="1"/>
  <c r="AF159" i="61"/>
  <c r="BI159" i="61" s="1"/>
  <c r="W159" i="61"/>
  <c r="AZ159" i="61" s="1"/>
  <c r="X159" i="61"/>
  <c r="BA159" i="61" s="1"/>
  <c r="AE159" i="61"/>
  <c r="BH159" i="61" s="1"/>
  <c r="AG159" i="61"/>
  <c r="BJ159" i="61" s="1"/>
  <c r="V159" i="61"/>
  <c r="AY159" i="61" s="1"/>
  <c r="AB159" i="61"/>
  <c r="BE159" i="61" s="1"/>
  <c r="Y159" i="61"/>
  <c r="BB159" i="61" s="1"/>
  <c r="AD159" i="61"/>
  <c r="BG159" i="61" s="1"/>
  <c r="Z159" i="61"/>
  <c r="BC159" i="61" s="1"/>
  <c r="U159" i="61"/>
  <c r="AX159" i="61" s="1"/>
  <c r="AC159" i="61"/>
  <c r="BF159" i="61" s="1"/>
  <c r="T159" i="61"/>
  <c r="AW159" i="61" s="1"/>
  <c r="AA159" i="61"/>
  <c r="BD159" i="61" s="1"/>
  <c r="S159" i="61"/>
  <c r="AV159" i="61" s="1"/>
  <c r="T39" i="61"/>
  <c r="AW39" i="61" s="1"/>
  <c r="W39" i="61"/>
  <c r="AZ39" i="61" s="1"/>
  <c r="Y39" i="61"/>
  <c r="BB39" i="61" s="1"/>
  <c r="AD39" i="61"/>
  <c r="BG39" i="61" s="1"/>
  <c r="V39" i="61"/>
  <c r="AY39" i="61" s="1"/>
  <c r="AG39" i="61"/>
  <c r="BJ39" i="61" s="1"/>
  <c r="X39" i="61"/>
  <c r="BA39" i="61" s="1"/>
  <c r="U39" i="61"/>
  <c r="AX39" i="61" s="1"/>
  <c r="AE39" i="61"/>
  <c r="BH39" i="61" s="1"/>
  <c r="AA39" i="61"/>
  <c r="BD39" i="61" s="1"/>
  <c r="AF39" i="61"/>
  <c r="BI39" i="61" s="1"/>
  <c r="AB39" i="61"/>
  <c r="BE39" i="61" s="1"/>
  <c r="Z39" i="61"/>
  <c r="BC39" i="61" s="1"/>
  <c r="AC39" i="61"/>
  <c r="BF39" i="61" s="1"/>
  <c r="S39" i="61"/>
  <c r="AV39" i="61" s="1"/>
  <c r="AC88" i="61"/>
  <c r="BF88" i="61" s="1"/>
  <c r="AG88" i="61"/>
  <c r="BJ88" i="61" s="1"/>
  <c r="AD88" i="61"/>
  <c r="BG88" i="61" s="1"/>
  <c r="Y88" i="61"/>
  <c r="BB88" i="61" s="1"/>
  <c r="X88" i="61"/>
  <c r="BA88" i="61" s="1"/>
  <c r="AA88" i="61"/>
  <c r="BD88" i="61" s="1"/>
  <c r="U88" i="61"/>
  <c r="AX88" i="61" s="1"/>
  <c r="AB88" i="61"/>
  <c r="BE88" i="61" s="1"/>
  <c r="AF88" i="61"/>
  <c r="BI88" i="61" s="1"/>
  <c r="W88" i="61"/>
  <c r="AZ88" i="61" s="1"/>
  <c r="AE88" i="61"/>
  <c r="BH88" i="61" s="1"/>
  <c r="T88" i="61"/>
  <c r="AW88" i="61" s="1"/>
  <c r="Z88" i="61"/>
  <c r="BC88" i="61" s="1"/>
  <c r="V88" i="61"/>
  <c r="AY88" i="61" s="1"/>
  <c r="S88" i="61"/>
  <c r="AV88" i="61" s="1"/>
  <c r="AC276" i="61"/>
  <c r="BF276" i="61" s="1"/>
  <c r="Z276" i="61"/>
  <c r="BC276" i="61" s="1"/>
  <c r="AA276" i="61"/>
  <c r="BD276" i="61" s="1"/>
  <c r="U276" i="61"/>
  <c r="AX276" i="61" s="1"/>
  <c r="T276" i="61"/>
  <c r="AW276" i="61" s="1"/>
  <c r="AE276" i="61"/>
  <c r="BH276" i="61" s="1"/>
  <c r="X276" i="61"/>
  <c r="BA276" i="61" s="1"/>
  <c r="Y276" i="61"/>
  <c r="BB276" i="61" s="1"/>
  <c r="V276" i="61"/>
  <c r="AY276" i="61" s="1"/>
  <c r="AB276" i="61"/>
  <c r="BE276" i="61" s="1"/>
  <c r="AD276" i="61"/>
  <c r="BG276" i="61" s="1"/>
  <c r="AF276" i="61"/>
  <c r="BI276" i="61" s="1"/>
  <c r="AG276" i="61"/>
  <c r="BJ276" i="61" s="1"/>
  <c r="W276" i="61"/>
  <c r="AZ276" i="61" s="1"/>
  <c r="S276" i="61"/>
  <c r="AV276" i="61" s="1"/>
  <c r="AE15" i="61"/>
  <c r="BH15" i="61" s="1"/>
  <c r="AG15" i="61"/>
  <c r="BJ15" i="61" s="1"/>
  <c r="V15" i="61"/>
  <c r="AY15" i="61" s="1"/>
  <c r="AD15" i="61"/>
  <c r="BG15" i="61" s="1"/>
  <c r="AC15" i="61"/>
  <c r="BF15" i="61" s="1"/>
  <c r="W15" i="61"/>
  <c r="AZ15" i="61" s="1"/>
  <c r="AB15" i="61"/>
  <c r="BE15" i="61" s="1"/>
  <c r="X15" i="61"/>
  <c r="BA15" i="61" s="1"/>
  <c r="AF15" i="61"/>
  <c r="BI15" i="61" s="1"/>
  <c r="Z15" i="61"/>
  <c r="BC15" i="61" s="1"/>
  <c r="AA15" i="61"/>
  <c r="BD15" i="61" s="1"/>
  <c r="U15" i="61"/>
  <c r="AX15" i="61" s="1"/>
  <c r="T15" i="61"/>
  <c r="AW15" i="61" s="1"/>
  <c r="Y15" i="61"/>
  <c r="BB15" i="61" s="1"/>
  <c r="S15" i="61"/>
  <c r="AV15" i="61" s="1"/>
  <c r="W164" i="61"/>
  <c r="AZ164" i="61" s="1"/>
  <c r="AF164" i="61"/>
  <c r="BI164" i="61" s="1"/>
  <c r="T164" i="61"/>
  <c r="AW164" i="61" s="1"/>
  <c r="AD164" i="61"/>
  <c r="BG164" i="61" s="1"/>
  <c r="X164" i="61"/>
  <c r="BA164" i="61" s="1"/>
  <c r="AE164" i="61"/>
  <c r="BH164" i="61" s="1"/>
  <c r="AG164" i="61"/>
  <c r="BJ164" i="61" s="1"/>
  <c r="U164" i="61"/>
  <c r="AX164" i="61" s="1"/>
  <c r="Y164" i="61"/>
  <c r="BB164" i="61" s="1"/>
  <c r="AA164" i="61"/>
  <c r="BD164" i="61" s="1"/>
  <c r="Z164" i="61"/>
  <c r="BC164" i="61" s="1"/>
  <c r="AC164" i="61"/>
  <c r="BF164" i="61" s="1"/>
  <c r="AB164" i="61"/>
  <c r="BE164" i="61" s="1"/>
  <c r="V164" i="61"/>
  <c r="AY164" i="61" s="1"/>
  <c r="S164" i="61"/>
  <c r="AV164" i="61" s="1"/>
  <c r="AG27" i="61"/>
  <c r="BJ27" i="61" s="1"/>
  <c r="W27" i="61"/>
  <c r="AZ27" i="61" s="1"/>
  <c r="U27" i="61"/>
  <c r="AX27" i="61" s="1"/>
  <c r="AC27" i="61"/>
  <c r="BF27" i="61" s="1"/>
  <c r="V27" i="61"/>
  <c r="AY27" i="61" s="1"/>
  <c r="AB27" i="61"/>
  <c r="BE27" i="61" s="1"/>
  <c r="AF27" i="61"/>
  <c r="BI27" i="61" s="1"/>
  <c r="AE27" i="61"/>
  <c r="BH27" i="61" s="1"/>
  <c r="T27" i="61"/>
  <c r="AW27" i="61" s="1"/>
  <c r="X27" i="61"/>
  <c r="BA27" i="61" s="1"/>
  <c r="AD27" i="61"/>
  <c r="BG27" i="61" s="1"/>
  <c r="Z27" i="61"/>
  <c r="BC27" i="61" s="1"/>
  <c r="Y27" i="61"/>
  <c r="BB27" i="61" s="1"/>
  <c r="AA27" i="61"/>
  <c r="BD27" i="61" s="1"/>
  <c r="S27" i="61"/>
  <c r="AV27" i="61" s="1"/>
  <c r="T28" i="61"/>
  <c r="AW28" i="61" s="1"/>
  <c r="V28" i="61"/>
  <c r="AY28" i="61" s="1"/>
  <c r="AD28" i="61"/>
  <c r="BG28" i="61" s="1"/>
  <c r="AG28" i="61"/>
  <c r="BJ28" i="61" s="1"/>
  <c r="Z28" i="61"/>
  <c r="BC28" i="61" s="1"/>
  <c r="AE28" i="61"/>
  <c r="BH28" i="61" s="1"/>
  <c r="X28" i="61"/>
  <c r="BA28" i="61" s="1"/>
  <c r="W28" i="61"/>
  <c r="AZ28" i="61" s="1"/>
  <c r="AC28" i="61"/>
  <c r="BF28" i="61" s="1"/>
  <c r="AB28" i="61"/>
  <c r="BE28" i="61" s="1"/>
  <c r="U28" i="61"/>
  <c r="AX28" i="61" s="1"/>
  <c r="AA28" i="61"/>
  <c r="BD28" i="61" s="1"/>
  <c r="AF28" i="61"/>
  <c r="BI28" i="61" s="1"/>
  <c r="Y28" i="61"/>
  <c r="BB28" i="61" s="1"/>
  <c r="S28" i="61"/>
  <c r="AV28" i="61" s="1"/>
  <c r="AG36" i="61"/>
  <c r="BJ36" i="61" s="1"/>
  <c r="V36" i="61"/>
  <c r="AY36" i="61" s="1"/>
  <c r="AF36" i="61"/>
  <c r="BI36" i="61" s="1"/>
  <c r="U36" i="61"/>
  <c r="AX36" i="61" s="1"/>
  <c r="AE36" i="61"/>
  <c r="BH36" i="61" s="1"/>
  <c r="AB36" i="61"/>
  <c r="BE36" i="61" s="1"/>
  <c r="T36" i="61"/>
  <c r="AW36" i="61" s="1"/>
  <c r="AD36" i="61"/>
  <c r="BG36" i="61" s="1"/>
  <c r="AC36" i="61"/>
  <c r="BF36" i="61" s="1"/>
  <c r="W36" i="61"/>
  <c r="AZ36" i="61" s="1"/>
  <c r="AA36" i="61"/>
  <c r="BD36" i="61" s="1"/>
  <c r="X36" i="61"/>
  <c r="BA36" i="61" s="1"/>
  <c r="Z36" i="61"/>
  <c r="BC36" i="61" s="1"/>
  <c r="Y36" i="61"/>
  <c r="BB36" i="61" s="1"/>
  <c r="S36" i="61"/>
  <c r="AV36" i="61" s="1"/>
  <c r="AF310" i="61"/>
  <c r="BI310" i="61" s="1"/>
  <c r="AE310" i="61"/>
  <c r="BH310" i="61" s="1"/>
  <c r="Z310" i="61"/>
  <c r="BC310" i="61" s="1"/>
  <c r="T310" i="61"/>
  <c r="AW310" i="61" s="1"/>
  <c r="Y310" i="61"/>
  <c r="BB310" i="61" s="1"/>
  <c r="AA310" i="61"/>
  <c r="BD310" i="61" s="1"/>
  <c r="X310" i="61"/>
  <c r="BA310" i="61" s="1"/>
  <c r="AG310" i="61"/>
  <c r="BJ310" i="61" s="1"/>
  <c r="AD310" i="61"/>
  <c r="BG310" i="61" s="1"/>
  <c r="U310" i="61"/>
  <c r="AX310" i="61" s="1"/>
  <c r="AB310" i="61"/>
  <c r="BE310" i="61" s="1"/>
  <c r="AC310" i="61"/>
  <c r="BF310" i="61" s="1"/>
  <c r="W310" i="61"/>
  <c r="AZ310" i="61" s="1"/>
  <c r="V310" i="61"/>
  <c r="AY310" i="61" s="1"/>
  <c r="S310" i="61"/>
  <c r="AV310" i="61" s="1"/>
  <c r="W302" i="61"/>
  <c r="AZ302" i="61" s="1"/>
  <c r="V302" i="61"/>
  <c r="AY302" i="61" s="1"/>
  <c r="T302" i="61"/>
  <c r="AW302" i="61" s="1"/>
  <c r="AC302" i="61"/>
  <c r="BF302" i="61" s="1"/>
  <c r="AA302" i="61"/>
  <c r="BD302" i="61" s="1"/>
  <c r="AD302" i="61"/>
  <c r="BG302" i="61" s="1"/>
  <c r="AB302" i="61"/>
  <c r="BE302" i="61" s="1"/>
  <c r="U302" i="61"/>
  <c r="AX302" i="61" s="1"/>
  <c r="AE302" i="61"/>
  <c r="BH302" i="61" s="1"/>
  <c r="X302" i="61"/>
  <c r="BA302" i="61" s="1"/>
  <c r="Z302" i="61"/>
  <c r="BC302" i="61" s="1"/>
  <c r="AG302" i="61"/>
  <c r="BJ302" i="61" s="1"/>
  <c r="Y302" i="61"/>
  <c r="BB302" i="61" s="1"/>
  <c r="AF302" i="61"/>
  <c r="BI302" i="61" s="1"/>
  <c r="S302" i="61"/>
  <c r="AV302" i="61" s="1"/>
  <c r="Z269" i="61"/>
  <c r="BC269" i="61" s="1"/>
  <c r="AF269" i="61"/>
  <c r="BI269" i="61" s="1"/>
  <c r="AA269" i="61"/>
  <c r="BD269" i="61" s="1"/>
  <c r="W269" i="61"/>
  <c r="AZ269" i="61" s="1"/>
  <c r="Y269" i="61"/>
  <c r="BB269" i="61" s="1"/>
  <c r="U269" i="61"/>
  <c r="AX269" i="61" s="1"/>
  <c r="T269" i="61"/>
  <c r="AW269" i="61" s="1"/>
  <c r="X269" i="61"/>
  <c r="BA269" i="61" s="1"/>
  <c r="AD269" i="61"/>
  <c r="BG269" i="61" s="1"/>
  <c r="V269" i="61"/>
  <c r="AY269" i="61" s="1"/>
  <c r="AC269" i="61"/>
  <c r="BF269" i="61" s="1"/>
  <c r="AB269" i="61"/>
  <c r="BE269" i="61" s="1"/>
  <c r="AE269" i="61"/>
  <c r="BH269" i="61" s="1"/>
  <c r="AG269" i="61"/>
  <c r="BJ269" i="61" s="1"/>
  <c r="S269" i="61"/>
  <c r="AV269" i="61" s="1"/>
  <c r="AC229" i="61"/>
  <c r="BF229" i="61" s="1"/>
  <c r="AF229" i="61"/>
  <c r="BI229" i="61" s="1"/>
  <c r="AB229" i="61"/>
  <c r="BE229" i="61" s="1"/>
  <c r="AG229" i="61"/>
  <c r="BJ229" i="61" s="1"/>
  <c r="AA229" i="61"/>
  <c r="BD229" i="61" s="1"/>
  <c r="X229" i="61"/>
  <c r="BA229" i="61" s="1"/>
  <c r="Z229" i="61"/>
  <c r="BC229" i="61" s="1"/>
  <c r="T229" i="61"/>
  <c r="AW229" i="61" s="1"/>
  <c r="AD229" i="61"/>
  <c r="BG229" i="61" s="1"/>
  <c r="W229" i="61"/>
  <c r="AZ229" i="61" s="1"/>
  <c r="V229" i="61"/>
  <c r="AY229" i="61" s="1"/>
  <c r="U229" i="61"/>
  <c r="AX229" i="61" s="1"/>
  <c r="Y229" i="61"/>
  <c r="BB229" i="61" s="1"/>
  <c r="AE229" i="61"/>
  <c r="BH229" i="61" s="1"/>
  <c r="S229" i="61"/>
  <c r="AV229" i="61" s="1"/>
  <c r="AD264" i="61"/>
  <c r="BG264" i="61" s="1"/>
  <c r="Z264" i="61"/>
  <c r="BC264" i="61" s="1"/>
  <c r="AG264" i="61"/>
  <c r="BJ264" i="61" s="1"/>
  <c r="Y264" i="61"/>
  <c r="BB264" i="61" s="1"/>
  <c r="AE264" i="61"/>
  <c r="BH264" i="61" s="1"/>
  <c r="AF264" i="61"/>
  <c r="BI264" i="61" s="1"/>
  <c r="X264" i="61"/>
  <c r="BA264" i="61" s="1"/>
  <c r="AB264" i="61"/>
  <c r="BE264" i="61" s="1"/>
  <c r="U264" i="61"/>
  <c r="AX264" i="61" s="1"/>
  <c r="T264" i="61"/>
  <c r="AW264" i="61" s="1"/>
  <c r="V264" i="61"/>
  <c r="AY264" i="61" s="1"/>
  <c r="AC264" i="61"/>
  <c r="BF264" i="61" s="1"/>
  <c r="W264" i="61"/>
  <c r="AZ264" i="61" s="1"/>
  <c r="AA264" i="61"/>
  <c r="BD264" i="61" s="1"/>
  <c r="S264" i="61"/>
  <c r="AV264" i="61" s="1"/>
  <c r="Z31" i="61"/>
  <c r="BC31" i="61" s="1"/>
  <c r="AE31" i="61"/>
  <c r="BH31" i="61" s="1"/>
  <c r="T31" i="61"/>
  <c r="AW31" i="61" s="1"/>
  <c r="AB31" i="61"/>
  <c r="BE31" i="61" s="1"/>
  <c r="AA31" i="61"/>
  <c r="BD31" i="61" s="1"/>
  <c r="Y31" i="61"/>
  <c r="BB31" i="61" s="1"/>
  <c r="X31" i="61"/>
  <c r="BA31" i="61" s="1"/>
  <c r="AC31" i="61"/>
  <c r="BF31" i="61" s="1"/>
  <c r="AG31" i="61"/>
  <c r="BJ31" i="61" s="1"/>
  <c r="AD31" i="61"/>
  <c r="BG31" i="61" s="1"/>
  <c r="V31" i="61"/>
  <c r="AY31" i="61" s="1"/>
  <c r="U31" i="61"/>
  <c r="AX31" i="61" s="1"/>
  <c r="W31" i="61"/>
  <c r="AZ31" i="61" s="1"/>
  <c r="AF31" i="61"/>
  <c r="BI31" i="61" s="1"/>
  <c r="S31" i="61"/>
  <c r="AV31" i="61" s="1"/>
  <c r="V148" i="61"/>
  <c r="AY148" i="61" s="1"/>
  <c r="AB148" i="61"/>
  <c r="BE148" i="61" s="1"/>
  <c r="T148" i="61"/>
  <c r="AW148" i="61" s="1"/>
  <c r="X148" i="61"/>
  <c r="BA148" i="61" s="1"/>
  <c r="U148" i="61"/>
  <c r="AX148" i="61" s="1"/>
  <c r="W148" i="61"/>
  <c r="AZ148" i="61" s="1"/>
  <c r="AA148" i="61"/>
  <c r="BD148" i="61" s="1"/>
  <c r="AE148" i="61"/>
  <c r="BH148" i="61" s="1"/>
  <c r="AC148" i="61"/>
  <c r="BF148" i="61" s="1"/>
  <c r="Z148" i="61"/>
  <c r="BC148" i="61" s="1"/>
  <c r="AD148" i="61"/>
  <c r="BG148" i="61" s="1"/>
  <c r="AF148" i="61"/>
  <c r="BI148" i="61" s="1"/>
  <c r="AG148" i="61"/>
  <c r="BJ148" i="61" s="1"/>
  <c r="Y148" i="61"/>
  <c r="BB148" i="61" s="1"/>
  <c r="S148" i="61"/>
  <c r="AV148" i="61" s="1"/>
  <c r="Y179" i="61"/>
  <c r="BB179" i="61" s="1"/>
  <c r="AE179" i="61"/>
  <c r="BH179" i="61" s="1"/>
  <c r="AF179" i="61"/>
  <c r="BI179" i="61" s="1"/>
  <c r="X179" i="61"/>
  <c r="BA179" i="61" s="1"/>
  <c r="V179" i="61"/>
  <c r="AY179" i="61" s="1"/>
  <c r="W179" i="61"/>
  <c r="AZ179" i="61" s="1"/>
  <c r="AD179" i="61"/>
  <c r="BG179" i="61" s="1"/>
  <c r="Z179" i="61"/>
  <c r="BC179" i="61" s="1"/>
  <c r="AG179" i="61"/>
  <c r="BJ179" i="61" s="1"/>
  <c r="AC179" i="61"/>
  <c r="BF179" i="61" s="1"/>
  <c r="U179" i="61"/>
  <c r="AX179" i="61" s="1"/>
  <c r="AA179" i="61"/>
  <c r="BD179" i="61" s="1"/>
  <c r="T179" i="61"/>
  <c r="AW179" i="61" s="1"/>
  <c r="AB179" i="61"/>
  <c r="BE179" i="61" s="1"/>
  <c r="S179" i="61"/>
  <c r="AV179" i="61" s="1"/>
  <c r="AA82" i="61"/>
  <c r="BD82" i="61" s="1"/>
  <c r="AE82" i="61"/>
  <c r="BH82" i="61" s="1"/>
  <c r="U82" i="61"/>
  <c r="AX82" i="61" s="1"/>
  <c r="T82" i="61"/>
  <c r="AW82" i="61" s="1"/>
  <c r="Y82" i="61"/>
  <c r="BB82" i="61" s="1"/>
  <c r="AG82" i="61"/>
  <c r="BJ82" i="61" s="1"/>
  <c r="AF82" i="61"/>
  <c r="BI82" i="61" s="1"/>
  <c r="W82" i="61"/>
  <c r="AZ82" i="61" s="1"/>
  <c r="AB82" i="61"/>
  <c r="BE82" i="61" s="1"/>
  <c r="AD82" i="61"/>
  <c r="BG82" i="61" s="1"/>
  <c r="Z82" i="61"/>
  <c r="BC82" i="61" s="1"/>
  <c r="AC82" i="61"/>
  <c r="BF82" i="61" s="1"/>
  <c r="X82" i="61"/>
  <c r="BA82" i="61" s="1"/>
  <c r="V82" i="61"/>
  <c r="AY82" i="61" s="1"/>
  <c r="S82" i="61"/>
  <c r="AV82" i="61" s="1"/>
  <c r="AE112" i="61"/>
  <c r="BH112" i="61" s="1"/>
  <c r="AB112" i="61"/>
  <c r="BE112" i="61" s="1"/>
  <c r="V112" i="61"/>
  <c r="AY112" i="61" s="1"/>
  <c r="X112" i="61"/>
  <c r="BA112" i="61" s="1"/>
  <c r="AD112" i="61"/>
  <c r="BG112" i="61" s="1"/>
  <c r="T112" i="61"/>
  <c r="AW112" i="61" s="1"/>
  <c r="AC112" i="61"/>
  <c r="BF112" i="61" s="1"/>
  <c r="AG112" i="61"/>
  <c r="BJ112" i="61" s="1"/>
  <c r="AA112" i="61"/>
  <c r="BD112" i="61" s="1"/>
  <c r="AF112" i="61"/>
  <c r="BI112" i="61" s="1"/>
  <c r="U112" i="61"/>
  <c r="AX112" i="61" s="1"/>
  <c r="Y112" i="61"/>
  <c r="BB112" i="61" s="1"/>
  <c r="W112" i="61"/>
  <c r="AZ112" i="61" s="1"/>
  <c r="Z112" i="61"/>
  <c r="BC112" i="61" s="1"/>
  <c r="S112" i="61"/>
  <c r="AV112" i="61" s="1"/>
  <c r="AA331" i="61"/>
  <c r="BD331" i="61" s="1"/>
  <c r="AB331" i="61"/>
  <c r="BE331" i="61" s="1"/>
  <c r="U331" i="61"/>
  <c r="AX331" i="61" s="1"/>
  <c r="AC331" i="61"/>
  <c r="BF331" i="61" s="1"/>
  <c r="AD331" i="61"/>
  <c r="BG331" i="61" s="1"/>
  <c r="Z331" i="61"/>
  <c r="BC331" i="61" s="1"/>
  <c r="W331" i="61"/>
  <c r="AZ331" i="61" s="1"/>
  <c r="T331" i="61"/>
  <c r="AW331" i="61" s="1"/>
  <c r="Y331" i="61"/>
  <c r="BB331" i="61" s="1"/>
  <c r="AE331" i="61"/>
  <c r="BH331" i="61" s="1"/>
  <c r="X331" i="61"/>
  <c r="BA331" i="61" s="1"/>
  <c r="V331" i="61"/>
  <c r="AY331" i="61" s="1"/>
  <c r="AF331" i="61"/>
  <c r="BI331" i="61" s="1"/>
  <c r="AG331" i="61"/>
  <c r="BJ331" i="61" s="1"/>
  <c r="S331" i="61"/>
  <c r="AV331" i="61" s="1"/>
  <c r="AC253" i="61"/>
  <c r="BF253" i="61" s="1"/>
  <c r="AE253" i="61"/>
  <c r="BH253" i="61" s="1"/>
  <c r="AD253" i="61"/>
  <c r="BG253" i="61" s="1"/>
  <c r="V253" i="61"/>
  <c r="AY253" i="61" s="1"/>
  <c r="AF253" i="61"/>
  <c r="BI253" i="61" s="1"/>
  <c r="AG253" i="61"/>
  <c r="BJ253" i="61" s="1"/>
  <c r="AB253" i="61"/>
  <c r="BE253" i="61" s="1"/>
  <c r="T253" i="61"/>
  <c r="AW253" i="61" s="1"/>
  <c r="AA253" i="61"/>
  <c r="BD253" i="61" s="1"/>
  <c r="U253" i="61"/>
  <c r="AX253" i="61" s="1"/>
  <c r="Z253" i="61"/>
  <c r="BC253" i="61" s="1"/>
  <c r="X253" i="61"/>
  <c r="BA253" i="61" s="1"/>
  <c r="Y253" i="61"/>
  <c r="BB253" i="61" s="1"/>
  <c r="W253" i="61"/>
  <c r="AZ253" i="61" s="1"/>
  <c r="S253" i="61"/>
  <c r="AV253" i="61" s="1"/>
  <c r="T209" i="61"/>
  <c r="AW209" i="61" s="1"/>
  <c r="V209" i="61"/>
  <c r="AY209" i="61" s="1"/>
  <c r="W209" i="61"/>
  <c r="AZ209" i="61" s="1"/>
  <c r="AA209" i="61"/>
  <c r="BD209" i="61" s="1"/>
  <c r="Y209" i="61"/>
  <c r="BB209" i="61" s="1"/>
  <c r="U209" i="61"/>
  <c r="AX209" i="61" s="1"/>
  <c r="AC209" i="61"/>
  <c r="BF209" i="61" s="1"/>
  <c r="AB209" i="61"/>
  <c r="BE209" i="61" s="1"/>
  <c r="AF209" i="61"/>
  <c r="BI209" i="61" s="1"/>
  <c r="AD209" i="61"/>
  <c r="BG209" i="61" s="1"/>
  <c r="AE209" i="61"/>
  <c r="BH209" i="61" s="1"/>
  <c r="AG209" i="61"/>
  <c r="BJ209" i="61" s="1"/>
  <c r="X209" i="61"/>
  <c r="BA209" i="61" s="1"/>
  <c r="Z209" i="61"/>
  <c r="BC209" i="61" s="1"/>
  <c r="S209" i="61"/>
  <c r="AV209" i="61" s="1"/>
  <c r="AC311" i="61"/>
  <c r="BF311" i="61" s="1"/>
  <c r="X311" i="61"/>
  <c r="BA311" i="61" s="1"/>
  <c r="W311" i="61"/>
  <c r="AZ311" i="61" s="1"/>
  <c r="V311" i="61"/>
  <c r="AY311" i="61" s="1"/>
  <c r="Z311" i="61"/>
  <c r="BC311" i="61" s="1"/>
  <c r="Y311" i="61"/>
  <c r="BB311" i="61" s="1"/>
  <c r="AA311" i="61"/>
  <c r="BD311" i="61" s="1"/>
  <c r="T311" i="61"/>
  <c r="AW311" i="61" s="1"/>
  <c r="AD311" i="61"/>
  <c r="BG311" i="61" s="1"/>
  <c r="U311" i="61"/>
  <c r="AX311" i="61" s="1"/>
  <c r="AG311" i="61"/>
  <c r="BJ311" i="61" s="1"/>
  <c r="AB311" i="61"/>
  <c r="BE311" i="61" s="1"/>
  <c r="AE311" i="61"/>
  <c r="BH311" i="61" s="1"/>
  <c r="AF311" i="61"/>
  <c r="BI311" i="61" s="1"/>
  <c r="S311" i="61"/>
  <c r="AV311" i="61" s="1"/>
  <c r="AD216" i="61"/>
  <c r="BG216" i="61" s="1"/>
  <c r="AF216" i="61"/>
  <c r="BI216" i="61" s="1"/>
  <c r="AG216" i="61"/>
  <c r="BJ216" i="61" s="1"/>
  <c r="AA216" i="61"/>
  <c r="BD216" i="61" s="1"/>
  <c r="AE216" i="61"/>
  <c r="BH216" i="61" s="1"/>
  <c r="V216" i="61"/>
  <c r="AY216" i="61" s="1"/>
  <c r="T216" i="61"/>
  <c r="AW216" i="61" s="1"/>
  <c r="Z216" i="61"/>
  <c r="BC216" i="61" s="1"/>
  <c r="X216" i="61"/>
  <c r="BA216" i="61" s="1"/>
  <c r="W216" i="61"/>
  <c r="AZ216" i="61" s="1"/>
  <c r="Y216" i="61"/>
  <c r="BB216" i="61" s="1"/>
  <c r="AB216" i="61"/>
  <c r="BE216" i="61" s="1"/>
  <c r="AC216" i="61"/>
  <c r="BF216" i="61" s="1"/>
  <c r="U216" i="61"/>
  <c r="AX216" i="61" s="1"/>
  <c r="S216" i="61"/>
  <c r="AV216" i="61" s="1"/>
  <c r="AG97" i="61"/>
  <c r="BJ97" i="61" s="1"/>
  <c r="AD97" i="61"/>
  <c r="BG97" i="61" s="1"/>
  <c r="AF97" i="61"/>
  <c r="BI97" i="61" s="1"/>
  <c r="AA97" i="61"/>
  <c r="BD97" i="61" s="1"/>
  <c r="U97" i="61"/>
  <c r="AX97" i="61" s="1"/>
  <c r="X97" i="61"/>
  <c r="BA97" i="61" s="1"/>
  <c r="T97" i="61"/>
  <c r="AW97" i="61" s="1"/>
  <c r="AE97" i="61"/>
  <c r="BH97" i="61" s="1"/>
  <c r="V97" i="61"/>
  <c r="AY97" i="61" s="1"/>
  <c r="W97" i="61"/>
  <c r="AZ97" i="61" s="1"/>
  <c r="AB97" i="61"/>
  <c r="BE97" i="61" s="1"/>
  <c r="Y97" i="61"/>
  <c r="BB97" i="61" s="1"/>
  <c r="AC97" i="61"/>
  <c r="BF97" i="61" s="1"/>
  <c r="Z97" i="61"/>
  <c r="BC97" i="61" s="1"/>
  <c r="S97" i="61"/>
  <c r="AV97" i="61" s="1"/>
  <c r="X282" i="61"/>
  <c r="BA282" i="61" s="1"/>
  <c r="V282" i="61"/>
  <c r="AY282" i="61" s="1"/>
  <c r="Y282" i="61"/>
  <c r="BB282" i="61" s="1"/>
  <c r="U282" i="61"/>
  <c r="AX282" i="61" s="1"/>
  <c r="AG282" i="61"/>
  <c r="BJ282" i="61" s="1"/>
  <c r="AC282" i="61"/>
  <c r="BF282" i="61" s="1"/>
  <c r="W282" i="61"/>
  <c r="AZ282" i="61" s="1"/>
  <c r="AB282" i="61"/>
  <c r="BE282" i="61" s="1"/>
  <c r="AE282" i="61"/>
  <c r="BH282" i="61" s="1"/>
  <c r="AA282" i="61"/>
  <c r="BD282" i="61" s="1"/>
  <c r="AF282" i="61"/>
  <c r="BI282" i="61" s="1"/>
  <c r="AD282" i="61"/>
  <c r="BG282" i="61" s="1"/>
  <c r="T282" i="61"/>
  <c r="AW282" i="61" s="1"/>
  <c r="Z282" i="61"/>
  <c r="BC282" i="61" s="1"/>
  <c r="S282" i="61"/>
  <c r="AV282" i="61" s="1"/>
  <c r="U108" i="61"/>
  <c r="AX108" i="61" s="1"/>
  <c r="X108" i="61"/>
  <c r="BA108" i="61" s="1"/>
  <c r="W108" i="61"/>
  <c r="AZ108" i="61" s="1"/>
  <c r="V108" i="61"/>
  <c r="AY108" i="61" s="1"/>
  <c r="AC108" i="61"/>
  <c r="BF108" i="61" s="1"/>
  <c r="AF108" i="61"/>
  <c r="BI108" i="61" s="1"/>
  <c r="AE108" i="61"/>
  <c r="BH108" i="61" s="1"/>
  <c r="AD108" i="61"/>
  <c r="BG108" i="61" s="1"/>
  <c r="AG108" i="61"/>
  <c r="BJ108" i="61" s="1"/>
  <c r="AA108" i="61"/>
  <c r="BD108" i="61" s="1"/>
  <c r="Z108" i="61"/>
  <c r="BC108" i="61" s="1"/>
  <c r="T108" i="61"/>
  <c r="AW108" i="61" s="1"/>
  <c r="Y108" i="61"/>
  <c r="BB108" i="61" s="1"/>
  <c r="AB108" i="61"/>
  <c r="BE108" i="61" s="1"/>
  <c r="S108" i="61"/>
  <c r="AV108" i="61" s="1"/>
  <c r="U167" i="61"/>
  <c r="AX167" i="61" s="1"/>
  <c r="W167" i="61"/>
  <c r="AZ167" i="61" s="1"/>
  <c r="X167" i="61"/>
  <c r="BA167" i="61" s="1"/>
  <c r="V167" i="61"/>
  <c r="AY167" i="61" s="1"/>
  <c r="AD167" i="61"/>
  <c r="BG167" i="61" s="1"/>
  <c r="Y167" i="61"/>
  <c r="BB167" i="61" s="1"/>
  <c r="AG167" i="61"/>
  <c r="BJ167" i="61" s="1"/>
  <c r="AB167" i="61"/>
  <c r="BE167" i="61" s="1"/>
  <c r="AC167" i="61"/>
  <c r="BF167" i="61" s="1"/>
  <c r="AE167" i="61"/>
  <c r="BH167" i="61" s="1"/>
  <c r="T167" i="61"/>
  <c r="AW167" i="61" s="1"/>
  <c r="AF167" i="61"/>
  <c r="BI167" i="61" s="1"/>
  <c r="AA167" i="61"/>
  <c r="BD167" i="61" s="1"/>
  <c r="Z167" i="61"/>
  <c r="BC167" i="61" s="1"/>
  <c r="S167" i="61"/>
  <c r="AV167" i="61" s="1"/>
  <c r="AG93" i="61"/>
  <c r="BJ93" i="61" s="1"/>
  <c r="T93" i="61"/>
  <c r="AW93" i="61" s="1"/>
  <c r="AF93" i="61"/>
  <c r="BI93" i="61" s="1"/>
  <c r="AE93" i="61"/>
  <c r="BH93" i="61" s="1"/>
  <c r="W93" i="61"/>
  <c r="AZ93" i="61" s="1"/>
  <c r="AA93" i="61"/>
  <c r="BD93" i="61" s="1"/>
  <c r="Z93" i="61"/>
  <c r="BC93" i="61" s="1"/>
  <c r="X93" i="61"/>
  <c r="BA93" i="61" s="1"/>
  <c r="AB93" i="61"/>
  <c r="BE93" i="61" s="1"/>
  <c r="Y93" i="61"/>
  <c r="BB93" i="61" s="1"/>
  <c r="V93" i="61"/>
  <c r="AY93" i="61" s="1"/>
  <c r="AD93" i="61"/>
  <c r="BG93" i="61" s="1"/>
  <c r="U93" i="61"/>
  <c r="AX93" i="61" s="1"/>
  <c r="AC93" i="61"/>
  <c r="BF93" i="61" s="1"/>
  <c r="S93" i="61"/>
  <c r="AV93" i="61" s="1"/>
  <c r="AE137" i="61"/>
  <c r="BH137" i="61" s="1"/>
  <c r="AC137" i="61"/>
  <c r="BF137" i="61" s="1"/>
  <c r="AD137" i="61"/>
  <c r="BG137" i="61" s="1"/>
  <c r="AF137" i="61"/>
  <c r="BI137" i="61" s="1"/>
  <c r="AG137" i="61"/>
  <c r="BJ137" i="61" s="1"/>
  <c r="Z137" i="61"/>
  <c r="BC137" i="61" s="1"/>
  <c r="AA137" i="61"/>
  <c r="BD137" i="61" s="1"/>
  <c r="T137" i="61"/>
  <c r="AW137" i="61" s="1"/>
  <c r="V137" i="61"/>
  <c r="AY137" i="61" s="1"/>
  <c r="AB137" i="61"/>
  <c r="BE137" i="61" s="1"/>
  <c r="Y137" i="61"/>
  <c r="BB137" i="61" s="1"/>
  <c r="X137" i="61"/>
  <c r="BA137" i="61" s="1"/>
  <c r="W137" i="61"/>
  <c r="AZ137" i="61" s="1"/>
  <c r="U137" i="61"/>
  <c r="AX137" i="61" s="1"/>
  <c r="S137" i="61"/>
  <c r="AV137" i="61" s="1"/>
  <c r="AC300" i="61"/>
  <c r="BF300" i="61" s="1"/>
  <c r="T300" i="61"/>
  <c r="AW300" i="61" s="1"/>
  <c r="U300" i="61"/>
  <c r="AX300" i="61" s="1"/>
  <c r="Z300" i="61"/>
  <c r="BC300" i="61" s="1"/>
  <c r="AE300" i="61"/>
  <c r="BH300" i="61" s="1"/>
  <c r="AB300" i="61"/>
  <c r="BE300" i="61" s="1"/>
  <c r="AG300" i="61"/>
  <c r="BJ300" i="61" s="1"/>
  <c r="AA300" i="61"/>
  <c r="BD300" i="61" s="1"/>
  <c r="Y300" i="61"/>
  <c r="BB300" i="61" s="1"/>
  <c r="AD300" i="61"/>
  <c r="BG300" i="61" s="1"/>
  <c r="W300" i="61"/>
  <c r="AZ300" i="61" s="1"/>
  <c r="X300" i="61"/>
  <c r="BA300" i="61" s="1"/>
  <c r="AF300" i="61"/>
  <c r="BI300" i="61" s="1"/>
  <c r="V300" i="61"/>
  <c r="AY300" i="61" s="1"/>
  <c r="S300" i="61"/>
  <c r="AV300" i="61" s="1"/>
  <c r="AE324" i="61"/>
  <c r="BH324" i="61" s="1"/>
  <c r="T324" i="61"/>
  <c r="AW324" i="61" s="1"/>
  <c r="V324" i="61"/>
  <c r="AY324" i="61" s="1"/>
  <c r="AC324" i="61"/>
  <c r="BF324" i="61" s="1"/>
  <c r="AD324" i="61"/>
  <c r="BG324" i="61" s="1"/>
  <c r="W324" i="61"/>
  <c r="AZ324" i="61" s="1"/>
  <c r="AF324" i="61"/>
  <c r="BI324" i="61" s="1"/>
  <c r="U324" i="61"/>
  <c r="AX324" i="61" s="1"/>
  <c r="AB324" i="61"/>
  <c r="BE324" i="61" s="1"/>
  <c r="AA324" i="61"/>
  <c r="BD324" i="61" s="1"/>
  <c r="X324" i="61"/>
  <c r="BA324" i="61" s="1"/>
  <c r="Y324" i="61"/>
  <c r="BB324" i="61" s="1"/>
  <c r="AG324" i="61"/>
  <c r="BJ324" i="61" s="1"/>
  <c r="Z324" i="61"/>
  <c r="BC324" i="61" s="1"/>
  <c r="S324" i="61"/>
  <c r="AV324" i="61" s="1"/>
  <c r="V252" i="61"/>
  <c r="AY252" i="61" s="1"/>
  <c r="AE252" i="61"/>
  <c r="BH252" i="61" s="1"/>
  <c r="AD252" i="61"/>
  <c r="BG252" i="61" s="1"/>
  <c r="AC252" i="61"/>
  <c r="BF252" i="61" s="1"/>
  <c r="U252" i="61"/>
  <c r="AX252" i="61" s="1"/>
  <c r="AB252" i="61"/>
  <c r="BE252" i="61" s="1"/>
  <c r="W252" i="61"/>
  <c r="AZ252" i="61" s="1"/>
  <c r="T252" i="61"/>
  <c r="AW252" i="61" s="1"/>
  <c r="Y252" i="61"/>
  <c r="BB252" i="61" s="1"/>
  <c r="Z252" i="61"/>
  <c r="BC252" i="61" s="1"/>
  <c r="X252" i="61"/>
  <c r="BA252" i="61" s="1"/>
  <c r="AF252" i="61"/>
  <c r="BI252" i="61" s="1"/>
  <c r="AA252" i="61"/>
  <c r="BD252" i="61" s="1"/>
  <c r="AG252" i="61"/>
  <c r="BJ252" i="61" s="1"/>
  <c r="S252" i="61"/>
  <c r="AV252" i="61" s="1"/>
  <c r="W286" i="61"/>
  <c r="AZ286" i="61" s="1"/>
  <c r="V286" i="61"/>
  <c r="AY286" i="61" s="1"/>
  <c r="AB286" i="61"/>
  <c r="BE286" i="61" s="1"/>
  <c r="T286" i="61"/>
  <c r="AW286" i="61" s="1"/>
  <c r="AE286" i="61"/>
  <c r="BH286" i="61" s="1"/>
  <c r="AD286" i="61"/>
  <c r="BG286" i="61" s="1"/>
  <c r="Y286" i="61"/>
  <c r="BB286" i="61" s="1"/>
  <c r="X286" i="61"/>
  <c r="BA286" i="61" s="1"/>
  <c r="Z286" i="61"/>
  <c r="BC286" i="61" s="1"/>
  <c r="AG286" i="61"/>
  <c r="BJ286" i="61" s="1"/>
  <c r="AF286" i="61"/>
  <c r="BI286" i="61" s="1"/>
  <c r="AC286" i="61"/>
  <c r="BF286" i="61" s="1"/>
  <c r="U286" i="61"/>
  <c r="AX286" i="61" s="1"/>
  <c r="AA286" i="61"/>
  <c r="BD286" i="61" s="1"/>
  <c r="S286" i="61"/>
  <c r="AV286" i="61" s="1"/>
  <c r="V163" i="61"/>
  <c r="AY163" i="61" s="1"/>
  <c r="AD163" i="61"/>
  <c r="BG163" i="61" s="1"/>
  <c r="T163" i="61"/>
  <c r="AW163" i="61" s="1"/>
  <c r="Y163" i="61"/>
  <c r="BB163" i="61" s="1"/>
  <c r="W163" i="61"/>
  <c r="AZ163" i="61" s="1"/>
  <c r="X163" i="61"/>
  <c r="BA163" i="61" s="1"/>
  <c r="AA163" i="61"/>
  <c r="BD163" i="61" s="1"/>
  <c r="AB163" i="61"/>
  <c r="BE163" i="61" s="1"/>
  <c r="Z163" i="61"/>
  <c r="BC163" i="61" s="1"/>
  <c r="AC163" i="61"/>
  <c r="BF163" i="61" s="1"/>
  <c r="AG163" i="61"/>
  <c r="BJ163" i="61" s="1"/>
  <c r="U163" i="61"/>
  <c r="AX163" i="61" s="1"/>
  <c r="AE163" i="61"/>
  <c r="BH163" i="61" s="1"/>
  <c r="AF163" i="61"/>
  <c r="BI163" i="61" s="1"/>
  <c r="S163" i="61"/>
  <c r="AV163" i="61" s="1"/>
  <c r="X50" i="61"/>
  <c r="BA50" i="61" s="1"/>
  <c r="W50" i="61"/>
  <c r="AZ50" i="61" s="1"/>
  <c r="V50" i="61"/>
  <c r="AY50" i="61" s="1"/>
  <c r="Z50" i="61"/>
  <c r="BC50" i="61" s="1"/>
  <c r="AE50" i="61"/>
  <c r="BH50" i="61" s="1"/>
  <c r="U50" i="61"/>
  <c r="AX50" i="61" s="1"/>
  <c r="AD50" i="61"/>
  <c r="BG50" i="61" s="1"/>
  <c r="AA50" i="61"/>
  <c r="BD50" i="61" s="1"/>
  <c r="T50" i="61"/>
  <c r="AW50" i="61" s="1"/>
  <c r="AB50" i="61"/>
  <c r="BE50" i="61" s="1"/>
  <c r="AC50" i="61"/>
  <c r="BF50" i="61" s="1"/>
  <c r="AG50" i="61"/>
  <c r="BJ50" i="61" s="1"/>
  <c r="AF50" i="61"/>
  <c r="BI50" i="61" s="1"/>
  <c r="Y50" i="61"/>
  <c r="BB50" i="61" s="1"/>
  <c r="S50" i="61"/>
  <c r="AV50" i="61" s="1"/>
  <c r="AF98" i="61"/>
  <c r="BI98" i="61" s="1"/>
  <c r="AE98" i="61"/>
  <c r="BH98" i="61" s="1"/>
  <c r="AD98" i="61"/>
  <c r="BG98" i="61" s="1"/>
  <c r="V98" i="61"/>
  <c r="AY98" i="61" s="1"/>
  <c r="AB98" i="61"/>
  <c r="BE98" i="61" s="1"/>
  <c r="AA98" i="61"/>
  <c r="BD98" i="61" s="1"/>
  <c r="T98" i="61"/>
  <c r="AW98" i="61" s="1"/>
  <c r="W98" i="61"/>
  <c r="AZ98" i="61" s="1"/>
  <c r="Z98" i="61"/>
  <c r="BC98" i="61" s="1"/>
  <c r="AG98" i="61"/>
  <c r="BJ98" i="61" s="1"/>
  <c r="Y98" i="61"/>
  <c r="BB98" i="61" s="1"/>
  <c r="X98" i="61"/>
  <c r="BA98" i="61" s="1"/>
  <c r="U98" i="61"/>
  <c r="AX98" i="61" s="1"/>
  <c r="AC98" i="61"/>
  <c r="BF98" i="61" s="1"/>
  <c r="S98" i="61"/>
  <c r="AV98" i="61" s="1"/>
  <c r="AE33" i="61"/>
  <c r="BH33" i="61" s="1"/>
  <c r="U33" i="61"/>
  <c r="AX33" i="61" s="1"/>
  <c r="AD33" i="61"/>
  <c r="BG33" i="61" s="1"/>
  <c r="AF33" i="61"/>
  <c r="BI33" i="61" s="1"/>
  <c r="Z33" i="61"/>
  <c r="BC33" i="61" s="1"/>
  <c r="AG33" i="61"/>
  <c r="BJ33" i="61" s="1"/>
  <c r="AB33" i="61"/>
  <c r="BE33" i="61" s="1"/>
  <c r="AC33" i="61"/>
  <c r="BF33" i="61" s="1"/>
  <c r="AA33" i="61"/>
  <c r="BD33" i="61" s="1"/>
  <c r="V33" i="61"/>
  <c r="AY33" i="61" s="1"/>
  <c r="T33" i="61"/>
  <c r="AW33" i="61" s="1"/>
  <c r="Y33" i="61"/>
  <c r="BB33" i="61" s="1"/>
  <c r="W33" i="61"/>
  <c r="AZ33" i="61" s="1"/>
  <c r="X33" i="61"/>
  <c r="BA33" i="61" s="1"/>
  <c r="S33" i="61"/>
  <c r="AV33" i="61" s="1"/>
  <c r="V49" i="61"/>
  <c r="AY49" i="61" s="1"/>
  <c r="AD49" i="61"/>
  <c r="BG49" i="61" s="1"/>
  <c r="W49" i="61"/>
  <c r="AZ49" i="61" s="1"/>
  <c r="X49" i="61"/>
  <c r="BA49" i="61" s="1"/>
  <c r="Z49" i="61"/>
  <c r="BC49" i="61" s="1"/>
  <c r="AB49" i="61"/>
  <c r="BE49" i="61" s="1"/>
  <c r="Y49" i="61"/>
  <c r="BB49" i="61" s="1"/>
  <c r="T49" i="61"/>
  <c r="AW49" i="61" s="1"/>
  <c r="U49" i="61"/>
  <c r="AX49" i="61" s="1"/>
  <c r="AC49" i="61"/>
  <c r="BF49" i="61" s="1"/>
  <c r="AA49" i="61"/>
  <c r="BD49" i="61" s="1"/>
  <c r="AE49" i="61"/>
  <c r="BH49" i="61" s="1"/>
  <c r="AF49" i="61"/>
  <c r="BI49" i="61" s="1"/>
  <c r="AG49" i="61"/>
  <c r="BJ49" i="61" s="1"/>
  <c r="S49" i="61"/>
  <c r="AV49" i="61" s="1"/>
  <c r="Y59" i="61"/>
  <c r="BB59" i="61" s="1"/>
  <c r="AB59" i="61"/>
  <c r="BE59" i="61" s="1"/>
  <c r="U59" i="61"/>
  <c r="AX59" i="61" s="1"/>
  <c r="AG59" i="61"/>
  <c r="BJ59" i="61" s="1"/>
  <c r="T59" i="61"/>
  <c r="AW59" i="61" s="1"/>
  <c r="AD59" i="61"/>
  <c r="BG59" i="61" s="1"/>
  <c r="AE59" i="61"/>
  <c r="BH59" i="61" s="1"/>
  <c r="V59" i="61"/>
  <c r="AY59" i="61" s="1"/>
  <c r="AF59" i="61"/>
  <c r="BI59" i="61" s="1"/>
  <c r="Z59" i="61"/>
  <c r="BC59" i="61" s="1"/>
  <c r="AA59" i="61"/>
  <c r="BD59" i="61" s="1"/>
  <c r="W59" i="61"/>
  <c r="AZ59" i="61" s="1"/>
  <c r="X59" i="61"/>
  <c r="BA59" i="61" s="1"/>
  <c r="AC59" i="61"/>
  <c r="BF59" i="61" s="1"/>
  <c r="S59" i="61"/>
  <c r="AV59" i="61" s="1"/>
  <c r="X133" i="61"/>
  <c r="BA133" i="61" s="1"/>
  <c r="AG133" i="61"/>
  <c r="BJ133" i="61" s="1"/>
  <c r="Z133" i="61"/>
  <c r="BC133" i="61" s="1"/>
  <c r="V133" i="61"/>
  <c r="AY133" i="61" s="1"/>
  <c r="AA133" i="61"/>
  <c r="BD133" i="61" s="1"/>
  <c r="AF133" i="61"/>
  <c r="BI133" i="61" s="1"/>
  <c r="Y133" i="61"/>
  <c r="BB133" i="61" s="1"/>
  <c r="AD133" i="61"/>
  <c r="BG133" i="61" s="1"/>
  <c r="U133" i="61"/>
  <c r="AX133" i="61" s="1"/>
  <c r="W133" i="61"/>
  <c r="AZ133" i="61" s="1"/>
  <c r="T133" i="61"/>
  <c r="AW133" i="61" s="1"/>
  <c r="AE133" i="61"/>
  <c r="BH133" i="61" s="1"/>
  <c r="AB133" i="61"/>
  <c r="BE133" i="61" s="1"/>
  <c r="AC133" i="61"/>
  <c r="BF133" i="61" s="1"/>
  <c r="S133" i="61"/>
  <c r="AV133" i="61" s="1"/>
  <c r="AG230" i="61"/>
  <c r="BJ230" i="61" s="1"/>
  <c r="AA230" i="61"/>
  <c r="BD230" i="61" s="1"/>
  <c r="AB230" i="61"/>
  <c r="BE230" i="61" s="1"/>
  <c r="Z230" i="61"/>
  <c r="BC230" i="61" s="1"/>
  <c r="T230" i="61"/>
  <c r="AW230" i="61" s="1"/>
  <c r="X230" i="61"/>
  <c r="BA230" i="61" s="1"/>
  <c r="AF230" i="61"/>
  <c r="BI230" i="61" s="1"/>
  <c r="AC230" i="61"/>
  <c r="BF230" i="61" s="1"/>
  <c r="W230" i="61"/>
  <c r="AZ230" i="61" s="1"/>
  <c r="U230" i="61"/>
  <c r="AX230" i="61" s="1"/>
  <c r="AE230" i="61"/>
  <c r="BH230" i="61" s="1"/>
  <c r="V230" i="61"/>
  <c r="AY230" i="61" s="1"/>
  <c r="Y230" i="61"/>
  <c r="BB230" i="61" s="1"/>
  <c r="AD230" i="61"/>
  <c r="BG230" i="61" s="1"/>
  <c r="S230" i="61"/>
  <c r="AV230" i="61" s="1"/>
  <c r="AC120" i="61"/>
  <c r="BF120" i="61" s="1"/>
  <c r="V120" i="61"/>
  <c r="AY120" i="61" s="1"/>
  <c r="X120" i="61"/>
  <c r="BA120" i="61" s="1"/>
  <c r="Y120" i="61"/>
  <c r="BB120" i="61" s="1"/>
  <c r="AD120" i="61"/>
  <c r="BG120" i="61" s="1"/>
  <c r="T120" i="61"/>
  <c r="AW120" i="61" s="1"/>
  <c r="U120" i="61"/>
  <c r="AX120" i="61" s="1"/>
  <c r="AG120" i="61"/>
  <c r="BJ120" i="61" s="1"/>
  <c r="AF120" i="61"/>
  <c r="BI120" i="61" s="1"/>
  <c r="W120" i="61"/>
  <c r="AZ120" i="61" s="1"/>
  <c r="AE120" i="61"/>
  <c r="BH120" i="61" s="1"/>
  <c r="AB120" i="61"/>
  <c r="BE120" i="61" s="1"/>
  <c r="Z120" i="61"/>
  <c r="BC120" i="61" s="1"/>
  <c r="AA120" i="61"/>
  <c r="BD120" i="61" s="1"/>
  <c r="S120" i="61"/>
  <c r="AV120" i="61" s="1"/>
  <c r="V20" i="61"/>
  <c r="AY20" i="61" s="1"/>
  <c r="W20" i="61"/>
  <c r="AZ20" i="61" s="1"/>
  <c r="AA20" i="61"/>
  <c r="BD20" i="61" s="1"/>
  <c r="Z20" i="61"/>
  <c r="BC20" i="61" s="1"/>
  <c r="U20" i="61"/>
  <c r="AX20" i="61" s="1"/>
  <c r="AF20" i="61"/>
  <c r="BI20" i="61" s="1"/>
  <c r="Y20" i="61"/>
  <c r="BB20" i="61" s="1"/>
  <c r="T20" i="61"/>
  <c r="AW20" i="61" s="1"/>
  <c r="AG20" i="61"/>
  <c r="BJ20" i="61" s="1"/>
  <c r="AC20" i="61"/>
  <c r="BF20" i="61" s="1"/>
  <c r="AE20" i="61"/>
  <c r="BH20" i="61" s="1"/>
  <c r="AB20" i="61"/>
  <c r="BE20" i="61" s="1"/>
  <c r="X20" i="61"/>
  <c r="BA20" i="61" s="1"/>
  <c r="AD20" i="61"/>
  <c r="BG20" i="61" s="1"/>
  <c r="S20" i="61"/>
  <c r="AV20" i="61" s="1"/>
  <c r="T314" i="61"/>
  <c r="AW314" i="61" s="1"/>
  <c r="Z314" i="61"/>
  <c r="BC314" i="61" s="1"/>
  <c r="V314" i="61"/>
  <c r="AY314" i="61" s="1"/>
  <c r="AE314" i="61"/>
  <c r="BH314" i="61" s="1"/>
  <c r="AA314" i="61"/>
  <c r="BD314" i="61" s="1"/>
  <c r="X314" i="61"/>
  <c r="BA314" i="61" s="1"/>
  <c r="Y314" i="61"/>
  <c r="BB314" i="61" s="1"/>
  <c r="AD314" i="61"/>
  <c r="BG314" i="61" s="1"/>
  <c r="U314" i="61"/>
  <c r="AX314" i="61" s="1"/>
  <c r="AF314" i="61"/>
  <c r="BI314" i="61" s="1"/>
  <c r="AC314" i="61"/>
  <c r="BF314" i="61" s="1"/>
  <c r="AB314" i="61"/>
  <c r="BE314" i="61" s="1"/>
  <c r="AG314" i="61"/>
  <c r="BJ314" i="61" s="1"/>
  <c r="W314" i="61"/>
  <c r="AZ314" i="61" s="1"/>
  <c r="S314" i="61"/>
  <c r="AV314" i="61" s="1"/>
  <c r="AC105" i="61"/>
  <c r="BF105" i="61" s="1"/>
  <c r="AE105" i="61"/>
  <c r="BH105" i="61" s="1"/>
  <c r="AA105" i="61"/>
  <c r="BD105" i="61" s="1"/>
  <c r="W105" i="61"/>
  <c r="AZ105" i="61" s="1"/>
  <c r="T105" i="61"/>
  <c r="AW105" i="61" s="1"/>
  <c r="Z105" i="61"/>
  <c r="BC105" i="61" s="1"/>
  <c r="X105" i="61"/>
  <c r="BA105" i="61" s="1"/>
  <c r="AG105" i="61"/>
  <c r="BJ105" i="61" s="1"/>
  <c r="AF105" i="61"/>
  <c r="BI105" i="61" s="1"/>
  <c r="AB105" i="61"/>
  <c r="BE105" i="61" s="1"/>
  <c r="U105" i="61"/>
  <c r="AX105" i="61" s="1"/>
  <c r="Y105" i="61"/>
  <c r="BB105" i="61" s="1"/>
  <c r="V105" i="61"/>
  <c r="AY105" i="61" s="1"/>
  <c r="AD105" i="61"/>
  <c r="BG105" i="61" s="1"/>
  <c r="S105" i="61"/>
  <c r="AV105" i="61" s="1"/>
  <c r="AF52" i="61"/>
  <c r="BI52" i="61" s="1"/>
  <c r="AG52" i="61"/>
  <c r="BJ52" i="61" s="1"/>
  <c r="T52" i="61"/>
  <c r="AW52" i="61" s="1"/>
  <c r="U52" i="61"/>
  <c r="AX52" i="61" s="1"/>
  <c r="AD52" i="61"/>
  <c r="BG52" i="61" s="1"/>
  <c r="V52" i="61"/>
  <c r="AY52" i="61" s="1"/>
  <c r="AE52" i="61"/>
  <c r="BH52" i="61" s="1"/>
  <c r="Y52" i="61"/>
  <c r="BB52" i="61" s="1"/>
  <c r="W52" i="61"/>
  <c r="AZ52" i="61" s="1"/>
  <c r="X52" i="61"/>
  <c r="BA52" i="61" s="1"/>
  <c r="AA52" i="61"/>
  <c r="BD52" i="61" s="1"/>
  <c r="AB52" i="61"/>
  <c r="BE52" i="61" s="1"/>
  <c r="Z52" i="61"/>
  <c r="BC52" i="61" s="1"/>
  <c r="AC52" i="61"/>
  <c r="BF52" i="61" s="1"/>
  <c r="S52" i="61"/>
  <c r="AV52" i="61" s="1"/>
  <c r="AC122" i="61"/>
  <c r="BF122" i="61" s="1"/>
  <c r="W122" i="61"/>
  <c r="AZ122" i="61" s="1"/>
  <c r="AF122" i="61"/>
  <c r="BI122" i="61" s="1"/>
  <c r="Y122" i="61"/>
  <c r="BB122" i="61" s="1"/>
  <c r="AE122" i="61"/>
  <c r="BH122" i="61" s="1"/>
  <c r="AD122" i="61"/>
  <c r="BG122" i="61" s="1"/>
  <c r="X122" i="61"/>
  <c r="BA122" i="61" s="1"/>
  <c r="AB122" i="61"/>
  <c r="BE122" i="61" s="1"/>
  <c r="AG122" i="61"/>
  <c r="BJ122" i="61" s="1"/>
  <c r="T122" i="61"/>
  <c r="AW122" i="61" s="1"/>
  <c r="Z122" i="61"/>
  <c r="BC122" i="61" s="1"/>
  <c r="AA122" i="61"/>
  <c r="BD122" i="61" s="1"/>
  <c r="U122" i="61"/>
  <c r="AX122" i="61" s="1"/>
  <c r="V122" i="61"/>
  <c r="AY122" i="61" s="1"/>
  <c r="S122" i="61"/>
  <c r="AV122" i="61" s="1"/>
  <c r="AE162" i="61"/>
  <c r="BH162" i="61" s="1"/>
  <c r="X162" i="61"/>
  <c r="BA162" i="61" s="1"/>
  <c r="AG162" i="61"/>
  <c r="BJ162" i="61" s="1"/>
  <c r="Z162" i="61"/>
  <c r="BC162" i="61" s="1"/>
  <c r="AD162" i="61"/>
  <c r="BG162" i="61" s="1"/>
  <c r="V162" i="61"/>
  <c r="AY162" i="61" s="1"/>
  <c r="W162" i="61"/>
  <c r="AZ162" i="61" s="1"/>
  <c r="T162" i="61"/>
  <c r="AW162" i="61" s="1"/>
  <c r="Y162" i="61"/>
  <c r="BB162" i="61" s="1"/>
  <c r="U162" i="61"/>
  <c r="AX162" i="61" s="1"/>
  <c r="AF162" i="61"/>
  <c r="BI162" i="61" s="1"/>
  <c r="AB162" i="61"/>
  <c r="BE162" i="61" s="1"/>
  <c r="AC162" i="61"/>
  <c r="BF162" i="61" s="1"/>
  <c r="AA162" i="61"/>
  <c r="BD162" i="61" s="1"/>
  <c r="S162" i="61"/>
  <c r="AV162" i="61" s="1"/>
  <c r="AF63" i="61"/>
  <c r="BI63" i="61" s="1"/>
  <c r="AG63" i="61"/>
  <c r="BJ63" i="61" s="1"/>
  <c r="AB63" i="61"/>
  <c r="BE63" i="61" s="1"/>
  <c r="Y63" i="61"/>
  <c r="BB63" i="61" s="1"/>
  <c r="X63" i="61"/>
  <c r="BA63" i="61" s="1"/>
  <c r="W63" i="61"/>
  <c r="AZ63" i="61" s="1"/>
  <c r="AD63" i="61"/>
  <c r="BG63" i="61" s="1"/>
  <c r="AC63" i="61"/>
  <c r="BF63" i="61" s="1"/>
  <c r="T63" i="61"/>
  <c r="AW63" i="61" s="1"/>
  <c r="AA63" i="61"/>
  <c r="BD63" i="61" s="1"/>
  <c r="V63" i="61"/>
  <c r="AY63" i="61" s="1"/>
  <c r="AE63" i="61"/>
  <c r="BH63" i="61" s="1"/>
  <c r="Z63" i="61"/>
  <c r="BC63" i="61" s="1"/>
  <c r="U63" i="61"/>
  <c r="AX63" i="61" s="1"/>
  <c r="S63" i="61"/>
  <c r="AV63" i="61" s="1"/>
  <c r="Z47" i="61"/>
  <c r="BC47" i="61" s="1"/>
  <c r="W47" i="61"/>
  <c r="AZ47" i="61" s="1"/>
  <c r="U47" i="61"/>
  <c r="AX47" i="61" s="1"/>
  <c r="AC47" i="61"/>
  <c r="BF47" i="61" s="1"/>
  <c r="X47" i="61"/>
  <c r="BA47" i="61" s="1"/>
  <c r="T47" i="61"/>
  <c r="AW47" i="61" s="1"/>
  <c r="AA47" i="61"/>
  <c r="BD47" i="61" s="1"/>
  <c r="V47" i="61"/>
  <c r="AY47" i="61" s="1"/>
  <c r="Y47" i="61"/>
  <c r="BB47" i="61" s="1"/>
  <c r="AF47" i="61"/>
  <c r="BI47" i="61" s="1"/>
  <c r="AG47" i="61"/>
  <c r="BJ47" i="61" s="1"/>
  <c r="AE47" i="61"/>
  <c r="BH47" i="61" s="1"/>
  <c r="AD47" i="61"/>
  <c r="BG47" i="61" s="1"/>
  <c r="AB47" i="61"/>
  <c r="BE47" i="61" s="1"/>
  <c r="S47" i="61"/>
  <c r="AV47" i="61" s="1"/>
  <c r="W261" i="61"/>
  <c r="AZ261" i="61" s="1"/>
  <c r="V261" i="61"/>
  <c r="AY261" i="61" s="1"/>
  <c r="Z261" i="61"/>
  <c r="BC261" i="61" s="1"/>
  <c r="AE261" i="61"/>
  <c r="BH261" i="61" s="1"/>
  <c r="AB261" i="61"/>
  <c r="BE261" i="61" s="1"/>
  <c r="AD261" i="61"/>
  <c r="BG261" i="61" s="1"/>
  <c r="Y261" i="61"/>
  <c r="BB261" i="61" s="1"/>
  <c r="X261" i="61"/>
  <c r="BA261" i="61" s="1"/>
  <c r="AC261" i="61"/>
  <c r="BF261" i="61" s="1"/>
  <c r="AA261" i="61"/>
  <c r="BD261" i="61" s="1"/>
  <c r="U261" i="61"/>
  <c r="AX261" i="61" s="1"/>
  <c r="AF261" i="61"/>
  <c r="BI261" i="61" s="1"/>
  <c r="AG261" i="61"/>
  <c r="BJ261" i="61" s="1"/>
  <c r="T261" i="61"/>
  <c r="AW261" i="61" s="1"/>
  <c r="S261" i="61"/>
  <c r="AV261" i="61" s="1"/>
  <c r="X224" i="61"/>
  <c r="BA224" i="61" s="1"/>
  <c r="V224" i="61"/>
  <c r="AY224" i="61" s="1"/>
  <c r="Z224" i="61"/>
  <c r="BC224" i="61" s="1"/>
  <c r="W224" i="61"/>
  <c r="AZ224" i="61" s="1"/>
  <c r="Y224" i="61"/>
  <c r="BB224" i="61" s="1"/>
  <c r="AG224" i="61"/>
  <c r="BJ224" i="61" s="1"/>
  <c r="AD224" i="61"/>
  <c r="BG224" i="61" s="1"/>
  <c r="AA224" i="61"/>
  <c r="BD224" i="61" s="1"/>
  <c r="T224" i="61"/>
  <c r="AW224" i="61" s="1"/>
  <c r="U224" i="61"/>
  <c r="AX224" i="61" s="1"/>
  <c r="AF224" i="61"/>
  <c r="BI224" i="61" s="1"/>
  <c r="AB224" i="61"/>
  <c r="BE224" i="61" s="1"/>
  <c r="AC224" i="61"/>
  <c r="BF224" i="61" s="1"/>
  <c r="AE224" i="61"/>
  <c r="BH224" i="61" s="1"/>
  <c r="S224" i="61"/>
  <c r="AV224" i="61" s="1"/>
  <c r="Y256" i="61"/>
  <c r="BB256" i="61" s="1"/>
  <c r="X256" i="61"/>
  <c r="BA256" i="61" s="1"/>
  <c r="AG256" i="61"/>
  <c r="BJ256" i="61" s="1"/>
  <c r="W256" i="61"/>
  <c r="AZ256" i="61" s="1"/>
  <c r="V256" i="61"/>
  <c r="AY256" i="61" s="1"/>
  <c r="AC256" i="61"/>
  <c r="BF256" i="61" s="1"/>
  <c r="U256" i="61"/>
  <c r="AX256" i="61" s="1"/>
  <c r="Z256" i="61"/>
  <c r="BC256" i="61" s="1"/>
  <c r="AA256" i="61"/>
  <c r="BD256" i="61" s="1"/>
  <c r="AD256" i="61"/>
  <c r="BG256" i="61" s="1"/>
  <c r="AB256" i="61"/>
  <c r="BE256" i="61" s="1"/>
  <c r="AF256" i="61"/>
  <c r="BI256" i="61" s="1"/>
  <c r="AE256" i="61"/>
  <c r="BH256" i="61" s="1"/>
  <c r="T256" i="61"/>
  <c r="AW256" i="61" s="1"/>
  <c r="S256" i="61"/>
  <c r="AV256" i="61" s="1"/>
  <c r="AD141" i="61"/>
  <c r="BG141" i="61" s="1"/>
  <c r="Y141" i="61"/>
  <c r="BB141" i="61" s="1"/>
  <c r="AF141" i="61"/>
  <c r="BI141" i="61" s="1"/>
  <c r="X141" i="61"/>
  <c r="BA141" i="61" s="1"/>
  <c r="AE141" i="61"/>
  <c r="BH141" i="61" s="1"/>
  <c r="V141" i="61"/>
  <c r="AY141" i="61" s="1"/>
  <c r="AA141" i="61"/>
  <c r="BD141" i="61" s="1"/>
  <c r="AG141" i="61"/>
  <c r="BJ141" i="61" s="1"/>
  <c r="U141" i="61"/>
  <c r="AX141" i="61" s="1"/>
  <c r="AB141" i="61"/>
  <c r="BE141" i="61" s="1"/>
  <c r="T141" i="61"/>
  <c r="AW141" i="61" s="1"/>
  <c r="AC141" i="61"/>
  <c r="BF141" i="61" s="1"/>
  <c r="W141" i="61"/>
  <c r="AZ141" i="61" s="1"/>
  <c r="Z141" i="61"/>
  <c r="BC141" i="61" s="1"/>
  <c r="S141" i="61"/>
  <c r="AV141" i="61" s="1"/>
  <c r="AD166" i="61"/>
  <c r="BG166" i="61" s="1"/>
  <c r="T166" i="61"/>
  <c r="AW166" i="61" s="1"/>
  <c r="U166" i="61"/>
  <c r="AX166" i="61" s="1"/>
  <c r="Z166" i="61"/>
  <c r="BC166" i="61" s="1"/>
  <c r="V166" i="61"/>
  <c r="AY166" i="61" s="1"/>
  <c r="AE166" i="61"/>
  <c r="BH166" i="61" s="1"/>
  <c r="AG166" i="61"/>
  <c r="BJ166" i="61" s="1"/>
  <c r="AC166" i="61"/>
  <c r="BF166" i="61" s="1"/>
  <c r="W166" i="61"/>
  <c r="AZ166" i="61" s="1"/>
  <c r="AF166" i="61"/>
  <c r="BI166" i="61" s="1"/>
  <c r="Y166" i="61"/>
  <c r="BB166" i="61" s="1"/>
  <c r="AB166" i="61"/>
  <c r="BE166" i="61" s="1"/>
  <c r="AA166" i="61"/>
  <c r="BD166" i="61" s="1"/>
  <c r="X166" i="61"/>
  <c r="BA166" i="61" s="1"/>
  <c r="S166" i="61"/>
  <c r="AV166" i="61" s="1"/>
  <c r="AF29" i="61"/>
  <c r="BI29" i="61" s="1"/>
  <c r="T29" i="61"/>
  <c r="AW29" i="61" s="1"/>
  <c r="AE29" i="61"/>
  <c r="BH29" i="61" s="1"/>
  <c r="AC29" i="61"/>
  <c r="BF29" i="61" s="1"/>
  <c r="AD29" i="61"/>
  <c r="BG29" i="61" s="1"/>
  <c r="AB29" i="61"/>
  <c r="BE29" i="61" s="1"/>
  <c r="Y29" i="61"/>
  <c r="BB29" i="61" s="1"/>
  <c r="AG29" i="61"/>
  <c r="BJ29" i="61" s="1"/>
  <c r="U29" i="61"/>
  <c r="AX29" i="61" s="1"/>
  <c r="X29" i="61"/>
  <c r="BA29" i="61" s="1"/>
  <c r="V29" i="61"/>
  <c r="AY29" i="61" s="1"/>
  <c r="AA29" i="61"/>
  <c r="BD29" i="61" s="1"/>
  <c r="W29" i="61"/>
  <c r="AZ29" i="61" s="1"/>
  <c r="Z29" i="61"/>
  <c r="BC29" i="61" s="1"/>
  <c r="S29" i="61"/>
  <c r="AV29" i="61" s="1"/>
  <c r="AE65" i="61"/>
  <c r="BH65" i="61" s="1"/>
  <c r="AB65" i="61"/>
  <c r="BE65" i="61" s="1"/>
  <c r="Y65" i="61"/>
  <c r="BB65" i="61" s="1"/>
  <c r="W65" i="61"/>
  <c r="AZ65" i="61" s="1"/>
  <c r="V65" i="61"/>
  <c r="AY65" i="61" s="1"/>
  <c r="AG65" i="61"/>
  <c r="BJ65" i="61" s="1"/>
  <c r="T65" i="61"/>
  <c r="AW65" i="61" s="1"/>
  <c r="Z65" i="61"/>
  <c r="BC65" i="61" s="1"/>
  <c r="U65" i="61"/>
  <c r="AX65" i="61" s="1"/>
  <c r="X65" i="61"/>
  <c r="BA65" i="61" s="1"/>
  <c r="AA65" i="61"/>
  <c r="BD65" i="61" s="1"/>
  <c r="AC65" i="61"/>
  <c r="BF65" i="61" s="1"/>
  <c r="AF65" i="61"/>
  <c r="BI65" i="61" s="1"/>
  <c r="AD65" i="61"/>
  <c r="BG65" i="61" s="1"/>
  <c r="S65" i="61"/>
  <c r="AV65" i="61" s="1"/>
  <c r="AB174" i="61"/>
  <c r="BE174" i="61" s="1"/>
  <c r="AG174" i="61"/>
  <c r="BJ174" i="61" s="1"/>
  <c r="AC174" i="61"/>
  <c r="BF174" i="61" s="1"/>
  <c r="T174" i="61"/>
  <c r="AW174" i="61" s="1"/>
  <c r="AF174" i="61"/>
  <c r="BI174" i="61" s="1"/>
  <c r="Z174" i="61"/>
  <c r="BC174" i="61" s="1"/>
  <c r="AE174" i="61"/>
  <c r="BH174" i="61" s="1"/>
  <c r="U174" i="61"/>
  <c r="AX174" i="61" s="1"/>
  <c r="AA174" i="61"/>
  <c r="BD174" i="61" s="1"/>
  <c r="AD174" i="61"/>
  <c r="BG174" i="61" s="1"/>
  <c r="Y174" i="61"/>
  <c r="BB174" i="61" s="1"/>
  <c r="V174" i="61"/>
  <c r="AY174" i="61" s="1"/>
  <c r="X174" i="61"/>
  <c r="BA174" i="61" s="1"/>
  <c r="W174" i="61"/>
  <c r="AZ174" i="61" s="1"/>
  <c r="S174" i="61"/>
  <c r="AV174" i="61" s="1"/>
  <c r="AG73" i="61"/>
  <c r="BJ73" i="61" s="1"/>
  <c r="T73" i="61"/>
  <c r="AW73" i="61" s="1"/>
  <c r="Y73" i="61"/>
  <c r="BB73" i="61" s="1"/>
  <c r="V73" i="61"/>
  <c r="AY73" i="61" s="1"/>
  <c r="U73" i="61"/>
  <c r="AX73" i="61" s="1"/>
  <c r="AE73" i="61"/>
  <c r="BH73" i="61" s="1"/>
  <c r="W73" i="61"/>
  <c r="AZ73" i="61" s="1"/>
  <c r="Z73" i="61"/>
  <c r="BC73" i="61" s="1"/>
  <c r="AC73" i="61"/>
  <c r="BF73" i="61" s="1"/>
  <c r="X73" i="61"/>
  <c r="BA73" i="61" s="1"/>
  <c r="AF73" i="61"/>
  <c r="BI73" i="61" s="1"/>
  <c r="AD73" i="61"/>
  <c r="BG73" i="61" s="1"/>
  <c r="AA73" i="61"/>
  <c r="BD73" i="61" s="1"/>
  <c r="AB73" i="61"/>
  <c r="BE73" i="61" s="1"/>
  <c r="S73" i="61"/>
  <c r="AV73" i="61" s="1"/>
  <c r="AE227" i="61"/>
  <c r="BH227" i="61" s="1"/>
  <c r="Y227" i="61"/>
  <c r="BB227" i="61" s="1"/>
  <c r="AA227" i="61"/>
  <c r="BD227" i="61" s="1"/>
  <c r="T227" i="61"/>
  <c r="AW227" i="61" s="1"/>
  <c r="X227" i="61"/>
  <c r="BA227" i="61" s="1"/>
  <c r="U227" i="61"/>
  <c r="AX227" i="61" s="1"/>
  <c r="AF227" i="61"/>
  <c r="BI227" i="61" s="1"/>
  <c r="Z227" i="61"/>
  <c r="BC227" i="61" s="1"/>
  <c r="AB227" i="61"/>
  <c r="BE227" i="61" s="1"/>
  <c r="W227" i="61"/>
  <c r="AZ227" i="61" s="1"/>
  <c r="AC227" i="61"/>
  <c r="BF227" i="61" s="1"/>
  <c r="V227" i="61"/>
  <c r="AY227" i="61" s="1"/>
  <c r="AG227" i="61"/>
  <c r="BJ227" i="61" s="1"/>
  <c r="AD227" i="61"/>
  <c r="BG227" i="61" s="1"/>
  <c r="S227" i="61"/>
  <c r="AV227" i="61" s="1"/>
  <c r="Z239" i="61"/>
  <c r="BC239" i="61" s="1"/>
  <c r="V239" i="61"/>
  <c r="AY239" i="61" s="1"/>
  <c r="AG239" i="61"/>
  <c r="BJ239" i="61" s="1"/>
  <c r="Y239" i="61"/>
  <c r="BB239" i="61" s="1"/>
  <c r="AD239" i="61"/>
  <c r="BG239" i="61" s="1"/>
  <c r="T239" i="61"/>
  <c r="AW239" i="61" s="1"/>
  <c r="U239" i="61"/>
  <c r="AX239" i="61" s="1"/>
  <c r="AB239" i="61"/>
  <c r="BE239" i="61" s="1"/>
  <c r="AC239" i="61"/>
  <c r="BF239" i="61" s="1"/>
  <c r="AE239" i="61"/>
  <c r="BH239" i="61" s="1"/>
  <c r="X239" i="61"/>
  <c r="BA239" i="61" s="1"/>
  <c r="AA239" i="61"/>
  <c r="BD239" i="61" s="1"/>
  <c r="AF239" i="61"/>
  <c r="BI239" i="61" s="1"/>
  <c r="W239" i="61"/>
  <c r="AZ239" i="61" s="1"/>
  <c r="S239" i="61"/>
  <c r="AV239" i="61" s="1"/>
  <c r="U265" i="61"/>
  <c r="AX265" i="61" s="1"/>
  <c r="V265" i="61"/>
  <c r="AY265" i="61" s="1"/>
  <c r="Z265" i="61"/>
  <c r="BC265" i="61" s="1"/>
  <c r="Y265" i="61"/>
  <c r="BB265" i="61" s="1"/>
  <c r="AD265" i="61"/>
  <c r="BG265" i="61" s="1"/>
  <c r="AA265" i="61"/>
  <c r="BD265" i="61" s="1"/>
  <c r="X265" i="61"/>
  <c r="BA265" i="61" s="1"/>
  <c r="T265" i="61"/>
  <c r="AW265" i="61" s="1"/>
  <c r="AE265" i="61"/>
  <c r="BH265" i="61" s="1"/>
  <c r="AF265" i="61"/>
  <c r="BI265" i="61" s="1"/>
  <c r="W265" i="61"/>
  <c r="AZ265" i="61" s="1"/>
  <c r="AC265" i="61"/>
  <c r="BF265" i="61" s="1"/>
  <c r="AG265" i="61"/>
  <c r="BJ265" i="61" s="1"/>
  <c r="AB265" i="61"/>
  <c r="BE265" i="61" s="1"/>
  <c r="S265" i="61"/>
  <c r="AV265" i="61" s="1"/>
  <c r="AF123" i="61"/>
  <c r="BI123" i="61" s="1"/>
  <c r="AG123" i="61"/>
  <c r="BJ123" i="61" s="1"/>
  <c r="T123" i="61"/>
  <c r="AW123" i="61" s="1"/>
  <c r="AE123" i="61"/>
  <c r="BH123" i="61" s="1"/>
  <c r="X123" i="61"/>
  <c r="BA123" i="61" s="1"/>
  <c r="U123" i="61"/>
  <c r="AX123" i="61" s="1"/>
  <c r="AB123" i="61"/>
  <c r="BE123" i="61" s="1"/>
  <c r="AA123" i="61"/>
  <c r="BD123" i="61" s="1"/>
  <c r="Z123" i="61"/>
  <c r="BC123" i="61" s="1"/>
  <c r="V123" i="61"/>
  <c r="AY123" i="61" s="1"/>
  <c r="Y123" i="61"/>
  <c r="BB123" i="61" s="1"/>
  <c r="AD123" i="61"/>
  <c r="BG123" i="61" s="1"/>
  <c r="W123" i="61"/>
  <c r="AZ123" i="61" s="1"/>
  <c r="AC123" i="61"/>
  <c r="BF123" i="61" s="1"/>
  <c r="S123" i="61"/>
  <c r="AV123" i="61" s="1"/>
  <c r="V99" i="61"/>
  <c r="AY99" i="61" s="1"/>
  <c r="X99" i="61"/>
  <c r="BA99" i="61" s="1"/>
  <c r="Y99" i="61"/>
  <c r="BB99" i="61" s="1"/>
  <c r="AA99" i="61"/>
  <c r="BD99" i="61" s="1"/>
  <c r="AB99" i="61"/>
  <c r="BE99" i="61" s="1"/>
  <c r="U99" i="61"/>
  <c r="AX99" i="61" s="1"/>
  <c r="AC99" i="61"/>
  <c r="BF99" i="61" s="1"/>
  <c r="AF99" i="61"/>
  <c r="BI99" i="61" s="1"/>
  <c r="Z99" i="61"/>
  <c r="BC99" i="61" s="1"/>
  <c r="AE99" i="61"/>
  <c r="BH99" i="61" s="1"/>
  <c r="AG99" i="61"/>
  <c r="BJ99" i="61" s="1"/>
  <c r="AD99" i="61"/>
  <c r="BG99" i="61" s="1"/>
  <c r="T99" i="61"/>
  <c r="AW99" i="61" s="1"/>
  <c r="W99" i="61"/>
  <c r="AZ99" i="61" s="1"/>
  <c r="S99" i="61"/>
  <c r="AV99" i="61" s="1"/>
  <c r="AC307" i="61"/>
  <c r="BF307" i="61" s="1"/>
  <c r="AE307" i="61"/>
  <c r="BH307" i="61" s="1"/>
  <c r="AF307" i="61"/>
  <c r="BI307" i="61" s="1"/>
  <c r="U307" i="61"/>
  <c r="AX307" i="61" s="1"/>
  <c r="V307" i="61"/>
  <c r="AY307" i="61" s="1"/>
  <c r="Z307" i="61"/>
  <c r="BC307" i="61" s="1"/>
  <c r="AB307" i="61"/>
  <c r="BE307" i="61" s="1"/>
  <c r="AD307" i="61"/>
  <c r="BG307" i="61" s="1"/>
  <c r="W307" i="61"/>
  <c r="AZ307" i="61" s="1"/>
  <c r="X307" i="61"/>
  <c r="BA307" i="61" s="1"/>
  <c r="AG307" i="61"/>
  <c r="BJ307" i="61" s="1"/>
  <c r="Y307" i="61"/>
  <c r="BB307" i="61" s="1"/>
  <c r="AA307" i="61"/>
  <c r="BD307" i="61" s="1"/>
  <c r="T307" i="61"/>
  <c r="AW307" i="61" s="1"/>
  <c r="S307" i="61"/>
  <c r="AV307" i="61" s="1"/>
  <c r="U145" i="61"/>
  <c r="AX145" i="61" s="1"/>
  <c r="AD145" i="61"/>
  <c r="BG145" i="61" s="1"/>
  <c r="X145" i="61"/>
  <c r="BA145" i="61" s="1"/>
  <c r="AA145" i="61"/>
  <c r="BD145" i="61" s="1"/>
  <c r="AE145" i="61"/>
  <c r="BH145" i="61" s="1"/>
  <c r="AF145" i="61"/>
  <c r="BI145" i="61" s="1"/>
  <c r="Z145" i="61"/>
  <c r="BC145" i="61" s="1"/>
  <c r="T145" i="61"/>
  <c r="AW145" i="61" s="1"/>
  <c r="AG145" i="61"/>
  <c r="BJ145" i="61" s="1"/>
  <c r="W145" i="61"/>
  <c r="AZ145" i="61" s="1"/>
  <c r="AB145" i="61"/>
  <c r="BE145" i="61" s="1"/>
  <c r="V145" i="61"/>
  <c r="AY145" i="61" s="1"/>
  <c r="AC145" i="61"/>
  <c r="BF145" i="61" s="1"/>
  <c r="Y145" i="61"/>
  <c r="BB145" i="61" s="1"/>
  <c r="S145" i="61"/>
  <c r="AV145" i="61" s="1"/>
  <c r="V243" i="61"/>
  <c r="AY243" i="61" s="1"/>
  <c r="Y243" i="61"/>
  <c r="BB243" i="61" s="1"/>
  <c r="W243" i="61"/>
  <c r="AZ243" i="61" s="1"/>
  <c r="X243" i="61"/>
  <c r="BA243" i="61" s="1"/>
  <c r="AB243" i="61"/>
  <c r="BE243" i="61" s="1"/>
  <c r="AC243" i="61"/>
  <c r="BF243" i="61" s="1"/>
  <c r="AE243" i="61"/>
  <c r="BH243" i="61" s="1"/>
  <c r="T243" i="61"/>
  <c r="AW243" i="61" s="1"/>
  <c r="AF243" i="61"/>
  <c r="BI243" i="61" s="1"/>
  <c r="Z243" i="61"/>
  <c r="BC243" i="61" s="1"/>
  <c r="AG243" i="61"/>
  <c r="BJ243" i="61" s="1"/>
  <c r="AA243" i="61"/>
  <c r="BD243" i="61" s="1"/>
  <c r="U243" i="61"/>
  <c r="AX243" i="61" s="1"/>
  <c r="AD243" i="61"/>
  <c r="BG243" i="61" s="1"/>
  <c r="S243" i="61"/>
  <c r="AV243" i="61" s="1"/>
  <c r="AF290" i="61"/>
  <c r="BI290" i="61" s="1"/>
  <c r="AC290" i="61"/>
  <c r="BF290" i="61" s="1"/>
  <c r="AB290" i="61"/>
  <c r="BE290" i="61" s="1"/>
  <c r="Z290" i="61"/>
  <c r="BC290" i="61" s="1"/>
  <c r="V290" i="61"/>
  <c r="AY290" i="61" s="1"/>
  <c r="T290" i="61"/>
  <c r="AW290" i="61" s="1"/>
  <c r="W290" i="61"/>
  <c r="AZ290" i="61" s="1"/>
  <c r="AE290" i="61"/>
  <c r="BH290" i="61" s="1"/>
  <c r="X290" i="61"/>
  <c r="BA290" i="61" s="1"/>
  <c r="AG290" i="61"/>
  <c r="BJ290" i="61" s="1"/>
  <c r="U290" i="61"/>
  <c r="AX290" i="61" s="1"/>
  <c r="AA290" i="61"/>
  <c r="BD290" i="61" s="1"/>
  <c r="AD290" i="61"/>
  <c r="BG290" i="61" s="1"/>
  <c r="Y290" i="61"/>
  <c r="BB290" i="61" s="1"/>
  <c r="S290" i="61"/>
  <c r="AV290" i="61" s="1"/>
  <c r="U287" i="61"/>
  <c r="AX287" i="61" s="1"/>
  <c r="AA287" i="61"/>
  <c r="BD287" i="61" s="1"/>
  <c r="Y287" i="61"/>
  <c r="BB287" i="61" s="1"/>
  <c r="V287" i="61"/>
  <c r="AY287" i="61" s="1"/>
  <c r="AE287" i="61"/>
  <c r="BH287" i="61" s="1"/>
  <c r="AG287" i="61"/>
  <c r="BJ287" i="61" s="1"/>
  <c r="T287" i="61"/>
  <c r="AW287" i="61" s="1"/>
  <c r="AB287" i="61"/>
  <c r="BE287" i="61" s="1"/>
  <c r="W287" i="61"/>
  <c r="AZ287" i="61" s="1"/>
  <c r="Z287" i="61"/>
  <c r="BC287" i="61" s="1"/>
  <c r="AD287" i="61"/>
  <c r="BG287" i="61" s="1"/>
  <c r="AF287" i="61"/>
  <c r="BI287" i="61" s="1"/>
  <c r="AC287" i="61"/>
  <c r="BF287" i="61" s="1"/>
  <c r="X287" i="61"/>
  <c r="BA287" i="61" s="1"/>
  <c r="S287" i="61"/>
  <c r="AV287" i="61" s="1"/>
  <c r="W277" i="61"/>
  <c r="AZ277" i="61" s="1"/>
  <c r="AD277" i="61"/>
  <c r="BG277" i="61" s="1"/>
  <c r="AG277" i="61"/>
  <c r="BJ277" i="61" s="1"/>
  <c r="X277" i="61"/>
  <c r="BA277" i="61" s="1"/>
  <c r="T277" i="61"/>
  <c r="AW277" i="61" s="1"/>
  <c r="AB277" i="61"/>
  <c r="BE277" i="61" s="1"/>
  <c r="V277" i="61"/>
  <c r="AY277" i="61" s="1"/>
  <c r="Y277" i="61"/>
  <c r="BB277" i="61" s="1"/>
  <c r="U277" i="61"/>
  <c r="AX277" i="61" s="1"/>
  <c r="AA277" i="61"/>
  <c r="BD277" i="61" s="1"/>
  <c r="Z277" i="61"/>
  <c r="BC277" i="61" s="1"/>
  <c r="AF277" i="61"/>
  <c r="BI277" i="61" s="1"/>
  <c r="AC277" i="61"/>
  <c r="BF277" i="61" s="1"/>
  <c r="AE277" i="61"/>
  <c r="BH277" i="61" s="1"/>
  <c r="S277" i="61"/>
  <c r="AV277" i="61" s="1"/>
  <c r="AF87" i="61"/>
  <c r="BI87" i="61" s="1"/>
  <c r="AC87" i="61"/>
  <c r="BF87" i="61" s="1"/>
  <c r="Y87" i="61"/>
  <c r="BB87" i="61" s="1"/>
  <c r="AA87" i="61"/>
  <c r="BD87" i="61" s="1"/>
  <c r="AE87" i="61"/>
  <c r="BH87" i="61" s="1"/>
  <c r="AD87" i="61"/>
  <c r="BG87" i="61" s="1"/>
  <c r="AG87" i="61"/>
  <c r="BJ87" i="61" s="1"/>
  <c r="T87" i="61"/>
  <c r="AW87" i="61" s="1"/>
  <c r="AB87" i="61"/>
  <c r="BE87" i="61" s="1"/>
  <c r="V87" i="61"/>
  <c r="AY87" i="61" s="1"/>
  <c r="Z87" i="61"/>
  <c r="BC87" i="61" s="1"/>
  <c r="W87" i="61"/>
  <c r="AZ87" i="61" s="1"/>
  <c r="U87" i="61"/>
  <c r="AX87" i="61" s="1"/>
  <c r="X87" i="61"/>
  <c r="BA87" i="61" s="1"/>
  <c r="S87" i="61"/>
  <c r="AV87" i="61" s="1"/>
  <c r="V313" i="61"/>
  <c r="AY313" i="61" s="1"/>
  <c r="AC313" i="61"/>
  <c r="BF313" i="61" s="1"/>
  <c r="T313" i="61"/>
  <c r="AW313" i="61" s="1"/>
  <c r="AA313" i="61"/>
  <c r="BD313" i="61" s="1"/>
  <c r="W313" i="61"/>
  <c r="AZ313" i="61" s="1"/>
  <c r="X313" i="61"/>
  <c r="BA313" i="61" s="1"/>
  <c r="U313" i="61"/>
  <c r="AX313" i="61" s="1"/>
  <c r="Y313" i="61"/>
  <c r="BB313" i="61" s="1"/>
  <c r="AD313" i="61"/>
  <c r="BG313" i="61" s="1"/>
  <c r="AG313" i="61"/>
  <c r="BJ313" i="61" s="1"/>
  <c r="AB313" i="61"/>
  <c r="BE313" i="61" s="1"/>
  <c r="AF313" i="61"/>
  <c r="BI313" i="61" s="1"/>
  <c r="Z313" i="61"/>
  <c r="BC313" i="61" s="1"/>
  <c r="AE313" i="61"/>
  <c r="BH313" i="61" s="1"/>
  <c r="S313" i="61"/>
  <c r="AV313" i="61" s="1"/>
  <c r="Y226" i="61"/>
  <c r="BB226" i="61" s="1"/>
  <c r="T226" i="61"/>
  <c r="AW226" i="61" s="1"/>
  <c r="AE226" i="61"/>
  <c r="BH226" i="61" s="1"/>
  <c r="X226" i="61"/>
  <c r="BA226" i="61" s="1"/>
  <c r="AD226" i="61"/>
  <c r="BG226" i="61" s="1"/>
  <c r="AB226" i="61"/>
  <c r="BE226" i="61" s="1"/>
  <c r="Z226" i="61"/>
  <c r="BC226" i="61" s="1"/>
  <c r="W226" i="61"/>
  <c r="AZ226" i="61" s="1"/>
  <c r="V226" i="61"/>
  <c r="AY226" i="61" s="1"/>
  <c r="U226" i="61"/>
  <c r="AX226" i="61" s="1"/>
  <c r="AC226" i="61"/>
  <c r="BF226" i="61" s="1"/>
  <c r="AG226" i="61"/>
  <c r="BJ226" i="61" s="1"/>
  <c r="AA226" i="61"/>
  <c r="BD226" i="61" s="1"/>
  <c r="AF226" i="61"/>
  <c r="BI226" i="61" s="1"/>
  <c r="S226" i="61"/>
  <c r="AV226" i="61" s="1"/>
  <c r="AA104" i="61"/>
  <c r="BD104" i="61" s="1"/>
  <c r="Z104" i="61"/>
  <c r="BC104" i="61" s="1"/>
  <c r="X104" i="61"/>
  <c r="BA104" i="61" s="1"/>
  <c r="Y104" i="61"/>
  <c r="BB104" i="61" s="1"/>
  <c r="AF104" i="61"/>
  <c r="BI104" i="61" s="1"/>
  <c r="AD104" i="61"/>
  <c r="BG104" i="61" s="1"/>
  <c r="AG104" i="61"/>
  <c r="BJ104" i="61" s="1"/>
  <c r="V104" i="61"/>
  <c r="AY104" i="61" s="1"/>
  <c r="W104" i="61"/>
  <c r="AZ104" i="61" s="1"/>
  <c r="AE104" i="61"/>
  <c r="BH104" i="61" s="1"/>
  <c r="AB104" i="61"/>
  <c r="BE104" i="61" s="1"/>
  <c r="AC104" i="61"/>
  <c r="BF104" i="61" s="1"/>
  <c r="U104" i="61"/>
  <c r="AX104" i="61" s="1"/>
  <c r="T104" i="61"/>
  <c r="AW104" i="61" s="1"/>
  <c r="S104" i="61"/>
  <c r="AV104" i="61" s="1"/>
  <c r="Y326" i="61"/>
  <c r="BB326" i="61" s="1"/>
  <c r="AG326" i="61"/>
  <c r="BJ326" i="61" s="1"/>
  <c r="T326" i="61"/>
  <c r="AW326" i="61" s="1"/>
  <c r="Z326" i="61"/>
  <c r="BC326" i="61" s="1"/>
  <c r="AC326" i="61"/>
  <c r="BF326" i="61" s="1"/>
  <c r="AF326" i="61"/>
  <c r="BI326" i="61" s="1"/>
  <c r="X326" i="61"/>
  <c r="BA326" i="61" s="1"/>
  <c r="U326" i="61"/>
  <c r="AX326" i="61" s="1"/>
  <c r="AD326" i="61"/>
  <c r="BG326" i="61" s="1"/>
  <c r="W326" i="61"/>
  <c r="AZ326" i="61" s="1"/>
  <c r="AA326" i="61"/>
  <c r="BD326" i="61" s="1"/>
  <c r="AB326" i="61"/>
  <c r="BE326" i="61" s="1"/>
  <c r="AE326" i="61"/>
  <c r="BH326" i="61" s="1"/>
  <c r="V326" i="61"/>
  <c r="AY326" i="61" s="1"/>
  <c r="S326" i="61"/>
  <c r="AV326" i="61" s="1"/>
  <c r="V60" i="61"/>
  <c r="AY60" i="61" s="1"/>
  <c r="W60" i="61"/>
  <c r="AZ60" i="61" s="1"/>
  <c r="U60" i="61"/>
  <c r="AX60" i="61" s="1"/>
  <c r="T60" i="61"/>
  <c r="AW60" i="61" s="1"/>
  <c r="AB60" i="61"/>
  <c r="BE60" i="61" s="1"/>
  <c r="AF60" i="61"/>
  <c r="BI60" i="61" s="1"/>
  <c r="AD60" i="61"/>
  <c r="BG60" i="61" s="1"/>
  <c r="X60" i="61"/>
  <c r="BA60" i="61" s="1"/>
  <c r="AG60" i="61"/>
  <c r="BJ60" i="61" s="1"/>
  <c r="Y60" i="61"/>
  <c r="BB60" i="61" s="1"/>
  <c r="AA60" i="61"/>
  <c r="BD60" i="61" s="1"/>
  <c r="AE60" i="61"/>
  <c r="BH60" i="61" s="1"/>
  <c r="Z60" i="61"/>
  <c r="BC60" i="61" s="1"/>
  <c r="AC60" i="61"/>
  <c r="BF60" i="61" s="1"/>
  <c r="S60" i="61"/>
  <c r="AV60" i="61" s="1"/>
  <c r="T189" i="61"/>
  <c r="AW189" i="61" s="1"/>
  <c r="Z189" i="61"/>
  <c r="BC189" i="61" s="1"/>
  <c r="AC189" i="61"/>
  <c r="BF189" i="61" s="1"/>
  <c r="U189" i="61"/>
  <c r="AX189" i="61" s="1"/>
  <c r="V189" i="61"/>
  <c r="AY189" i="61" s="1"/>
  <c r="W189" i="61"/>
  <c r="AZ189" i="61" s="1"/>
  <c r="AB189" i="61"/>
  <c r="BE189" i="61" s="1"/>
  <c r="AD189" i="61"/>
  <c r="BG189" i="61" s="1"/>
  <c r="AG189" i="61"/>
  <c r="BJ189" i="61" s="1"/>
  <c r="AA189" i="61"/>
  <c r="BD189" i="61" s="1"/>
  <c r="AF189" i="61"/>
  <c r="BI189" i="61" s="1"/>
  <c r="AE189" i="61"/>
  <c r="BH189" i="61" s="1"/>
  <c r="Y189" i="61"/>
  <c r="BB189" i="61" s="1"/>
  <c r="X189" i="61"/>
  <c r="BA189" i="61" s="1"/>
  <c r="S189" i="61"/>
  <c r="AV189" i="61" s="1"/>
  <c r="AG297" i="61"/>
  <c r="BJ297" i="61" s="1"/>
  <c r="T297" i="61"/>
  <c r="AW297" i="61" s="1"/>
  <c r="AE297" i="61"/>
  <c r="BH297" i="61" s="1"/>
  <c r="X297" i="61"/>
  <c r="BA297" i="61" s="1"/>
  <c r="AF297" i="61"/>
  <c r="BI297" i="61" s="1"/>
  <c r="Z297" i="61"/>
  <c r="BC297" i="61" s="1"/>
  <c r="W297" i="61"/>
  <c r="AZ297" i="61" s="1"/>
  <c r="Y297" i="61"/>
  <c r="BB297" i="61" s="1"/>
  <c r="AD297" i="61"/>
  <c r="BG297" i="61" s="1"/>
  <c r="V297" i="61"/>
  <c r="AY297" i="61" s="1"/>
  <c r="AC297" i="61"/>
  <c r="BF297" i="61" s="1"/>
  <c r="AB297" i="61"/>
  <c r="BE297" i="61" s="1"/>
  <c r="U297" i="61"/>
  <c r="AX297" i="61" s="1"/>
  <c r="AA297" i="61"/>
  <c r="BD297" i="61" s="1"/>
  <c r="S297" i="61"/>
  <c r="AV297" i="61" s="1"/>
  <c r="AB319" i="61"/>
  <c r="BE319" i="61" s="1"/>
  <c r="AA319" i="61"/>
  <c r="BD319" i="61" s="1"/>
  <c r="AC319" i="61"/>
  <c r="BF319" i="61" s="1"/>
  <c r="AE319" i="61"/>
  <c r="BH319" i="61" s="1"/>
  <c r="AF319" i="61"/>
  <c r="BI319" i="61" s="1"/>
  <c r="AD319" i="61"/>
  <c r="BG319" i="61" s="1"/>
  <c r="Z319" i="61"/>
  <c r="BC319" i="61" s="1"/>
  <c r="V319" i="61"/>
  <c r="AY319" i="61" s="1"/>
  <c r="Y319" i="61"/>
  <c r="BB319" i="61" s="1"/>
  <c r="AG319" i="61"/>
  <c r="BJ319" i="61" s="1"/>
  <c r="T319" i="61"/>
  <c r="AW319" i="61" s="1"/>
  <c r="W319" i="61"/>
  <c r="AZ319" i="61" s="1"/>
  <c r="U319" i="61"/>
  <c r="AX319" i="61" s="1"/>
  <c r="X319" i="61"/>
  <c r="BA319" i="61" s="1"/>
  <c r="S319" i="61"/>
  <c r="AV319" i="61" s="1"/>
  <c r="T249" i="61"/>
  <c r="AW249" i="61" s="1"/>
  <c r="Z249" i="61"/>
  <c r="BC249" i="61" s="1"/>
  <c r="AA249" i="61"/>
  <c r="BD249" i="61" s="1"/>
  <c r="AC249" i="61"/>
  <c r="BF249" i="61" s="1"/>
  <c r="AB249" i="61"/>
  <c r="BE249" i="61" s="1"/>
  <c r="AD249" i="61"/>
  <c r="BG249" i="61" s="1"/>
  <c r="X249" i="61"/>
  <c r="BA249" i="61" s="1"/>
  <c r="V249" i="61"/>
  <c r="AY249" i="61" s="1"/>
  <c r="W249" i="61"/>
  <c r="AZ249" i="61" s="1"/>
  <c r="AE249" i="61"/>
  <c r="BH249" i="61" s="1"/>
  <c r="AG249" i="61"/>
  <c r="BJ249" i="61" s="1"/>
  <c r="Y249" i="61"/>
  <c r="BB249" i="61" s="1"/>
  <c r="AF249" i="61"/>
  <c r="BI249" i="61" s="1"/>
  <c r="U249" i="61"/>
  <c r="AX249" i="61" s="1"/>
  <c r="S249" i="61"/>
  <c r="AV249" i="61" s="1"/>
  <c r="Z131" i="61"/>
  <c r="BC131" i="61" s="1"/>
  <c r="Y131" i="61"/>
  <c r="BB131" i="61" s="1"/>
  <c r="AB131" i="61"/>
  <c r="BE131" i="61" s="1"/>
  <c r="U131" i="61"/>
  <c r="AX131" i="61" s="1"/>
  <c r="X131" i="61"/>
  <c r="BA131" i="61" s="1"/>
  <c r="W131" i="61"/>
  <c r="AZ131" i="61" s="1"/>
  <c r="AA131" i="61"/>
  <c r="BD131" i="61" s="1"/>
  <c r="V131" i="61"/>
  <c r="AY131" i="61" s="1"/>
  <c r="AF131" i="61"/>
  <c r="BI131" i="61" s="1"/>
  <c r="AG131" i="61"/>
  <c r="BJ131" i="61" s="1"/>
  <c r="AD131" i="61"/>
  <c r="BG131" i="61" s="1"/>
  <c r="AE131" i="61"/>
  <c r="BH131" i="61" s="1"/>
  <c r="AC131" i="61"/>
  <c r="BF131" i="61" s="1"/>
  <c r="T131" i="61"/>
  <c r="AW131" i="61" s="1"/>
  <c r="S131" i="61"/>
  <c r="AV131" i="61" s="1"/>
  <c r="Y250" i="61"/>
  <c r="BB250" i="61" s="1"/>
  <c r="AC250" i="61"/>
  <c r="BF250" i="61" s="1"/>
  <c r="V250" i="61"/>
  <c r="AY250" i="61" s="1"/>
  <c r="AF250" i="61"/>
  <c r="BI250" i="61" s="1"/>
  <c r="AE250" i="61"/>
  <c r="BH250" i="61" s="1"/>
  <c r="AB250" i="61"/>
  <c r="BE250" i="61" s="1"/>
  <c r="Z250" i="61"/>
  <c r="BC250" i="61" s="1"/>
  <c r="AG250" i="61"/>
  <c r="BJ250" i="61" s="1"/>
  <c r="AA250" i="61"/>
  <c r="BD250" i="61" s="1"/>
  <c r="AD250" i="61"/>
  <c r="BG250" i="61" s="1"/>
  <c r="W250" i="61"/>
  <c r="AZ250" i="61" s="1"/>
  <c r="U250" i="61"/>
  <c r="AX250" i="61" s="1"/>
  <c r="X250" i="61"/>
  <c r="BA250" i="61" s="1"/>
  <c r="T250" i="61"/>
  <c r="AW250" i="61" s="1"/>
  <c r="S250" i="61"/>
  <c r="AV250" i="61" s="1"/>
  <c r="AC263" i="61"/>
  <c r="BF263" i="61" s="1"/>
  <c r="AB263" i="61"/>
  <c r="BE263" i="61" s="1"/>
  <c r="T263" i="61"/>
  <c r="AW263" i="61" s="1"/>
  <c r="AG263" i="61"/>
  <c r="BJ263" i="61" s="1"/>
  <c r="Y263" i="61"/>
  <c r="BB263" i="61" s="1"/>
  <c r="AA263" i="61"/>
  <c r="BD263" i="61" s="1"/>
  <c r="W263" i="61"/>
  <c r="AZ263" i="61" s="1"/>
  <c r="U263" i="61"/>
  <c r="AX263" i="61" s="1"/>
  <c r="AD263" i="61"/>
  <c r="BG263" i="61" s="1"/>
  <c r="AE263" i="61"/>
  <c r="BH263" i="61" s="1"/>
  <c r="X263" i="61"/>
  <c r="BA263" i="61" s="1"/>
  <c r="AF263" i="61"/>
  <c r="BI263" i="61" s="1"/>
  <c r="Z263" i="61"/>
  <c r="BC263" i="61" s="1"/>
  <c r="V263" i="61"/>
  <c r="AY263" i="61" s="1"/>
  <c r="S263" i="61"/>
  <c r="AV263" i="61" s="1"/>
  <c r="U83" i="61"/>
  <c r="AX83" i="61" s="1"/>
  <c r="T83" i="61"/>
  <c r="AW83" i="61" s="1"/>
  <c r="AG83" i="61"/>
  <c r="BJ83" i="61" s="1"/>
  <c r="AF83" i="61"/>
  <c r="BI83" i="61" s="1"/>
  <c r="W83" i="61"/>
  <c r="AZ83" i="61" s="1"/>
  <c r="AD83" i="61"/>
  <c r="BG83" i="61" s="1"/>
  <c r="Y83" i="61"/>
  <c r="BB83" i="61" s="1"/>
  <c r="AA83" i="61"/>
  <c r="BD83" i="61" s="1"/>
  <c r="AE83" i="61"/>
  <c r="BH83" i="61" s="1"/>
  <c r="V83" i="61"/>
  <c r="AY83" i="61" s="1"/>
  <c r="Z83" i="61"/>
  <c r="BC83" i="61" s="1"/>
  <c r="AB83" i="61"/>
  <c r="BE83" i="61" s="1"/>
  <c r="AC83" i="61"/>
  <c r="BF83" i="61" s="1"/>
  <c r="X83" i="61"/>
  <c r="BA83" i="61" s="1"/>
  <c r="S83" i="61"/>
  <c r="AV83" i="61" s="1"/>
  <c r="T25" i="61"/>
  <c r="AW25" i="61" s="1"/>
  <c r="AA25" i="61"/>
  <c r="BD25" i="61" s="1"/>
  <c r="AG25" i="61"/>
  <c r="BJ25" i="61" s="1"/>
  <c r="AF25" i="61"/>
  <c r="BI25" i="61" s="1"/>
  <c r="Z25" i="61"/>
  <c r="BC25" i="61" s="1"/>
  <c r="AB25" i="61"/>
  <c r="BE25" i="61" s="1"/>
  <c r="W25" i="61"/>
  <c r="AZ25" i="61" s="1"/>
  <c r="AC25" i="61"/>
  <c r="BF25" i="61" s="1"/>
  <c r="U25" i="61"/>
  <c r="AX25" i="61" s="1"/>
  <c r="Y25" i="61"/>
  <c r="BB25" i="61" s="1"/>
  <c r="X25" i="61"/>
  <c r="BA25" i="61" s="1"/>
  <c r="AE25" i="61"/>
  <c r="BH25" i="61" s="1"/>
  <c r="V25" i="61"/>
  <c r="AY25" i="61" s="1"/>
  <c r="AD25" i="61"/>
  <c r="BG25" i="61" s="1"/>
  <c r="S25" i="61"/>
  <c r="AV25" i="61" s="1"/>
  <c r="AG318" i="61"/>
  <c r="BJ318" i="61" s="1"/>
  <c r="AA318" i="61"/>
  <c r="BD318" i="61" s="1"/>
  <c r="Z318" i="61"/>
  <c r="BC318" i="61" s="1"/>
  <c r="AB318" i="61"/>
  <c r="BE318" i="61" s="1"/>
  <c r="AC318" i="61"/>
  <c r="BF318" i="61" s="1"/>
  <c r="AE318" i="61"/>
  <c r="BH318" i="61" s="1"/>
  <c r="AF318" i="61"/>
  <c r="BI318" i="61" s="1"/>
  <c r="AD318" i="61"/>
  <c r="BG318" i="61" s="1"/>
  <c r="T318" i="61"/>
  <c r="AW318" i="61" s="1"/>
  <c r="X318" i="61"/>
  <c r="BA318" i="61" s="1"/>
  <c r="V318" i="61"/>
  <c r="AY318" i="61" s="1"/>
  <c r="Y318" i="61"/>
  <c r="BB318" i="61" s="1"/>
  <c r="U318" i="61"/>
  <c r="AX318" i="61" s="1"/>
  <c r="W318" i="61"/>
  <c r="AZ318" i="61" s="1"/>
  <c r="S318" i="61"/>
  <c r="AV318" i="61" s="1"/>
  <c r="AG246" i="61"/>
  <c r="BJ246" i="61" s="1"/>
  <c r="Y246" i="61"/>
  <c r="BB246" i="61" s="1"/>
  <c r="V246" i="61"/>
  <c r="AY246" i="61" s="1"/>
  <c r="AA246" i="61"/>
  <c r="BD246" i="61" s="1"/>
  <c r="AE246" i="61"/>
  <c r="BH246" i="61" s="1"/>
  <c r="W246" i="61"/>
  <c r="AZ246" i="61" s="1"/>
  <c r="U246" i="61"/>
  <c r="AX246" i="61" s="1"/>
  <c r="T246" i="61"/>
  <c r="AW246" i="61" s="1"/>
  <c r="AF246" i="61"/>
  <c r="BI246" i="61" s="1"/>
  <c r="AB246" i="61"/>
  <c r="BE246" i="61" s="1"/>
  <c r="Z246" i="61"/>
  <c r="BC246" i="61" s="1"/>
  <c r="X246" i="61"/>
  <c r="BA246" i="61" s="1"/>
  <c r="AD246" i="61"/>
  <c r="BG246" i="61" s="1"/>
  <c r="AC246" i="61"/>
  <c r="BF246" i="61" s="1"/>
  <c r="S246" i="61"/>
  <c r="AV246" i="61" s="1"/>
  <c r="AG142" i="61"/>
  <c r="BJ142" i="61" s="1"/>
  <c r="X142" i="61"/>
  <c r="BA142" i="61" s="1"/>
  <c r="AF142" i="61"/>
  <c r="BI142" i="61" s="1"/>
  <c r="T142" i="61"/>
  <c r="AW142" i="61" s="1"/>
  <c r="AC142" i="61"/>
  <c r="BF142" i="61" s="1"/>
  <c r="Y142" i="61"/>
  <c r="BB142" i="61" s="1"/>
  <c r="V142" i="61"/>
  <c r="AY142" i="61" s="1"/>
  <c r="U142" i="61"/>
  <c r="AX142" i="61" s="1"/>
  <c r="AA142" i="61"/>
  <c r="BD142" i="61" s="1"/>
  <c r="AB142" i="61"/>
  <c r="BE142" i="61" s="1"/>
  <c r="W142" i="61"/>
  <c r="AZ142" i="61" s="1"/>
  <c r="AD142" i="61"/>
  <c r="BG142" i="61" s="1"/>
  <c r="Z142" i="61"/>
  <c r="BC142" i="61" s="1"/>
  <c r="AE142" i="61"/>
  <c r="BH142" i="61" s="1"/>
  <c r="S142" i="61"/>
  <c r="AV142" i="61" s="1"/>
  <c r="AG107" i="61"/>
  <c r="BJ107" i="61" s="1"/>
  <c r="U107" i="61"/>
  <c r="AX107" i="61" s="1"/>
  <c r="AA107" i="61"/>
  <c r="BD107" i="61" s="1"/>
  <c r="T107" i="61"/>
  <c r="AW107" i="61" s="1"/>
  <c r="V107" i="61"/>
  <c r="AY107" i="61" s="1"/>
  <c r="AE107" i="61"/>
  <c r="BH107" i="61" s="1"/>
  <c r="Y107" i="61"/>
  <c r="BB107" i="61" s="1"/>
  <c r="AF107" i="61"/>
  <c r="BI107" i="61" s="1"/>
  <c r="AC107" i="61"/>
  <c r="BF107" i="61" s="1"/>
  <c r="X107" i="61"/>
  <c r="BA107" i="61" s="1"/>
  <c r="W107" i="61"/>
  <c r="AZ107" i="61" s="1"/>
  <c r="AB107" i="61"/>
  <c r="BE107" i="61" s="1"/>
  <c r="Z107" i="61"/>
  <c r="BC107" i="61" s="1"/>
  <c r="AD107" i="61"/>
  <c r="BG107" i="61" s="1"/>
  <c r="S107" i="61"/>
  <c r="AV107" i="61" s="1"/>
  <c r="AC69" i="61"/>
  <c r="BF69" i="61" s="1"/>
  <c r="AD69" i="61"/>
  <c r="BG69" i="61" s="1"/>
  <c r="U69" i="61"/>
  <c r="AX69" i="61" s="1"/>
  <c r="AE69" i="61"/>
  <c r="BH69" i="61" s="1"/>
  <c r="AF69" i="61"/>
  <c r="BI69" i="61" s="1"/>
  <c r="W69" i="61"/>
  <c r="AZ69" i="61" s="1"/>
  <c r="AA69" i="61"/>
  <c r="BD69" i="61" s="1"/>
  <c r="X69" i="61"/>
  <c r="BA69" i="61" s="1"/>
  <c r="AB69" i="61"/>
  <c r="BE69" i="61" s="1"/>
  <c r="AG69" i="61"/>
  <c r="BJ69" i="61" s="1"/>
  <c r="V69" i="61"/>
  <c r="AY69" i="61" s="1"/>
  <c r="Y69" i="61"/>
  <c r="BB69" i="61" s="1"/>
  <c r="T69" i="61"/>
  <c r="AW69" i="61" s="1"/>
  <c r="Z69" i="61"/>
  <c r="BC69" i="61" s="1"/>
  <c r="S69" i="61"/>
  <c r="AV69" i="61" s="1"/>
  <c r="AG211" i="61"/>
  <c r="BJ211" i="61" s="1"/>
  <c r="AD211" i="61"/>
  <c r="BG211" i="61" s="1"/>
  <c r="AA211" i="61"/>
  <c r="BD211" i="61" s="1"/>
  <c r="AB211" i="61"/>
  <c r="BE211" i="61" s="1"/>
  <c r="Z211" i="61"/>
  <c r="BC211" i="61" s="1"/>
  <c r="V211" i="61"/>
  <c r="AY211" i="61" s="1"/>
  <c r="U211" i="61"/>
  <c r="AX211" i="61" s="1"/>
  <c r="AE211" i="61"/>
  <c r="BH211" i="61" s="1"/>
  <c r="X211" i="61"/>
  <c r="BA211" i="61" s="1"/>
  <c r="Y211" i="61"/>
  <c r="BB211" i="61" s="1"/>
  <c r="AC211" i="61"/>
  <c r="BF211" i="61" s="1"/>
  <c r="AF211" i="61"/>
  <c r="BI211" i="61" s="1"/>
  <c r="W211" i="61"/>
  <c r="AZ211" i="61" s="1"/>
  <c r="T211" i="61"/>
  <c r="AW211" i="61" s="1"/>
  <c r="S211" i="61"/>
  <c r="AV211" i="61" s="1"/>
  <c r="Y44" i="61"/>
  <c r="BB44" i="61" s="1"/>
  <c r="AC44" i="61"/>
  <c r="BF44" i="61" s="1"/>
  <c r="V44" i="61"/>
  <c r="AY44" i="61" s="1"/>
  <c r="X44" i="61"/>
  <c r="BA44" i="61" s="1"/>
  <c r="W44" i="61"/>
  <c r="AZ44" i="61" s="1"/>
  <c r="AF44" i="61"/>
  <c r="BI44" i="61" s="1"/>
  <c r="AG44" i="61"/>
  <c r="BJ44" i="61" s="1"/>
  <c r="AD44" i="61"/>
  <c r="BG44" i="61" s="1"/>
  <c r="AA44" i="61"/>
  <c r="BD44" i="61" s="1"/>
  <c r="AE44" i="61"/>
  <c r="BH44" i="61" s="1"/>
  <c r="U44" i="61"/>
  <c r="AX44" i="61" s="1"/>
  <c r="AB44" i="61"/>
  <c r="BE44" i="61" s="1"/>
  <c r="Z44" i="61"/>
  <c r="BC44" i="61" s="1"/>
  <c r="T44" i="61"/>
  <c r="AW44" i="61" s="1"/>
  <c r="S44" i="61"/>
  <c r="AV44" i="61" s="1"/>
  <c r="U268" i="61"/>
  <c r="AX268" i="61" s="1"/>
  <c r="X268" i="61"/>
  <c r="BA268" i="61" s="1"/>
  <c r="T268" i="61"/>
  <c r="AW268" i="61" s="1"/>
  <c r="AB268" i="61"/>
  <c r="BE268" i="61" s="1"/>
  <c r="AD268" i="61"/>
  <c r="BG268" i="61" s="1"/>
  <c r="AE268" i="61"/>
  <c r="BH268" i="61" s="1"/>
  <c r="AC268" i="61"/>
  <c r="BF268" i="61" s="1"/>
  <c r="Y268" i="61"/>
  <c r="BB268" i="61" s="1"/>
  <c r="W268" i="61"/>
  <c r="AZ268" i="61" s="1"/>
  <c r="AG268" i="61"/>
  <c r="BJ268" i="61" s="1"/>
  <c r="AF268" i="61"/>
  <c r="BI268" i="61" s="1"/>
  <c r="Z268" i="61"/>
  <c r="BC268" i="61" s="1"/>
  <c r="V268" i="61"/>
  <c r="AY268" i="61" s="1"/>
  <c r="AA268" i="61"/>
  <c r="BD268" i="61" s="1"/>
  <c r="S268" i="61"/>
  <c r="AV268" i="61" s="1"/>
  <c r="V102" i="61"/>
  <c r="AY102" i="61" s="1"/>
  <c r="Y102" i="61"/>
  <c r="BB102" i="61" s="1"/>
  <c r="X102" i="61"/>
  <c r="BA102" i="61" s="1"/>
  <c r="AD102" i="61"/>
  <c r="BG102" i="61" s="1"/>
  <c r="W102" i="61"/>
  <c r="AZ102" i="61" s="1"/>
  <c r="U102" i="61"/>
  <c r="AX102" i="61" s="1"/>
  <c r="AC102" i="61"/>
  <c r="BF102" i="61" s="1"/>
  <c r="T102" i="61"/>
  <c r="AW102" i="61" s="1"/>
  <c r="AB102" i="61"/>
  <c r="BE102" i="61" s="1"/>
  <c r="AA102" i="61"/>
  <c r="BD102" i="61" s="1"/>
  <c r="Z102" i="61"/>
  <c r="BC102" i="61" s="1"/>
  <c r="AG102" i="61"/>
  <c r="BJ102" i="61" s="1"/>
  <c r="AE102" i="61"/>
  <c r="BH102" i="61" s="1"/>
  <c r="AF102" i="61"/>
  <c r="BI102" i="61" s="1"/>
  <c r="S102" i="61"/>
  <c r="AV102" i="61" s="1"/>
  <c r="AB202" i="61"/>
  <c r="BE202" i="61" s="1"/>
  <c r="AE202" i="61"/>
  <c r="BH202" i="61" s="1"/>
  <c r="Y202" i="61"/>
  <c r="BB202" i="61" s="1"/>
  <c r="Z202" i="61"/>
  <c r="BC202" i="61" s="1"/>
  <c r="AA202" i="61"/>
  <c r="BD202" i="61" s="1"/>
  <c r="AC202" i="61"/>
  <c r="BF202" i="61" s="1"/>
  <c r="AF202" i="61"/>
  <c r="BI202" i="61" s="1"/>
  <c r="X202" i="61"/>
  <c r="BA202" i="61" s="1"/>
  <c r="V202" i="61"/>
  <c r="AY202" i="61" s="1"/>
  <c r="AD202" i="61"/>
  <c r="BG202" i="61" s="1"/>
  <c r="AG202" i="61"/>
  <c r="BJ202" i="61" s="1"/>
  <c r="T202" i="61"/>
  <c r="AW202" i="61" s="1"/>
  <c r="W202" i="61"/>
  <c r="AZ202" i="61" s="1"/>
  <c r="U202" i="61"/>
  <c r="AX202" i="61" s="1"/>
  <c r="S202" i="61"/>
  <c r="AV202" i="61" s="1"/>
  <c r="X77" i="61"/>
  <c r="BA77" i="61" s="1"/>
  <c r="AG77" i="61"/>
  <c r="BJ77" i="61" s="1"/>
  <c r="AF77" i="61"/>
  <c r="BI77" i="61" s="1"/>
  <c r="V77" i="61"/>
  <c r="AY77" i="61" s="1"/>
  <c r="W77" i="61"/>
  <c r="AZ77" i="61" s="1"/>
  <c r="AD77" i="61"/>
  <c r="BG77" i="61" s="1"/>
  <c r="U77" i="61"/>
  <c r="AX77" i="61" s="1"/>
  <c r="Y77" i="61"/>
  <c r="BB77" i="61" s="1"/>
  <c r="Z77" i="61"/>
  <c r="BC77" i="61" s="1"/>
  <c r="AA77" i="61"/>
  <c r="BD77" i="61" s="1"/>
  <c r="AB77" i="61"/>
  <c r="BE77" i="61" s="1"/>
  <c r="AC77" i="61"/>
  <c r="BF77" i="61" s="1"/>
  <c r="T77" i="61"/>
  <c r="AW77" i="61" s="1"/>
  <c r="AE77" i="61"/>
  <c r="BH77" i="61" s="1"/>
  <c r="S77" i="61"/>
  <c r="AV77" i="61" s="1"/>
  <c r="X116" i="61"/>
  <c r="BA116" i="61" s="1"/>
  <c r="U116" i="61"/>
  <c r="AX116" i="61" s="1"/>
  <c r="W116" i="61"/>
  <c r="AZ116" i="61" s="1"/>
  <c r="AD116" i="61"/>
  <c r="BG116" i="61" s="1"/>
  <c r="AB116" i="61"/>
  <c r="BE116" i="61" s="1"/>
  <c r="AA116" i="61"/>
  <c r="BD116" i="61" s="1"/>
  <c r="AG116" i="61"/>
  <c r="BJ116" i="61" s="1"/>
  <c r="Y116" i="61"/>
  <c r="BB116" i="61" s="1"/>
  <c r="AF116" i="61"/>
  <c r="BI116" i="61" s="1"/>
  <c r="V116" i="61"/>
  <c r="AY116" i="61" s="1"/>
  <c r="Z116" i="61"/>
  <c r="BC116" i="61" s="1"/>
  <c r="T116" i="61"/>
  <c r="AW116" i="61" s="1"/>
  <c r="AE116" i="61"/>
  <c r="BH116" i="61" s="1"/>
  <c r="AC116" i="61"/>
  <c r="BF116" i="61" s="1"/>
  <c r="S116" i="61"/>
  <c r="AV116" i="61" s="1"/>
  <c r="T132" i="61"/>
  <c r="AW132" i="61" s="1"/>
  <c r="AE132" i="61"/>
  <c r="BH132" i="61" s="1"/>
  <c r="V132" i="61"/>
  <c r="AY132" i="61" s="1"/>
  <c r="AD132" i="61"/>
  <c r="BG132" i="61" s="1"/>
  <c r="W132" i="61"/>
  <c r="AZ132" i="61" s="1"/>
  <c r="X132" i="61"/>
  <c r="BA132" i="61" s="1"/>
  <c r="AA132" i="61"/>
  <c r="BD132" i="61" s="1"/>
  <c r="AB132" i="61"/>
  <c r="BE132" i="61" s="1"/>
  <c r="AG132" i="61"/>
  <c r="BJ132" i="61" s="1"/>
  <c r="Y132" i="61"/>
  <c r="BB132" i="61" s="1"/>
  <c r="AF132" i="61"/>
  <c r="BI132" i="61" s="1"/>
  <c r="U132" i="61"/>
  <c r="AX132" i="61" s="1"/>
  <c r="AC132" i="61"/>
  <c r="BF132" i="61" s="1"/>
  <c r="Z132" i="61"/>
  <c r="BC132" i="61" s="1"/>
  <c r="S132" i="61"/>
  <c r="AV132" i="61" s="1"/>
  <c r="AF199" i="61"/>
  <c r="BI199" i="61" s="1"/>
  <c r="U199" i="61"/>
  <c r="AX199" i="61" s="1"/>
  <c r="AA199" i="61"/>
  <c r="BD199" i="61" s="1"/>
  <c r="AC199" i="61"/>
  <c r="BF199" i="61" s="1"/>
  <c r="T199" i="61"/>
  <c r="AW199" i="61" s="1"/>
  <c r="Y199" i="61"/>
  <c r="BB199" i="61" s="1"/>
  <c r="AG199" i="61"/>
  <c r="BJ199" i="61" s="1"/>
  <c r="W199" i="61"/>
  <c r="AZ199" i="61" s="1"/>
  <c r="Z199" i="61"/>
  <c r="BC199" i="61" s="1"/>
  <c r="AE199" i="61"/>
  <c r="BH199" i="61" s="1"/>
  <c r="V199" i="61"/>
  <c r="AY199" i="61" s="1"/>
  <c r="AB199" i="61"/>
  <c r="BE199" i="61" s="1"/>
  <c r="X199" i="61"/>
  <c r="BA199" i="61" s="1"/>
  <c r="AD199" i="61"/>
  <c r="BG199" i="61" s="1"/>
  <c r="S199" i="61"/>
  <c r="AV199" i="61" s="1"/>
  <c r="T118" i="61"/>
  <c r="AW118" i="61" s="1"/>
  <c r="AG118" i="61"/>
  <c r="BJ118" i="61" s="1"/>
  <c r="AB118" i="61"/>
  <c r="BE118" i="61" s="1"/>
  <c r="AD118" i="61"/>
  <c r="BG118" i="61" s="1"/>
  <c r="AE118" i="61"/>
  <c r="BH118" i="61" s="1"/>
  <c r="U118" i="61"/>
  <c r="AX118" i="61" s="1"/>
  <c r="AC118" i="61"/>
  <c r="BF118" i="61" s="1"/>
  <c r="AA118" i="61"/>
  <c r="BD118" i="61" s="1"/>
  <c r="X118" i="61"/>
  <c r="BA118" i="61" s="1"/>
  <c r="Z118" i="61"/>
  <c r="BC118" i="61" s="1"/>
  <c r="AF118" i="61"/>
  <c r="BI118" i="61" s="1"/>
  <c r="V118" i="61"/>
  <c r="AY118" i="61" s="1"/>
  <c r="W118" i="61"/>
  <c r="AZ118" i="61" s="1"/>
  <c r="Y118" i="61"/>
  <c r="BB118" i="61" s="1"/>
  <c r="S118" i="61"/>
  <c r="AV118" i="61" s="1"/>
  <c r="T279" i="61"/>
  <c r="AW279" i="61" s="1"/>
  <c r="AG279" i="61"/>
  <c r="BJ279" i="61" s="1"/>
  <c r="AF279" i="61"/>
  <c r="BI279" i="61" s="1"/>
  <c r="AA279" i="61"/>
  <c r="BD279" i="61" s="1"/>
  <c r="U279" i="61"/>
  <c r="AX279" i="61" s="1"/>
  <c r="Y279" i="61"/>
  <c r="BB279" i="61" s="1"/>
  <c r="Z279" i="61"/>
  <c r="BC279" i="61" s="1"/>
  <c r="AC279" i="61"/>
  <c r="BF279" i="61" s="1"/>
  <c r="AD279" i="61"/>
  <c r="BG279" i="61" s="1"/>
  <c r="AB279" i="61"/>
  <c r="BE279" i="61" s="1"/>
  <c r="V279" i="61"/>
  <c r="AY279" i="61" s="1"/>
  <c r="AE279" i="61"/>
  <c r="BH279" i="61" s="1"/>
  <c r="X279" i="61"/>
  <c r="BA279" i="61" s="1"/>
  <c r="W279" i="61"/>
  <c r="AZ279" i="61" s="1"/>
  <c r="S279" i="61"/>
  <c r="AV279" i="61" s="1"/>
  <c r="X126" i="61"/>
  <c r="BA126" i="61" s="1"/>
  <c r="W126" i="61"/>
  <c r="AZ126" i="61" s="1"/>
  <c r="Z126" i="61"/>
  <c r="BC126" i="61" s="1"/>
  <c r="T126" i="61"/>
  <c r="AW126" i="61" s="1"/>
  <c r="AB126" i="61"/>
  <c r="BE126" i="61" s="1"/>
  <c r="AF126" i="61"/>
  <c r="BI126" i="61" s="1"/>
  <c r="AD126" i="61"/>
  <c r="BG126" i="61" s="1"/>
  <c r="Y126" i="61"/>
  <c r="BB126" i="61" s="1"/>
  <c r="AC126" i="61"/>
  <c r="BF126" i="61" s="1"/>
  <c r="AG126" i="61"/>
  <c r="BJ126" i="61" s="1"/>
  <c r="U126" i="61"/>
  <c r="AX126" i="61" s="1"/>
  <c r="AE126" i="61"/>
  <c r="BH126" i="61" s="1"/>
  <c r="AA126" i="61"/>
  <c r="BD126" i="61" s="1"/>
  <c r="V126" i="61"/>
  <c r="AY126" i="61" s="1"/>
  <c r="S126" i="61"/>
  <c r="AV126" i="61" s="1"/>
  <c r="AC68" i="61"/>
  <c r="BF68" i="61" s="1"/>
  <c r="AB68" i="61"/>
  <c r="BE68" i="61" s="1"/>
  <c r="V68" i="61"/>
  <c r="AY68" i="61" s="1"/>
  <c r="AD68" i="61"/>
  <c r="BG68" i="61" s="1"/>
  <c r="T68" i="61"/>
  <c r="AW68" i="61" s="1"/>
  <c r="Z68" i="61"/>
  <c r="BC68" i="61" s="1"/>
  <c r="AG68" i="61"/>
  <c r="BJ68" i="61" s="1"/>
  <c r="U68" i="61"/>
  <c r="AX68" i="61" s="1"/>
  <c r="Y68" i="61"/>
  <c r="BB68" i="61" s="1"/>
  <c r="W68" i="61"/>
  <c r="AZ68" i="61" s="1"/>
  <c r="AF68" i="61"/>
  <c r="BI68" i="61" s="1"/>
  <c r="AA68" i="61"/>
  <c r="BD68" i="61" s="1"/>
  <c r="AE68" i="61"/>
  <c r="BH68" i="61" s="1"/>
  <c r="X68" i="61"/>
  <c r="BA68" i="61" s="1"/>
  <c r="S68" i="61"/>
  <c r="AV68" i="61" s="1"/>
  <c r="AC312" i="61"/>
  <c r="BF312" i="61" s="1"/>
  <c r="Z312" i="61"/>
  <c r="BC312" i="61" s="1"/>
  <c r="AB312" i="61"/>
  <c r="BE312" i="61" s="1"/>
  <c r="AD312" i="61"/>
  <c r="BG312" i="61" s="1"/>
  <c r="AE312" i="61"/>
  <c r="BH312" i="61" s="1"/>
  <c r="X312" i="61"/>
  <c r="BA312" i="61" s="1"/>
  <c r="AA312" i="61"/>
  <c r="BD312" i="61" s="1"/>
  <c r="W312" i="61"/>
  <c r="AZ312" i="61" s="1"/>
  <c r="AG312" i="61"/>
  <c r="BJ312" i="61" s="1"/>
  <c r="T312" i="61"/>
  <c r="AW312" i="61" s="1"/>
  <c r="U312" i="61"/>
  <c r="AX312" i="61" s="1"/>
  <c r="V312" i="61"/>
  <c r="AY312" i="61" s="1"/>
  <c r="Y312" i="61"/>
  <c r="BB312" i="61" s="1"/>
  <c r="AF312" i="61"/>
  <c r="BI312" i="61" s="1"/>
  <c r="S312" i="61"/>
  <c r="AV312" i="61" s="1"/>
  <c r="T51" i="61"/>
  <c r="AW51" i="61" s="1"/>
  <c r="AA51" i="61"/>
  <c r="BD51" i="61" s="1"/>
  <c r="AF51" i="61"/>
  <c r="BI51" i="61" s="1"/>
  <c r="Z51" i="61"/>
  <c r="BC51" i="61" s="1"/>
  <c r="U51" i="61"/>
  <c r="AX51" i="61" s="1"/>
  <c r="V51" i="61"/>
  <c r="AY51" i="61" s="1"/>
  <c r="W51" i="61"/>
  <c r="AZ51" i="61" s="1"/>
  <c r="AG51" i="61"/>
  <c r="BJ51" i="61" s="1"/>
  <c r="X51" i="61"/>
  <c r="BA51" i="61" s="1"/>
  <c r="AB51" i="61"/>
  <c r="BE51" i="61" s="1"/>
  <c r="Y51" i="61"/>
  <c r="BB51" i="61" s="1"/>
  <c r="AD51" i="61"/>
  <c r="BG51" i="61" s="1"/>
  <c r="AE51" i="61"/>
  <c r="BH51" i="61" s="1"/>
  <c r="AC51" i="61"/>
  <c r="BF51" i="61" s="1"/>
  <c r="S51" i="61"/>
  <c r="AV51" i="61" s="1"/>
  <c r="U24" i="61"/>
  <c r="AX24" i="61" s="1"/>
  <c r="AD24" i="61"/>
  <c r="BG24" i="61" s="1"/>
  <c r="T24" i="61"/>
  <c r="AW24" i="61" s="1"/>
  <c r="AA24" i="61"/>
  <c r="BD24" i="61" s="1"/>
  <c r="X24" i="61"/>
  <c r="BA24" i="61" s="1"/>
  <c r="AC24" i="61"/>
  <c r="BF24" i="61" s="1"/>
  <c r="Z24" i="61"/>
  <c r="BC24" i="61" s="1"/>
  <c r="W24" i="61"/>
  <c r="AZ24" i="61" s="1"/>
  <c r="V24" i="61"/>
  <c r="AY24" i="61" s="1"/>
  <c r="AB24" i="61"/>
  <c r="BE24" i="61" s="1"/>
  <c r="Y24" i="61"/>
  <c r="BB24" i="61" s="1"/>
  <c r="AE24" i="61"/>
  <c r="BH24" i="61" s="1"/>
  <c r="AF24" i="61"/>
  <c r="BI24" i="61" s="1"/>
  <c r="AG24" i="61"/>
  <c r="BJ24" i="61" s="1"/>
  <c r="S24" i="61"/>
  <c r="AV24" i="61" s="1"/>
  <c r="T156" i="61"/>
  <c r="AW156" i="61" s="1"/>
  <c r="Z156" i="61"/>
  <c r="BC156" i="61" s="1"/>
  <c r="AE156" i="61"/>
  <c r="BH156" i="61" s="1"/>
  <c r="AC156" i="61"/>
  <c r="BF156" i="61" s="1"/>
  <c r="V156" i="61"/>
  <c r="AY156" i="61" s="1"/>
  <c r="AD156" i="61"/>
  <c r="BG156" i="61" s="1"/>
  <c r="AG156" i="61"/>
  <c r="BJ156" i="61" s="1"/>
  <c r="Y156" i="61"/>
  <c r="BB156" i="61" s="1"/>
  <c r="AF156" i="61"/>
  <c r="BI156" i="61" s="1"/>
  <c r="X156" i="61"/>
  <c r="BA156" i="61" s="1"/>
  <c r="W156" i="61"/>
  <c r="AZ156" i="61" s="1"/>
  <c r="U156" i="61"/>
  <c r="AX156" i="61" s="1"/>
  <c r="AB156" i="61"/>
  <c r="BE156" i="61" s="1"/>
  <c r="AA156" i="61"/>
  <c r="BD156" i="61" s="1"/>
  <c r="S156" i="61"/>
  <c r="AV156" i="61" s="1"/>
  <c r="AC95" i="61"/>
  <c r="BF95" i="61" s="1"/>
  <c r="X95" i="61"/>
  <c r="BA95" i="61" s="1"/>
  <c r="Z95" i="61"/>
  <c r="BC95" i="61" s="1"/>
  <c r="AB95" i="61"/>
  <c r="BE95" i="61" s="1"/>
  <c r="Y95" i="61"/>
  <c r="BB95" i="61" s="1"/>
  <c r="AA95" i="61"/>
  <c r="BD95" i="61" s="1"/>
  <c r="T95" i="61"/>
  <c r="AW95" i="61" s="1"/>
  <c r="AE95" i="61"/>
  <c r="BH95" i="61" s="1"/>
  <c r="AF95" i="61"/>
  <c r="BI95" i="61" s="1"/>
  <c r="U95" i="61"/>
  <c r="AX95" i="61" s="1"/>
  <c r="AG95" i="61"/>
  <c r="BJ95" i="61" s="1"/>
  <c r="V95" i="61"/>
  <c r="AY95" i="61" s="1"/>
  <c r="W95" i="61"/>
  <c r="AZ95" i="61" s="1"/>
  <c r="AD95" i="61"/>
  <c r="BG95" i="61" s="1"/>
  <c r="S95" i="61"/>
  <c r="AV95" i="61" s="1"/>
  <c r="W111" i="61"/>
  <c r="AZ111" i="61" s="1"/>
  <c r="Y111" i="61"/>
  <c r="BB111" i="61" s="1"/>
  <c r="X111" i="61"/>
  <c r="BA111" i="61" s="1"/>
  <c r="AB111" i="61"/>
  <c r="BE111" i="61" s="1"/>
  <c r="V111" i="61"/>
  <c r="AY111" i="61" s="1"/>
  <c r="AG111" i="61"/>
  <c r="BJ111" i="61" s="1"/>
  <c r="U111" i="61"/>
  <c r="AX111" i="61" s="1"/>
  <c r="Z111" i="61"/>
  <c r="BC111" i="61" s="1"/>
  <c r="AA111" i="61"/>
  <c r="BD111" i="61" s="1"/>
  <c r="AF111" i="61"/>
  <c r="BI111" i="61" s="1"/>
  <c r="AE111" i="61"/>
  <c r="BH111" i="61" s="1"/>
  <c r="T111" i="61"/>
  <c r="AW111" i="61" s="1"/>
  <c r="AC111" i="61"/>
  <c r="BF111" i="61" s="1"/>
  <c r="AD111" i="61"/>
  <c r="BG111" i="61" s="1"/>
  <c r="S111" i="61"/>
  <c r="AV111" i="61" s="1"/>
  <c r="AB288" i="61"/>
  <c r="BE288" i="61" s="1"/>
  <c r="U288" i="61"/>
  <c r="AX288" i="61" s="1"/>
  <c r="Y288" i="61"/>
  <c r="BB288" i="61" s="1"/>
  <c r="Z288" i="61"/>
  <c r="BC288" i="61" s="1"/>
  <c r="W288" i="61"/>
  <c r="AZ288" i="61" s="1"/>
  <c r="AE288" i="61"/>
  <c r="BH288" i="61" s="1"/>
  <c r="AA288" i="61"/>
  <c r="BD288" i="61" s="1"/>
  <c r="V288" i="61"/>
  <c r="AY288" i="61" s="1"/>
  <c r="T288" i="61"/>
  <c r="AW288" i="61" s="1"/>
  <c r="X288" i="61"/>
  <c r="BA288" i="61" s="1"/>
  <c r="AD288" i="61"/>
  <c r="BG288" i="61" s="1"/>
  <c r="AC288" i="61"/>
  <c r="BF288" i="61" s="1"/>
  <c r="AF288" i="61"/>
  <c r="BI288" i="61" s="1"/>
  <c r="AG288" i="61"/>
  <c r="BJ288" i="61" s="1"/>
  <c r="S288" i="61"/>
  <c r="AV288" i="61" s="1"/>
  <c r="AB172" i="61"/>
  <c r="BE172" i="61" s="1"/>
  <c r="AA172" i="61"/>
  <c r="BD172" i="61" s="1"/>
  <c r="W172" i="61"/>
  <c r="AZ172" i="61" s="1"/>
  <c r="U172" i="61"/>
  <c r="AX172" i="61" s="1"/>
  <c r="T172" i="61"/>
  <c r="AW172" i="61" s="1"/>
  <c r="Y172" i="61"/>
  <c r="BB172" i="61" s="1"/>
  <c r="AC172" i="61"/>
  <c r="BF172" i="61" s="1"/>
  <c r="X172" i="61"/>
  <c r="BA172" i="61" s="1"/>
  <c r="Z172" i="61"/>
  <c r="BC172" i="61" s="1"/>
  <c r="AD172" i="61"/>
  <c r="BG172" i="61" s="1"/>
  <c r="V172" i="61"/>
  <c r="AY172" i="61" s="1"/>
  <c r="AE172" i="61"/>
  <c r="BH172" i="61" s="1"/>
  <c r="AG172" i="61"/>
  <c r="BJ172" i="61" s="1"/>
  <c r="AF172" i="61"/>
  <c r="BI172" i="61" s="1"/>
  <c r="S172" i="61"/>
  <c r="AV172" i="61" s="1"/>
  <c r="Z281" i="61"/>
  <c r="BC281" i="61" s="1"/>
  <c r="X281" i="61"/>
  <c r="BA281" i="61" s="1"/>
  <c r="V281" i="61"/>
  <c r="AY281" i="61" s="1"/>
  <c r="T281" i="61"/>
  <c r="AW281" i="61" s="1"/>
  <c r="AC281" i="61"/>
  <c r="BF281" i="61" s="1"/>
  <c r="AB281" i="61"/>
  <c r="BE281" i="61" s="1"/>
  <c r="U281" i="61"/>
  <c r="AX281" i="61" s="1"/>
  <c r="AG281" i="61"/>
  <c r="BJ281" i="61" s="1"/>
  <c r="Y281" i="61"/>
  <c r="BB281" i="61" s="1"/>
  <c r="AA281" i="61"/>
  <c r="BD281" i="61" s="1"/>
  <c r="W281" i="61"/>
  <c r="AZ281" i="61" s="1"/>
  <c r="AD281" i="61"/>
  <c r="BG281" i="61" s="1"/>
  <c r="AE281" i="61"/>
  <c r="BH281" i="61" s="1"/>
  <c r="AF281" i="61"/>
  <c r="BI281" i="61" s="1"/>
  <c r="S281" i="61"/>
  <c r="AV281" i="61" s="1"/>
  <c r="AA275" i="61"/>
  <c r="BD275" i="61" s="1"/>
  <c r="AC275" i="61"/>
  <c r="BF275" i="61" s="1"/>
  <c r="Y275" i="61"/>
  <c r="BB275" i="61" s="1"/>
  <c r="T275" i="61"/>
  <c r="AW275" i="61" s="1"/>
  <c r="Z275" i="61"/>
  <c r="BC275" i="61" s="1"/>
  <c r="AB275" i="61"/>
  <c r="BE275" i="61" s="1"/>
  <c r="AG275" i="61"/>
  <c r="BJ275" i="61" s="1"/>
  <c r="AD275" i="61"/>
  <c r="BG275" i="61" s="1"/>
  <c r="V275" i="61"/>
  <c r="AY275" i="61" s="1"/>
  <c r="AF275" i="61"/>
  <c r="BI275" i="61" s="1"/>
  <c r="AE275" i="61"/>
  <c r="BH275" i="61" s="1"/>
  <c r="U275" i="61"/>
  <c r="AX275" i="61" s="1"/>
  <c r="X275" i="61"/>
  <c r="BA275" i="61" s="1"/>
  <c r="W275" i="61"/>
  <c r="AZ275" i="61" s="1"/>
  <c r="S275" i="61"/>
  <c r="AV275" i="61" s="1"/>
  <c r="Z234" i="61"/>
  <c r="BC234" i="61" s="1"/>
  <c r="V234" i="61"/>
  <c r="AY234" i="61" s="1"/>
  <c r="AA234" i="61"/>
  <c r="BD234" i="61" s="1"/>
  <c r="AB234" i="61"/>
  <c r="BE234" i="61" s="1"/>
  <c r="AG234" i="61"/>
  <c r="BJ234" i="61" s="1"/>
  <c r="AE234" i="61"/>
  <c r="BH234" i="61" s="1"/>
  <c r="X234" i="61"/>
  <c r="BA234" i="61" s="1"/>
  <c r="AD234" i="61"/>
  <c r="BG234" i="61" s="1"/>
  <c r="AC234" i="61"/>
  <c r="BF234" i="61" s="1"/>
  <c r="W234" i="61"/>
  <c r="AZ234" i="61" s="1"/>
  <c r="AF234" i="61"/>
  <c r="BI234" i="61" s="1"/>
  <c r="T234" i="61"/>
  <c r="AW234" i="61" s="1"/>
  <c r="Y234" i="61"/>
  <c r="BB234" i="61" s="1"/>
  <c r="U234" i="61"/>
  <c r="AX234" i="61" s="1"/>
  <c r="S234" i="61"/>
  <c r="AV234" i="61" s="1"/>
  <c r="AG241" i="61"/>
  <c r="BJ241" i="61" s="1"/>
  <c r="T241" i="61"/>
  <c r="AW241" i="61" s="1"/>
  <c r="AC241" i="61"/>
  <c r="BF241" i="61" s="1"/>
  <c r="U241" i="61"/>
  <c r="AX241" i="61" s="1"/>
  <c r="AB241" i="61"/>
  <c r="BE241" i="61" s="1"/>
  <c r="V241" i="61"/>
  <c r="AY241" i="61" s="1"/>
  <c r="W241" i="61"/>
  <c r="AZ241" i="61" s="1"/>
  <c r="Z241" i="61"/>
  <c r="BC241" i="61" s="1"/>
  <c r="X241" i="61"/>
  <c r="BA241" i="61" s="1"/>
  <c r="AE241" i="61"/>
  <c r="BH241" i="61" s="1"/>
  <c r="AA241" i="61"/>
  <c r="BD241" i="61" s="1"/>
  <c r="AF241" i="61"/>
  <c r="BI241" i="61" s="1"/>
  <c r="Y241" i="61"/>
  <c r="BB241" i="61" s="1"/>
  <c r="AD241" i="61"/>
  <c r="BG241" i="61" s="1"/>
  <c r="S241" i="61"/>
  <c r="AV241" i="61" s="1"/>
  <c r="AA327" i="61"/>
  <c r="BD327" i="61" s="1"/>
  <c r="Z327" i="61"/>
  <c r="BC327" i="61" s="1"/>
  <c r="Y327" i="61"/>
  <c r="BB327" i="61" s="1"/>
  <c r="AC327" i="61"/>
  <c r="BF327" i="61" s="1"/>
  <c r="X327" i="61"/>
  <c r="BA327" i="61" s="1"/>
  <c r="AF327" i="61"/>
  <c r="BI327" i="61" s="1"/>
  <c r="T327" i="61"/>
  <c r="AW327" i="61" s="1"/>
  <c r="AB327" i="61"/>
  <c r="BE327" i="61" s="1"/>
  <c r="W327" i="61"/>
  <c r="AZ327" i="61" s="1"/>
  <c r="U327" i="61"/>
  <c r="AX327" i="61" s="1"/>
  <c r="AE327" i="61"/>
  <c r="BH327" i="61" s="1"/>
  <c r="AD327" i="61"/>
  <c r="BG327" i="61" s="1"/>
  <c r="V327" i="61"/>
  <c r="AY327" i="61" s="1"/>
  <c r="AG327" i="61"/>
  <c r="BJ327" i="61" s="1"/>
  <c r="S327" i="61"/>
  <c r="AV327" i="61" s="1"/>
  <c r="AD168" i="61"/>
  <c r="BG168" i="61" s="1"/>
  <c r="U168" i="61"/>
  <c r="AX168" i="61" s="1"/>
  <c r="AB168" i="61"/>
  <c r="BE168" i="61" s="1"/>
  <c r="Z168" i="61"/>
  <c r="BC168" i="61" s="1"/>
  <c r="AA168" i="61"/>
  <c r="BD168" i="61" s="1"/>
  <c r="Y168" i="61"/>
  <c r="BB168" i="61" s="1"/>
  <c r="W168" i="61"/>
  <c r="AZ168" i="61" s="1"/>
  <c r="T168" i="61"/>
  <c r="AW168" i="61" s="1"/>
  <c r="AF168" i="61"/>
  <c r="BI168" i="61" s="1"/>
  <c r="AC168" i="61"/>
  <c r="BF168" i="61" s="1"/>
  <c r="X168" i="61"/>
  <c r="BA168" i="61" s="1"/>
  <c r="V168" i="61"/>
  <c r="AY168" i="61" s="1"/>
  <c r="AE168" i="61"/>
  <c r="BH168" i="61" s="1"/>
  <c r="AG168" i="61"/>
  <c r="BJ168" i="61" s="1"/>
  <c r="S168" i="61"/>
  <c r="AV168" i="61" s="1"/>
  <c r="U110" i="61"/>
  <c r="AX110" i="61" s="1"/>
  <c r="T110" i="61"/>
  <c r="AW110" i="61" s="1"/>
  <c r="AG110" i="61"/>
  <c r="BJ110" i="61" s="1"/>
  <c r="Y110" i="61"/>
  <c r="BB110" i="61" s="1"/>
  <c r="Z110" i="61"/>
  <c r="BC110" i="61" s="1"/>
  <c r="AA110" i="61"/>
  <c r="BD110" i="61" s="1"/>
  <c r="X110" i="61"/>
  <c r="BA110" i="61" s="1"/>
  <c r="AF110" i="61"/>
  <c r="BI110" i="61" s="1"/>
  <c r="AE110" i="61"/>
  <c r="BH110" i="61" s="1"/>
  <c r="W110" i="61"/>
  <c r="AZ110" i="61" s="1"/>
  <c r="V110" i="61"/>
  <c r="AY110" i="61" s="1"/>
  <c r="AB110" i="61"/>
  <c r="BE110" i="61" s="1"/>
  <c r="AD110" i="61"/>
  <c r="BG110" i="61" s="1"/>
  <c r="AC110" i="61"/>
  <c r="BF110" i="61" s="1"/>
  <c r="S110" i="61"/>
  <c r="AV110" i="61" s="1"/>
  <c r="AD328" i="61"/>
  <c r="BG328" i="61" s="1"/>
  <c r="W328" i="61"/>
  <c r="AZ328" i="61" s="1"/>
  <c r="V328" i="61"/>
  <c r="AY328" i="61" s="1"/>
  <c r="AB328" i="61"/>
  <c r="BE328" i="61" s="1"/>
  <c r="AF328" i="61"/>
  <c r="BI328" i="61" s="1"/>
  <c r="AE328" i="61"/>
  <c r="BH328" i="61" s="1"/>
  <c r="T328" i="61"/>
  <c r="AW328" i="61" s="1"/>
  <c r="AA328" i="61"/>
  <c r="BD328" i="61" s="1"/>
  <c r="Z328" i="61"/>
  <c r="BC328" i="61" s="1"/>
  <c r="U328" i="61"/>
  <c r="AX328" i="61" s="1"/>
  <c r="Y328" i="61"/>
  <c r="BB328" i="61" s="1"/>
  <c r="AC328" i="61"/>
  <c r="BF328" i="61" s="1"/>
  <c r="AG328" i="61"/>
  <c r="BJ328" i="61" s="1"/>
  <c r="X328" i="61"/>
  <c r="BA328" i="61" s="1"/>
  <c r="S328" i="61"/>
  <c r="AV328" i="61" s="1"/>
  <c r="AG329" i="61"/>
  <c r="BJ329" i="61" s="1"/>
  <c r="AA329" i="61"/>
  <c r="BD329" i="61" s="1"/>
  <c r="W329" i="61"/>
  <c r="AZ329" i="61" s="1"/>
  <c r="X329" i="61"/>
  <c r="BA329" i="61" s="1"/>
  <c r="U329" i="61"/>
  <c r="AX329" i="61" s="1"/>
  <c r="V329" i="61"/>
  <c r="AY329" i="61" s="1"/>
  <c r="AB329" i="61"/>
  <c r="BE329" i="61" s="1"/>
  <c r="T329" i="61"/>
  <c r="AW329" i="61" s="1"/>
  <c r="Y329" i="61"/>
  <c r="BB329" i="61" s="1"/>
  <c r="AE329" i="61"/>
  <c r="BH329" i="61" s="1"/>
  <c r="AC329" i="61"/>
  <c r="BF329" i="61" s="1"/>
  <c r="AF329" i="61"/>
  <c r="BI329" i="61" s="1"/>
  <c r="Z329" i="61"/>
  <c r="BC329" i="61" s="1"/>
  <c r="AD329" i="61"/>
  <c r="BG329" i="61" s="1"/>
  <c r="S329" i="61"/>
  <c r="AV329" i="61" s="1"/>
  <c r="V115" i="61"/>
  <c r="AY115" i="61" s="1"/>
  <c r="AA115" i="61"/>
  <c r="BD115" i="61" s="1"/>
  <c r="T115" i="61"/>
  <c r="AW115" i="61" s="1"/>
  <c r="U115" i="61"/>
  <c r="AX115" i="61" s="1"/>
  <c r="AC115" i="61"/>
  <c r="BF115" i="61" s="1"/>
  <c r="AG115" i="61"/>
  <c r="BJ115" i="61" s="1"/>
  <c r="AD115" i="61"/>
  <c r="BG115" i="61" s="1"/>
  <c r="Z115" i="61"/>
  <c r="BC115" i="61" s="1"/>
  <c r="X115" i="61"/>
  <c r="BA115" i="61" s="1"/>
  <c r="W115" i="61"/>
  <c r="AZ115" i="61" s="1"/>
  <c r="AF115" i="61"/>
  <c r="BI115" i="61" s="1"/>
  <c r="Y115" i="61"/>
  <c r="BB115" i="61" s="1"/>
  <c r="AB115" i="61"/>
  <c r="BE115" i="61" s="1"/>
  <c r="AE115" i="61"/>
  <c r="BH115" i="61" s="1"/>
  <c r="S115" i="61"/>
  <c r="AV115" i="61" s="1"/>
  <c r="AC306" i="61"/>
  <c r="BF306" i="61" s="1"/>
  <c r="T306" i="61"/>
  <c r="AW306" i="61" s="1"/>
  <c r="AG306" i="61"/>
  <c r="BJ306" i="61" s="1"/>
  <c r="AA306" i="61"/>
  <c r="BD306" i="61" s="1"/>
  <c r="U306" i="61"/>
  <c r="AX306" i="61" s="1"/>
  <c r="AE306" i="61"/>
  <c r="BH306" i="61" s="1"/>
  <c r="Y306" i="61"/>
  <c r="BB306" i="61" s="1"/>
  <c r="W306" i="61"/>
  <c r="AZ306" i="61" s="1"/>
  <c r="Z306" i="61"/>
  <c r="BC306" i="61" s="1"/>
  <c r="V306" i="61"/>
  <c r="AY306" i="61" s="1"/>
  <c r="AD306" i="61"/>
  <c r="BG306" i="61" s="1"/>
  <c r="X306" i="61"/>
  <c r="BA306" i="61" s="1"/>
  <c r="AF306" i="61"/>
  <c r="BI306" i="61" s="1"/>
  <c r="AB306" i="61"/>
  <c r="BE306" i="61" s="1"/>
  <c r="S306" i="61"/>
  <c r="AV306" i="61" s="1"/>
  <c r="AB210" i="61"/>
  <c r="BE210" i="61" s="1"/>
  <c r="AF210" i="61"/>
  <c r="BI210" i="61" s="1"/>
  <c r="AD210" i="61"/>
  <c r="BG210" i="61" s="1"/>
  <c r="T210" i="61"/>
  <c r="AW210" i="61" s="1"/>
  <c r="AE210" i="61"/>
  <c r="BH210" i="61" s="1"/>
  <c r="AA210" i="61"/>
  <c r="BD210" i="61" s="1"/>
  <c r="AG210" i="61"/>
  <c r="BJ210" i="61" s="1"/>
  <c r="Z210" i="61"/>
  <c r="BC210" i="61" s="1"/>
  <c r="AC210" i="61"/>
  <c r="BF210" i="61" s="1"/>
  <c r="V210" i="61"/>
  <c r="AY210" i="61" s="1"/>
  <c r="Y210" i="61"/>
  <c r="BB210" i="61" s="1"/>
  <c r="X210" i="61"/>
  <c r="BA210" i="61" s="1"/>
  <c r="U210" i="61"/>
  <c r="AX210" i="61" s="1"/>
  <c r="W210" i="61"/>
  <c r="AZ210" i="61" s="1"/>
  <c r="S210" i="61"/>
  <c r="AV210" i="61" s="1"/>
  <c r="U206" i="61"/>
  <c r="AX206" i="61" s="1"/>
  <c r="AF206" i="61"/>
  <c r="BI206" i="61" s="1"/>
  <c r="AA206" i="61"/>
  <c r="BD206" i="61" s="1"/>
  <c r="Z206" i="61"/>
  <c r="BC206" i="61" s="1"/>
  <c r="AB206" i="61"/>
  <c r="BE206" i="61" s="1"/>
  <c r="Y206" i="61"/>
  <c r="BB206" i="61" s="1"/>
  <c r="V206" i="61"/>
  <c r="AY206" i="61" s="1"/>
  <c r="W206" i="61"/>
  <c r="AZ206" i="61" s="1"/>
  <c r="T206" i="61"/>
  <c r="AW206" i="61" s="1"/>
  <c r="AC206" i="61"/>
  <c r="BF206" i="61" s="1"/>
  <c r="X206" i="61"/>
  <c r="BA206" i="61" s="1"/>
  <c r="AD206" i="61"/>
  <c r="BG206" i="61" s="1"/>
  <c r="AE206" i="61"/>
  <c r="BH206" i="61" s="1"/>
  <c r="AG206" i="61"/>
  <c r="BJ206" i="61" s="1"/>
  <c r="S206" i="61"/>
  <c r="AV206" i="61" s="1"/>
  <c r="V330" i="61"/>
  <c r="AY330" i="61" s="1"/>
  <c r="U330" i="61"/>
  <c r="AX330" i="61" s="1"/>
  <c r="T330" i="61"/>
  <c r="AW330" i="61" s="1"/>
  <c r="AD330" i="61"/>
  <c r="BG330" i="61" s="1"/>
  <c r="X330" i="61"/>
  <c r="BA330" i="61" s="1"/>
  <c r="AE330" i="61"/>
  <c r="BH330" i="61" s="1"/>
  <c r="Y330" i="61"/>
  <c r="BB330" i="61" s="1"/>
  <c r="W330" i="61"/>
  <c r="AZ330" i="61" s="1"/>
  <c r="Z330" i="61"/>
  <c r="BC330" i="61" s="1"/>
  <c r="AA330" i="61"/>
  <c r="BD330" i="61" s="1"/>
  <c r="AB330" i="61"/>
  <c r="BE330" i="61" s="1"/>
  <c r="AC330" i="61"/>
  <c r="BF330" i="61" s="1"/>
  <c r="AF330" i="61"/>
  <c r="BI330" i="61" s="1"/>
  <c r="AG330" i="61"/>
  <c r="BJ330" i="61" s="1"/>
  <c r="S330" i="61"/>
  <c r="AV330" i="61" s="1"/>
  <c r="U85" i="61"/>
  <c r="AX85" i="61" s="1"/>
  <c r="AF85" i="61"/>
  <c r="BI85" i="61" s="1"/>
  <c r="X85" i="61"/>
  <c r="BA85" i="61" s="1"/>
  <c r="AC85" i="61"/>
  <c r="BF85" i="61" s="1"/>
  <c r="V85" i="61"/>
  <c r="AY85" i="61" s="1"/>
  <c r="W85" i="61"/>
  <c r="AZ85" i="61" s="1"/>
  <c r="AE85" i="61"/>
  <c r="BH85" i="61" s="1"/>
  <c r="T85" i="61"/>
  <c r="AW85" i="61" s="1"/>
  <c r="Z85" i="61"/>
  <c r="BC85" i="61" s="1"/>
  <c r="AB85" i="61"/>
  <c r="BE85" i="61" s="1"/>
  <c r="AD85" i="61"/>
  <c r="BG85" i="61" s="1"/>
  <c r="Y85" i="61"/>
  <c r="BB85" i="61" s="1"/>
  <c r="AG85" i="61"/>
  <c r="BJ85" i="61" s="1"/>
  <c r="AA85" i="61"/>
  <c r="BD85" i="61" s="1"/>
  <c r="S85" i="61"/>
  <c r="AV85" i="61" s="1"/>
  <c r="AA78" i="61"/>
  <c r="BD78" i="61" s="1"/>
  <c r="AC78" i="61"/>
  <c r="BF78" i="61" s="1"/>
  <c r="W78" i="61"/>
  <c r="AZ78" i="61" s="1"/>
  <c r="V78" i="61"/>
  <c r="AY78" i="61" s="1"/>
  <c r="U78" i="61"/>
  <c r="AX78" i="61" s="1"/>
  <c r="AF78" i="61"/>
  <c r="BI78" i="61" s="1"/>
  <c r="Y78" i="61"/>
  <c r="BB78" i="61" s="1"/>
  <c r="AD78" i="61"/>
  <c r="BG78" i="61" s="1"/>
  <c r="Z78" i="61"/>
  <c r="BC78" i="61" s="1"/>
  <c r="X78" i="61"/>
  <c r="BA78" i="61" s="1"/>
  <c r="AB78" i="61"/>
  <c r="BE78" i="61" s="1"/>
  <c r="T78" i="61"/>
  <c r="AW78" i="61" s="1"/>
  <c r="AE78" i="61"/>
  <c r="BH78" i="61" s="1"/>
  <c r="AG78" i="61"/>
  <c r="BJ78" i="61" s="1"/>
  <c r="S78" i="61"/>
  <c r="AV78" i="61" s="1"/>
  <c r="V309" i="61"/>
  <c r="AY309" i="61" s="1"/>
  <c r="Z309" i="61"/>
  <c r="BC309" i="61" s="1"/>
  <c r="AC309" i="61"/>
  <c r="BF309" i="61" s="1"/>
  <c r="W309" i="61"/>
  <c r="AZ309" i="61" s="1"/>
  <c r="AG309" i="61"/>
  <c r="BJ309" i="61" s="1"/>
  <c r="T309" i="61"/>
  <c r="AW309" i="61" s="1"/>
  <c r="AA309" i="61"/>
  <c r="BD309" i="61" s="1"/>
  <c r="AE309" i="61"/>
  <c r="BH309" i="61" s="1"/>
  <c r="Y309" i="61"/>
  <c r="BB309" i="61" s="1"/>
  <c r="AF309" i="61"/>
  <c r="BI309" i="61" s="1"/>
  <c r="AB309" i="61"/>
  <c r="BE309" i="61" s="1"/>
  <c r="X309" i="61"/>
  <c r="BA309" i="61" s="1"/>
  <c r="AD309" i="61"/>
  <c r="BG309" i="61" s="1"/>
  <c r="U309" i="61"/>
  <c r="AX309" i="61" s="1"/>
  <c r="S309" i="61"/>
  <c r="AV309" i="61" s="1"/>
  <c r="AB184" i="61"/>
  <c r="BE184" i="61" s="1"/>
  <c r="T184" i="61"/>
  <c r="AW184" i="61" s="1"/>
  <c r="X184" i="61"/>
  <c r="BA184" i="61" s="1"/>
  <c r="Y184" i="61"/>
  <c r="BB184" i="61" s="1"/>
  <c r="Z184" i="61"/>
  <c r="BC184" i="61" s="1"/>
  <c r="U184" i="61"/>
  <c r="AX184" i="61" s="1"/>
  <c r="AA184" i="61"/>
  <c r="BD184" i="61" s="1"/>
  <c r="W184" i="61"/>
  <c r="AZ184" i="61" s="1"/>
  <c r="AD184" i="61"/>
  <c r="BG184" i="61" s="1"/>
  <c r="V184" i="61"/>
  <c r="AY184" i="61" s="1"/>
  <c r="AC184" i="61"/>
  <c r="BF184" i="61" s="1"/>
  <c r="AF184" i="61"/>
  <c r="BI184" i="61" s="1"/>
  <c r="AE184" i="61"/>
  <c r="BH184" i="61" s="1"/>
  <c r="AG184" i="61"/>
  <c r="BJ184" i="61" s="1"/>
  <c r="S184" i="61"/>
  <c r="AV184" i="61" s="1"/>
  <c r="V204" i="61"/>
  <c r="AY204" i="61" s="1"/>
  <c r="U204" i="61"/>
  <c r="AX204" i="61" s="1"/>
  <c r="Y204" i="61"/>
  <c r="BB204" i="61" s="1"/>
  <c r="AF204" i="61"/>
  <c r="BI204" i="61" s="1"/>
  <c r="AG204" i="61"/>
  <c r="BJ204" i="61" s="1"/>
  <c r="W204" i="61"/>
  <c r="AZ204" i="61" s="1"/>
  <c r="X204" i="61"/>
  <c r="BA204" i="61" s="1"/>
  <c r="T204" i="61"/>
  <c r="AW204" i="61" s="1"/>
  <c r="AC204" i="61"/>
  <c r="BF204" i="61" s="1"/>
  <c r="AE204" i="61"/>
  <c r="BH204" i="61" s="1"/>
  <c r="AD204" i="61"/>
  <c r="BG204" i="61" s="1"/>
  <c r="AB204" i="61"/>
  <c r="BE204" i="61" s="1"/>
  <c r="AA204" i="61"/>
  <c r="BD204" i="61" s="1"/>
  <c r="Z204" i="61"/>
  <c r="BC204" i="61" s="1"/>
  <c r="S204" i="61"/>
  <c r="AV204" i="61" s="1"/>
  <c r="Z135" i="61"/>
  <c r="BC135" i="61" s="1"/>
  <c r="AA135" i="61"/>
  <c r="BD135" i="61" s="1"/>
  <c r="AE135" i="61"/>
  <c r="BH135" i="61" s="1"/>
  <c r="W135" i="61"/>
  <c r="AZ135" i="61" s="1"/>
  <c r="X135" i="61"/>
  <c r="BA135" i="61" s="1"/>
  <c r="Y135" i="61"/>
  <c r="BB135" i="61" s="1"/>
  <c r="V135" i="61"/>
  <c r="AY135" i="61" s="1"/>
  <c r="AG135" i="61"/>
  <c r="BJ135" i="61" s="1"/>
  <c r="AF135" i="61"/>
  <c r="BI135" i="61" s="1"/>
  <c r="AD135" i="61"/>
  <c r="BG135" i="61" s="1"/>
  <c r="AB135" i="61"/>
  <c r="BE135" i="61" s="1"/>
  <c r="T135" i="61"/>
  <c r="AW135" i="61" s="1"/>
  <c r="U135" i="61"/>
  <c r="AX135" i="61" s="1"/>
  <c r="AC135" i="61"/>
  <c r="BF135" i="61" s="1"/>
  <c r="S135" i="61"/>
  <c r="AV135" i="61" s="1"/>
  <c r="AB181" i="61"/>
  <c r="BE181" i="61" s="1"/>
  <c r="Z181" i="61"/>
  <c r="BC181" i="61" s="1"/>
  <c r="AC181" i="61"/>
  <c r="BF181" i="61" s="1"/>
  <c r="Y181" i="61"/>
  <c r="BB181" i="61" s="1"/>
  <c r="AE181" i="61"/>
  <c r="BH181" i="61" s="1"/>
  <c r="AF181" i="61"/>
  <c r="BI181" i="61" s="1"/>
  <c r="T181" i="61"/>
  <c r="AW181" i="61" s="1"/>
  <c r="V181" i="61"/>
  <c r="AY181" i="61" s="1"/>
  <c r="AD181" i="61"/>
  <c r="BG181" i="61" s="1"/>
  <c r="X181" i="61"/>
  <c r="BA181" i="61" s="1"/>
  <c r="U181" i="61"/>
  <c r="AX181" i="61" s="1"/>
  <c r="AA181" i="61"/>
  <c r="BD181" i="61" s="1"/>
  <c r="AG181" i="61"/>
  <c r="BJ181" i="61" s="1"/>
  <c r="W181" i="61"/>
  <c r="AZ181" i="61" s="1"/>
  <c r="S181" i="61"/>
  <c r="AV181" i="61" s="1"/>
  <c r="V67" i="61"/>
  <c r="AY67" i="61" s="1"/>
  <c r="AG67" i="61"/>
  <c r="BJ67" i="61" s="1"/>
  <c r="AA67" i="61"/>
  <c r="BD67" i="61" s="1"/>
  <c r="AD67" i="61"/>
  <c r="BG67" i="61" s="1"/>
  <c r="AC67" i="61"/>
  <c r="BF67" i="61" s="1"/>
  <c r="Z67" i="61"/>
  <c r="BC67" i="61" s="1"/>
  <c r="W67" i="61"/>
  <c r="AZ67" i="61" s="1"/>
  <c r="AF67" i="61"/>
  <c r="BI67" i="61" s="1"/>
  <c r="AE67" i="61"/>
  <c r="BH67" i="61" s="1"/>
  <c r="T67" i="61"/>
  <c r="AW67" i="61" s="1"/>
  <c r="U67" i="61"/>
  <c r="AX67" i="61" s="1"/>
  <c r="X67" i="61"/>
  <c r="BA67" i="61" s="1"/>
  <c r="AB67" i="61"/>
  <c r="BE67" i="61" s="1"/>
  <c r="Y67" i="61"/>
  <c r="BB67" i="61" s="1"/>
  <c r="S67" i="61"/>
  <c r="AV67" i="61" s="1"/>
  <c r="AF154" i="61"/>
  <c r="BI154" i="61" s="1"/>
  <c r="AB154" i="61"/>
  <c r="BE154" i="61" s="1"/>
  <c r="T154" i="61"/>
  <c r="AW154" i="61" s="1"/>
  <c r="W154" i="61"/>
  <c r="AZ154" i="61" s="1"/>
  <c r="Z154" i="61"/>
  <c r="BC154" i="61" s="1"/>
  <c r="Y154" i="61"/>
  <c r="BB154" i="61" s="1"/>
  <c r="AE154" i="61"/>
  <c r="BH154" i="61" s="1"/>
  <c r="AG154" i="61"/>
  <c r="BJ154" i="61" s="1"/>
  <c r="V154" i="61"/>
  <c r="AY154" i="61" s="1"/>
  <c r="AD154" i="61"/>
  <c r="BG154" i="61" s="1"/>
  <c r="AC154" i="61"/>
  <c r="BF154" i="61" s="1"/>
  <c r="X154" i="61"/>
  <c r="BA154" i="61" s="1"/>
  <c r="U154" i="61"/>
  <c r="AX154" i="61" s="1"/>
  <c r="AA154" i="61"/>
  <c r="BD154" i="61" s="1"/>
  <c r="S154" i="61"/>
  <c r="AV154" i="61" s="1"/>
  <c r="AF298" i="61"/>
  <c r="BI298" i="61" s="1"/>
  <c r="V298" i="61"/>
  <c r="AY298" i="61" s="1"/>
  <c r="AD298" i="61"/>
  <c r="BG298" i="61" s="1"/>
  <c r="Y298" i="61"/>
  <c r="BB298" i="61" s="1"/>
  <c r="AE298" i="61"/>
  <c r="BH298" i="61" s="1"/>
  <c r="Z298" i="61"/>
  <c r="BC298" i="61" s="1"/>
  <c r="W298" i="61"/>
  <c r="AZ298" i="61" s="1"/>
  <c r="T298" i="61"/>
  <c r="AW298" i="61" s="1"/>
  <c r="X298" i="61"/>
  <c r="BA298" i="61" s="1"/>
  <c r="U298" i="61"/>
  <c r="AX298" i="61" s="1"/>
  <c r="AC298" i="61"/>
  <c r="BF298" i="61" s="1"/>
  <c r="AB298" i="61"/>
  <c r="BE298" i="61" s="1"/>
  <c r="AG298" i="61"/>
  <c r="BJ298" i="61" s="1"/>
  <c r="AA298" i="61"/>
  <c r="BD298" i="61" s="1"/>
  <c r="S298" i="61"/>
  <c r="AV298" i="61" s="1"/>
  <c r="AF71" i="61"/>
  <c r="BI71" i="61" s="1"/>
  <c r="Y71" i="61"/>
  <c r="BB71" i="61" s="1"/>
  <c r="AA71" i="61"/>
  <c r="BD71" i="61" s="1"/>
  <c r="V71" i="61"/>
  <c r="AY71" i="61" s="1"/>
  <c r="AE71" i="61"/>
  <c r="BH71" i="61" s="1"/>
  <c r="AC71" i="61"/>
  <c r="BF71" i="61" s="1"/>
  <c r="W71" i="61"/>
  <c r="AZ71" i="61" s="1"/>
  <c r="AG71" i="61"/>
  <c r="BJ71" i="61" s="1"/>
  <c r="T71" i="61"/>
  <c r="AW71" i="61" s="1"/>
  <c r="X71" i="61"/>
  <c r="BA71" i="61" s="1"/>
  <c r="AD71" i="61"/>
  <c r="BG71" i="61" s="1"/>
  <c r="Z71" i="61"/>
  <c r="BC71" i="61" s="1"/>
  <c r="AB71" i="61"/>
  <c r="BE71" i="61" s="1"/>
  <c r="U71" i="61"/>
  <c r="AX71" i="61" s="1"/>
  <c r="S71" i="61"/>
  <c r="AV71" i="61" s="1"/>
  <c r="W205" i="61"/>
  <c r="AZ205" i="61" s="1"/>
  <c r="Y205" i="61"/>
  <c r="BB205" i="61" s="1"/>
  <c r="AC205" i="61"/>
  <c r="BF205" i="61" s="1"/>
  <c r="AB205" i="61"/>
  <c r="BE205" i="61" s="1"/>
  <c r="AE205" i="61"/>
  <c r="BH205" i="61" s="1"/>
  <c r="Z205" i="61"/>
  <c r="BC205" i="61" s="1"/>
  <c r="X205" i="61"/>
  <c r="BA205" i="61" s="1"/>
  <c r="AF205" i="61"/>
  <c r="BI205" i="61" s="1"/>
  <c r="AG205" i="61"/>
  <c r="BJ205" i="61" s="1"/>
  <c r="AD205" i="61"/>
  <c r="BG205" i="61" s="1"/>
  <c r="AA205" i="61"/>
  <c r="BD205" i="61" s="1"/>
  <c r="U205" i="61"/>
  <c r="AX205" i="61" s="1"/>
  <c r="T205" i="61"/>
  <c r="AW205" i="61" s="1"/>
  <c r="V205" i="61"/>
  <c r="AY205" i="61" s="1"/>
  <c r="S205" i="61"/>
  <c r="AV205" i="61" s="1"/>
  <c r="V197" i="61"/>
  <c r="AY197" i="61" s="1"/>
  <c r="W197" i="61"/>
  <c r="AZ197" i="61" s="1"/>
  <c r="AA197" i="61"/>
  <c r="BD197" i="61" s="1"/>
  <c r="Y197" i="61"/>
  <c r="BB197" i="61" s="1"/>
  <c r="Z197" i="61"/>
  <c r="BC197" i="61" s="1"/>
  <c r="AE197" i="61"/>
  <c r="BH197" i="61" s="1"/>
  <c r="X197" i="61"/>
  <c r="BA197" i="61" s="1"/>
  <c r="AG197" i="61"/>
  <c r="BJ197" i="61" s="1"/>
  <c r="AC197" i="61"/>
  <c r="BF197" i="61" s="1"/>
  <c r="AB197" i="61"/>
  <c r="BE197" i="61" s="1"/>
  <c r="AD197" i="61"/>
  <c r="BG197" i="61" s="1"/>
  <c r="T197" i="61"/>
  <c r="AW197" i="61" s="1"/>
  <c r="U197" i="61"/>
  <c r="AX197" i="61" s="1"/>
  <c r="AF197" i="61"/>
  <c r="BI197" i="61" s="1"/>
  <c r="S197" i="61"/>
  <c r="AV197" i="61" s="1"/>
  <c r="AD182" i="61"/>
  <c r="BG182" i="61" s="1"/>
  <c r="AE182" i="61"/>
  <c r="BH182" i="61" s="1"/>
  <c r="AA182" i="61"/>
  <c r="BD182" i="61" s="1"/>
  <c r="AC182" i="61"/>
  <c r="BF182" i="61" s="1"/>
  <c r="T182" i="61"/>
  <c r="AW182" i="61" s="1"/>
  <c r="AB182" i="61"/>
  <c r="BE182" i="61" s="1"/>
  <c r="X182" i="61"/>
  <c r="BA182" i="61" s="1"/>
  <c r="Z182" i="61"/>
  <c r="BC182" i="61" s="1"/>
  <c r="Y182" i="61"/>
  <c r="BB182" i="61" s="1"/>
  <c r="AG182" i="61"/>
  <c r="BJ182" i="61" s="1"/>
  <c r="U182" i="61"/>
  <c r="AX182" i="61" s="1"/>
  <c r="AF182" i="61"/>
  <c r="BI182" i="61" s="1"/>
  <c r="V182" i="61"/>
  <c r="AY182" i="61" s="1"/>
  <c r="W182" i="61"/>
  <c r="AZ182" i="61" s="1"/>
  <c r="S182" i="61"/>
  <c r="AV182" i="61" s="1"/>
  <c r="AB188" i="61"/>
  <c r="BE188" i="61" s="1"/>
  <c r="AD188" i="61"/>
  <c r="BG188" i="61" s="1"/>
  <c r="Y188" i="61"/>
  <c r="BB188" i="61" s="1"/>
  <c r="T188" i="61"/>
  <c r="AW188" i="61" s="1"/>
  <c r="V188" i="61"/>
  <c r="AY188" i="61" s="1"/>
  <c r="AC188" i="61"/>
  <c r="BF188" i="61" s="1"/>
  <c r="X188" i="61"/>
  <c r="BA188" i="61" s="1"/>
  <c r="U188" i="61"/>
  <c r="AX188" i="61" s="1"/>
  <c r="AE188" i="61"/>
  <c r="BH188" i="61" s="1"/>
  <c r="AG188" i="61"/>
  <c r="BJ188" i="61" s="1"/>
  <c r="AF188" i="61"/>
  <c r="BI188" i="61" s="1"/>
  <c r="AA188" i="61"/>
  <c r="BD188" i="61" s="1"/>
  <c r="Z188" i="61"/>
  <c r="BC188" i="61" s="1"/>
  <c r="W188" i="61"/>
  <c r="AZ188" i="61" s="1"/>
  <c r="S188" i="61"/>
  <c r="AV188" i="61" s="1"/>
  <c r="AE152" i="61"/>
  <c r="BH152" i="61" s="1"/>
  <c r="X152" i="61"/>
  <c r="BA152" i="61" s="1"/>
  <c r="AA152" i="61"/>
  <c r="BD152" i="61" s="1"/>
  <c r="Y152" i="61"/>
  <c r="BB152" i="61" s="1"/>
  <c r="AC152" i="61"/>
  <c r="BF152" i="61" s="1"/>
  <c r="Z152" i="61"/>
  <c r="BC152" i="61" s="1"/>
  <c r="AF152" i="61"/>
  <c r="BI152" i="61" s="1"/>
  <c r="T152" i="61"/>
  <c r="AW152" i="61" s="1"/>
  <c r="AG152" i="61"/>
  <c r="BJ152" i="61" s="1"/>
  <c r="AD152" i="61"/>
  <c r="BG152" i="61" s="1"/>
  <c r="U152" i="61"/>
  <c r="AX152" i="61" s="1"/>
  <c r="W152" i="61"/>
  <c r="AZ152" i="61" s="1"/>
  <c r="AB152" i="61"/>
  <c r="BE152" i="61" s="1"/>
  <c r="V152" i="61"/>
  <c r="AY152" i="61" s="1"/>
  <c r="S152" i="61"/>
  <c r="AV152" i="61" s="1"/>
  <c r="W228" i="61"/>
  <c r="AZ228" i="61" s="1"/>
  <c r="V228" i="61"/>
  <c r="AY228" i="61" s="1"/>
  <c r="Z228" i="61"/>
  <c r="BC228" i="61" s="1"/>
  <c r="X228" i="61"/>
  <c r="BA228" i="61" s="1"/>
  <c r="AB228" i="61"/>
  <c r="BE228" i="61" s="1"/>
  <c r="T228" i="61"/>
  <c r="AW228" i="61" s="1"/>
  <c r="Y228" i="61"/>
  <c r="BB228" i="61" s="1"/>
  <c r="AC228" i="61"/>
  <c r="BF228" i="61" s="1"/>
  <c r="AG228" i="61"/>
  <c r="BJ228" i="61" s="1"/>
  <c r="U228" i="61"/>
  <c r="AX228" i="61" s="1"/>
  <c r="AA228" i="61"/>
  <c r="BD228" i="61" s="1"/>
  <c r="AF228" i="61"/>
  <c r="BI228" i="61" s="1"/>
  <c r="AE228" i="61"/>
  <c r="BH228" i="61" s="1"/>
  <c r="AD228" i="61"/>
  <c r="BG228" i="61" s="1"/>
  <c r="S228" i="61"/>
  <c r="AV228" i="61" s="1"/>
  <c r="AD146" i="61"/>
  <c r="BG146" i="61" s="1"/>
  <c r="AB146" i="61"/>
  <c r="BE146" i="61" s="1"/>
  <c r="AF146" i="61"/>
  <c r="BI146" i="61" s="1"/>
  <c r="Y146" i="61"/>
  <c r="BB146" i="61" s="1"/>
  <c r="AA146" i="61"/>
  <c r="BD146" i="61" s="1"/>
  <c r="V146" i="61"/>
  <c r="AY146" i="61" s="1"/>
  <c r="AG146" i="61"/>
  <c r="BJ146" i="61" s="1"/>
  <c r="W146" i="61"/>
  <c r="AZ146" i="61" s="1"/>
  <c r="U146" i="61"/>
  <c r="AX146" i="61" s="1"/>
  <c r="T146" i="61"/>
  <c r="AW146" i="61" s="1"/>
  <c r="AC146" i="61"/>
  <c r="BF146" i="61" s="1"/>
  <c r="X146" i="61"/>
  <c r="BA146" i="61" s="1"/>
  <c r="Z146" i="61"/>
  <c r="BC146" i="61" s="1"/>
  <c r="AE146" i="61"/>
  <c r="BH146" i="61" s="1"/>
  <c r="S146" i="61"/>
  <c r="AV146" i="61" s="1"/>
  <c r="W72" i="61"/>
  <c r="AZ72" i="61" s="1"/>
  <c r="T72" i="61"/>
  <c r="AW72" i="61" s="1"/>
  <c r="AB72" i="61"/>
  <c r="BE72" i="61" s="1"/>
  <c r="AG72" i="61"/>
  <c r="BJ72" i="61" s="1"/>
  <c r="Y72" i="61"/>
  <c r="BB72" i="61" s="1"/>
  <c r="V72" i="61"/>
  <c r="AY72" i="61" s="1"/>
  <c r="Z72" i="61"/>
  <c r="BC72" i="61" s="1"/>
  <c r="AF72" i="61"/>
  <c r="BI72" i="61" s="1"/>
  <c r="AE72" i="61"/>
  <c r="BH72" i="61" s="1"/>
  <c r="AC72" i="61"/>
  <c r="BF72" i="61" s="1"/>
  <c r="AA72" i="61"/>
  <c r="BD72" i="61" s="1"/>
  <c r="AD72" i="61"/>
  <c r="BG72" i="61" s="1"/>
  <c r="U72" i="61"/>
  <c r="AX72" i="61" s="1"/>
  <c r="X72" i="61"/>
  <c r="BA72" i="61" s="1"/>
  <c r="S72" i="61"/>
  <c r="AV72" i="61" s="1"/>
  <c r="AE134" i="61"/>
  <c r="BH134" i="61" s="1"/>
  <c r="Z134" i="61"/>
  <c r="BC134" i="61" s="1"/>
  <c r="AF134" i="61"/>
  <c r="BI134" i="61" s="1"/>
  <c r="AA134" i="61"/>
  <c r="BD134" i="61" s="1"/>
  <c r="W134" i="61"/>
  <c r="AZ134" i="61" s="1"/>
  <c r="U134" i="61"/>
  <c r="AX134" i="61" s="1"/>
  <c r="AD134" i="61"/>
  <c r="BG134" i="61" s="1"/>
  <c r="AG134" i="61"/>
  <c r="BJ134" i="61" s="1"/>
  <c r="V134" i="61"/>
  <c r="AY134" i="61" s="1"/>
  <c r="AC134" i="61"/>
  <c r="BF134" i="61" s="1"/>
  <c r="AB134" i="61"/>
  <c r="BE134" i="61" s="1"/>
  <c r="Y134" i="61"/>
  <c r="BB134" i="61" s="1"/>
  <c r="T134" i="61"/>
  <c r="AW134" i="61" s="1"/>
  <c r="X134" i="61"/>
  <c r="BA134" i="61" s="1"/>
  <c r="S134" i="61"/>
  <c r="AV134" i="61" s="1"/>
  <c r="T129" i="61"/>
  <c r="AW129" i="61" s="1"/>
  <c r="AF129" i="61"/>
  <c r="BI129" i="61" s="1"/>
  <c r="AB129" i="61"/>
  <c r="BE129" i="61" s="1"/>
  <c r="AD129" i="61"/>
  <c r="BG129" i="61" s="1"/>
  <c r="AG129" i="61"/>
  <c r="BJ129" i="61" s="1"/>
  <c r="Y129" i="61"/>
  <c r="BB129" i="61" s="1"/>
  <c r="Z129" i="61"/>
  <c r="BC129" i="61" s="1"/>
  <c r="AC129" i="61"/>
  <c r="BF129" i="61" s="1"/>
  <c r="AE129" i="61"/>
  <c r="BH129" i="61" s="1"/>
  <c r="U129" i="61"/>
  <c r="AX129" i="61" s="1"/>
  <c r="V129" i="61"/>
  <c r="AY129" i="61" s="1"/>
  <c r="AA129" i="61"/>
  <c r="BD129" i="61" s="1"/>
  <c r="X129" i="61"/>
  <c r="BA129" i="61" s="1"/>
  <c r="W129" i="61"/>
  <c r="AZ129" i="61" s="1"/>
  <c r="S129" i="61"/>
  <c r="AV129" i="61" s="1"/>
  <c r="W17" i="61"/>
  <c r="AZ17" i="61" s="1"/>
  <c r="Z17" i="61"/>
  <c r="BC17" i="61" s="1"/>
  <c r="AB17" i="61"/>
  <c r="BE17" i="61" s="1"/>
  <c r="V17" i="61"/>
  <c r="AY17" i="61" s="1"/>
  <c r="AG17" i="61"/>
  <c r="BJ17" i="61" s="1"/>
  <c r="X17" i="61"/>
  <c r="BA17" i="61" s="1"/>
  <c r="Y17" i="61"/>
  <c r="BB17" i="61" s="1"/>
  <c r="AF17" i="61"/>
  <c r="BI17" i="61" s="1"/>
  <c r="AC17" i="61"/>
  <c r="BF17" i="61" s="1"/>
  <c r="AA17" i="61"/>
  <c r="BD17" i="61" s="1"/>
  <c r="AE17" i="61"/>
  <c r="BH17" i="61" s="1"/>
  <c r="U17" i="61"/>
  <c r="AX17" i="61" s="1"/>
  <c r="AD17" i="61"/>
  <c r="BG17" i="61" s="1"/>
  <c r="T17" i="61"/>
  <c r="AW17" i="61" s="1"/>
  <c r="S17" i="61"/>
  <c r="AV17" i="61" s="1"/>
  <c r="Y55" i="61"/>
  <c r="BB55" i="61" s="1"/>
  <c r="Z55" i="61"/>
  <c r="BC55" i="61" s="1"/>
  <c r="X55" i="61"/>
  <c r="BA55" i="61" s="1"/>
  <c r="W55" i="61"/>
  <c r="AZ55" i="61" s="1"/>
  <c r="AB55" i="61"/>
  <c r="BE55" i="61" s="1"/>
  <c r="AC55" i="61"/>
  <c r="BF55" i="61" s="1"/>
  <c r="T55" i="61"/>
  <c r="AW55" i="61" s="1"/>
  <c r="V55" i="61"/>
  <c r="AY55" i="61" s="1"/>
  <c r="AD55" i="61"/>
  <c r="BG55" i="61" s="1"/>
  <c r="U55" i="61"/>
  <c r="AX55" i="61" s="1"/>
  <c r="AE55" i="61"/>
  <c r="BH55" i="61" s="1"/>
  <c r="AG55" i="61"/>
  <c r="BJ55" i="61" s="1"/>
  <c r="AA55" i="61"/>
  <c r="BD55" i="61" s="1"/>
  <c r="AF55" i="61"/>
  <c r="BI55" i="61" s="1"/>
  <c r="S55" i="61"/>
  <c r="AV55" i="61" s="1"/>
  <c r="AA16" i="61"/>
  <c r="BD16" i="61" s="1"/>
  <c r="AC16" i="61"/>
  <c r="BF16" i="61" s="1"/>
  <c r="AB16" i="61"/>
  <c r="BE16" i="61" s="1"/>
  <c r="X16" i="61"/>
  <c r="BA16" i="61" s="1"/>
  <c r="Z16" i="61"/>
  <c r="BC16" i="61" s="1"/>
  <c r="Y16" i="61"/>
  <c r="BB16" i="61" s="1"/>
  <c r="AF16" i="61"/>
  <c r="BI16" i="61" s="1"/>
  <c r="W16" i="61"/>
  <c r="AZ16" i="61" s="1"/>
  <c r="AG16" i="61"/>
  <c r="BJ16" i="61" s="1"/>
  <c r="AE16" i="61"/>
  <c r="BH16" i="61" s="1"/>
  <c r="AD16" i="61"/>
  <c r="BG16" i="61" s="1"/>
  <c r="U16" i="61"/>
  <c r="AX16" i="61" s="1"/>
  <c r="T16" i="61"/>
  <c r="AW16" i="61" s="1"/>
  <c r="V16" i="61"/>
  <c r="AY16" i="61" s="1"/>
  <c r="S16" i="61"/>
  <c r="AV16" i="61" s="1"/>
  <c r="AD45" i="61"/>
  <c r="BG45" i="61" s="1"/>
  <c r="T45" i="61"/>
  <c r="AW45" i="61" s="1"/>
  <c r="AC45" i="61"/>
  <c r="BF45" i="61" s="1"/>
  <c r="AA45" i="61"/>
  <c r="BD45" i="61" s="1"/>
  <c r="AB45" i="61"/>
  <c r="BE45" i="61" s="1"/>
  <c r="W45" i="61"/>
  <c r="AZ45" i="61" s="1"/>
  <c r="AE45" i="61"/>
  <c r="BH45" i="61" s="1"/>
  <c r="V45" i="61"/>
  <c r="AY45" i="61" s="1"/>
  <c r="Y45" i="61"/>
  <c r="BB45" i="61" s="1"/>
  <c r="Z45" i="61"/>
  <c r="BC45" i="61" s="1"/>
  <c r="AF45" i="61"/>
  <c r="BI45" i="61" s="1"/>
  <c r="U45" i="61"/>
  <c r="AX45" i="61" s="1"/>
  <c r="X45" i="61"/>
  <c r="BA45" i="61" s="1"/>
  <c r="AG45" i="61"/>
  <c r="BJ45" i="61" s="1"/>
  <c r="S45" i="61"/>
  <c r="AV45" i="61" s="1"/>
  <c r="Z325" i="61"/>
  <c r="BC325" i="61" s="1"/>
  <c r="AB325" i="61"/>
  <c r="BE325" i="61" s="1"/>
  <c r="X325" i="61"/>
  <c r="BA325" i="61" s="1"/>
  <c r="AA325" i="61"/>
  <c r="BD325" i="61" s="1"/>
  <c r="AC325" i="61"/>
  <c r="BF325" i="61" s="1"/>
  <c r="V325" i="61"/>
  <c r="AY325" i="61" s="1"/>
  <c r="AE325" i="61"/>
  <c r="BH325" i="61" s="1"/>
  <c r="T325" i="61"/>
  <c r="AW325" i="61" s="1"/>
  <c r="Y325" i="61"/>
  <c r="BB325" i="61" s="1"/>
  <c r="W325" i="61"/>
  <c r="AZ325" i="61" s="1"/>
  <c r="AD325" i="61"/>
  <c r="BG325" i="61" s="1"/>
  <c r="U325" i="61"/>
  <c r="AX325" i="61" s="1"/>
  <c r="AF325" i="61"/>
  <c r="BI325" i="61" s="1"/>
  <c r="AG325" i="61"/>
  <c r="BJ325" i="61" s="1"/>
  <c r="S325" i="61"/>
  <c r="AV325" i="61" s="1"/>
  <c r="AB58" i="61"/>
  <c r="BE58" i="61" s="1"/>
  <c r="AD58" i="61"/>
  <c r="BG58" i="61" s="1"/>
  <c r="V58" i="61"/>
  <c r="AY58" i="61" s="1"/>
  <c r="X58" i="61"/>
  <c r="BA58" i="61" s="1"/>
  <c r="AE58" i="61"/>
  <c r="BH58" i="61" s="1"/>
  <c r="T58" i="61"/>
  <c r="AW58" i="61" s="1"/>
  <c r="W58" i="61"/>
  <c r="AZ58" i="61" s="1"/>
  <c r="AG58" i="61"/>
  <c r="BJ58" i="61" s="1"/>
  <c r="AF58" i="61"/>
  <c r="BI58" i="61" s="1"/>
  <c r="Z58" i="61"/>
  <c r="BC58" i="61" s="1"/>
  <c r="AC58" i="61"/>
  <c r="BF58" i="61" s="1"/>
  <c r="U58" i="61"/>
  <c r="AX58" i="61" s="1"/>
  <c r="AA58" i="61"/>
  <c r="BD58" i="61" s="1"/>
  <c r="Y58" i="61"/>
  <c r="BB58" i="61" s="1"/>
  <c r="S58" i="61"/>
  <c r="AV58" i="61" s="1"/>
  <c r="Y292" i="61"/>
  <c r="BB292" i="61" s="1"/>
  <c r="W292" i="61"/>
  <c r="AZ292" i="61" s="1"/>
  <c r="V292" i="61"/>
  <c r="AY292" i="61" s="1"/>
  <c r="T292" i="61"/>
  <c r="AW292" i="61" s="1"/>
  <c r="X292" i="61"/>
  <c r="BA292" i="61" s="1"/>
  <c r="Z292" i="61"/>
  <c r="BC292" i="61" s="1"/>
  <c r="AA292" i="61"/>
  <c r="BD292" i="61" s="1"/>
  <c r="AB292" i="61"/>
  <c r="BE292" i="61" s="1"/>
  <c r="AF292" i="61"/>
  <c r="BI292" i="61" s="1"/>
  <c r="U292" i="61"/>
  <c r="AX292" i="61" s="1"/>
  <c r="AE292" i="61"/>
  <c r="BH292" i="61" s="1"/>
  <c r="AC292" i="61"/>
  <c r="BF292" i="61" s="1"/>
  <c r="AG292" i="61"/>
  <c r="BJ292" i="61" s="1"/>
  <c r="AD292" i="61"/>
  <c r="BG292" i="61" s="1"/>
  <c r="S292" i="61"/>
  <c r="AV292" i="61" s="1"/>
  <c r="W296" i="61"/>
  <c r="AZ296" i="61" s="1"/>
  <c r="AD296" i="61"/>
  <c r="BG296" i="61" s="1"/>
  <c r="X296" i="61"/>
  <c r="BA296" i="61" s="1"/>
  <c r="Y296" i="61"/>
  <c r="BB296" i="61" s="1"/>
  <c r="AF296" i="61"/>
  <c r="BI296" i="61" s="1"/>
  <c r="U296" i="61"/>
  <c r="AX296" i="61" s="1"/>
  <c r="AG296" i="61"/>
  <c r="BJ296" i="61" s="1"/>
  <c r="T296" i="61"/>
  <c r="AW296" i="61" s="1"/>
  <c r="AE296" i="61"/>
  <c r="BH296" i="61" s="1"/>
  <c r="V296" i="61"/>
  <c r="AY296" i="61" s="1"/>
  <c r="AA296" i="61"/>
  <c r="BD296" i="61" s="1"/>
  <c r="AC296" i="61"/>
  <c r="BF296" i="61" s="1"/>
  <c r="AB296" i="61"/>
  <c r="BE296" i="61" s="1"/>
  <c r="Z296" i="61"/>
  <c r="BC296" i="61" s="1"/>
  <c r="S296" i="61"/>
  <c r="AV296" i="61" s="1"/>
  <c r="AG322" i="61"/>
  <c r="BJ322" i="61" s="1"/>
  <c r="AF322" i="61"/>
  <c r="BI322" i="61" s="1"/>
  <c r="W322" i="61"/>
  <c r="AZ322" i="61" s="1"/>
  <c r="U322" i="61"/>
  <c r="AX322" i="61" s="1"/>
  <c r="AB322" i="61"/>
  <c r="BE322" i="61" s="1"/>
  <c r="AC322" i="61"/>
  <c r="BF322" i="61" s="1"/>
  <c r="T322" i="61"/>
  <c r="AW322" i="61" s="1"/>
  <c r="Z322" i="61"/>
  <c r="BC322" i="61" s="1"/>
  <c r="AD322" i="61"/>
  <c r="BG322" i="61" s="1"/>
  <c r="AA322" i="61"/>
  <c r="BD322" i="61" s="1"/>
  <c r="V322" i="61"/>
  <c r="AY322" i="61" s="1"/>
  <c r="AE322" i="61"/>
  <c r="BH322" i="61" s="1"/>
  <c r="X322" i="61"/>
  <c r="BA322" i="61" s="1"/>
  <c r="Y322" i="61"/>
  <c r="BB322" i="61" s="1"/>
  <c r="S322" i="61"/>
  <c r="AV322" i="61" s="1"/>
  <c r="W321" i="61"/>
  <c r="AZ321" i="61" s="1"/>
  <c r="AC321" i="61"/>
  <c r="BF321" i="61" s="1"/>
  <c r="AE321" i="61"/>
  <c r="BH321" i="61" s="1"/>
  <c r="T321" i="61"/>
  <c r="AW321" i="61" s="1"/>
  <c r="X321" i="61"/>
  <c r="BA321" i="61" s="1"/>
  <c r="V321" i="61"/>
  <c r="AY321" i="61" s="1"/>
  <c r="AD321" i="61"/>
  <c r="BG321" i="61" s="1"/>
  <c r="U321" i="61"/>
  <c r="AX321" i="61" s="1"/>
  <c r="AF321" i="61"/>
  <c r="BI321" i="61" s="1"/>
  <c r="Y321" i="61"/>
  <c r="BB321" i="61" s="1"/>
  <c r="AB321" i="61"/>
  <c r="BE321" i="61" s="1"/>
  <c r="Z321" i="61"/>
  <c r="BC321" i="61" s="1"/>
  <c r="AA321" i="61"/>
  <c r="BD321" i="61" s="1"/>
  <c r="AG321" i="61"/>
  <c r="BJ321" i="61" s="1"/>
  <c r="S321" i="61"/>
  <c r="AV321" i="61" s="1"/>
  <c r="AE12" i="61"/>
  <c r="BH12" i="61" s="1"/>
  <c r="AB12" i="61"/>
  <c r="BE12" i="61" s="1"/>
  <c r="AD12" i="61"/>
  <c r="BG12" i="61" s="1"/>
  <c r="AC12" i="61"/>
  <c r="BF12" i="61" s="1"/>
  <c r="AG12" i="61"/>
  <c r="BJ12" i="61" s="1"/>
  <c r="U12" i="61"/>
  <c r="AX12" i="61" s="1"/>
  <c r="T12" i="61"/>
  <c r="AW12" i="61" s="1"/>
  <c r="W12" i="61"/>
  <c r="AZ12" i="61" s="1"/>
  <c r="AF12" i="61"/>
  <c r="BI12" i="61" s="1"/>
  <c r="V12" i="61"/>
  <c r="AY12" i="61" s="1"/>
  <c r="AA12" i="61"/>
  <c r="BD12" i="61" s="1"/>
  <c r="Z12" i="61"/>
  <c r="BC12" i="61" s="1"/>
  <c r="Y12" i="61"/>
  <c r="BB12" i="61" s="1"/>
  <c r="X12" i="61"/>
  <c r="BA12" i="61" s="1"/>
  <c r="S12" i="61"/>
  <c r="AV12" i="61" s="1"/>
  <c r="AC283" i="61"/>
  <c r="BF283" i="61" s="1"/>
  <c r="AB283" i="61"/>
  <c r="BE283" i="61" s="1"/>
  <c r="AF283" i="61"/>
  <c r="BI283" i="61" s="1"/>
  <c r="AG283" i="61"/>
  <c r="BJ283" i="61" s="1"/>
  <c r="X283" i="61"/>
  <c r="BA283" i="61" s="1"/>
  <c r="W283" i="61"/>
  <c r="AZ283" i="61" s="1"/>
  <c r="Z283" i="61"/>
  <c r="BC283" i="61" s="1"/>
  <c r="Y283" i="61"/>
  <c r="BB283" i="61" s="1"/>
  <c r="AA283" i="61"/>
  <c r="BD283" i="61" s="1"/>
  <c r="AD283" i="61"/>
  <c r="BG283" i="61" s="1"/>
  <c r="T283" i="61"/>
  <c r="AW283" i="61" s="1"/>
  <c r="V283" i="61"/>
  <c r="AY283" i="61" s="1"/>
  <c r="U283" i="61"/>
  <c r="AX283" i="61" s="1"/>
  <c r="AE283" i="61"/>
  <c r="BH283" i="61" s="1"/>
  <c r="S283" i="61"/>
  <c r="AV283" i="61" s="1"/>
  <c r="AB260" i="61"/>
  <c r="BE260" i="61" s="1"/>
  <c r="AE260" i="61"/>
  <c r="BH260" i="61" s="1"/>
  <c r="AG260" i="61"/>
  <c r="BJ260" i="61" s="1"/>
  <c r="AF260" i="61"/>
  <c r="BI260" i="61" s="1"/>
  <c r="AD260" i="61"/>
  <c r="BG260" i="61" s="1"/>
  <c r="X260" i="61"/>
  <c r="BA260" i="61" s="1"/>
  <c r="V260" i="61"/>
  <c r="AY260" i="61" s="1"/>
  <c r="W260" i="61"/>
  <c r="AZ260" i="61" s="1"/>
  <c r="Z260" i="61"/>
  <c r="BC260" i="61" s="1"/>
  <c r="Y260" i="61"/>
  <c r="BB260" i="61" s="1"/>
  <c r="AC260" i="61"/>
  <c r="BF260" i="61" s="1"/>
  <c r="AA260" i="61"/>
  <c r="BD260" i="61" s="1"/>
  <c r="T260" i="61"/>
  <c r="AW260" i="61" s="1"/>
  <c r="U260" i="61"/>
  <c r="AX260" i="61" s="1"/>
  <c r="S260" i="61"/>
  <c r="AV260" i="61" s="1"/>
  <c r="X81" i="61"/>
  <c r="BA81" i="61" s="1"/>
  <c r="Z81" i="61"/>
  <c r="BC81" i="61" s="1"/>
  <c r="W81" i="61"/>
  <c r="AZ81" i="61" s="1"/>
  <c r="AC81" i="61"/>
  <c r="BF81" i="61" s="1"/>
  <c r="AF81" i="61"/>
  <c r="BI81" i="61" s="1"/>
  <c r="T81" i="61"/>
  <c r="AW81" i="61" s="1"/>
  <c r="AA81" i="61"/>
  <c r="BD81" i="61" s="1"/>
  <c r="Y81" i="61"/>
  <c r="BB81" i="61" s="1"/>
  <c r="AB81" i="61"/>
  <c r="BE81" i="61" s="1"/>
  <c r="AG81" i="61"/>
  <c r="BJ81" i="61" s="1"/>
  <c r="AE81" i="61"/>
  <c r="BH81" i="61" s="1"/>
  <c r="V81" i="61"/>
  <c r="AY81" i="61" s="1"/>
  <c r="U81" i="61"/>
  <c r="AX81" i="61" s="1"/>
  <c r="AD81" i="61"/>
  <c r="BG81" i="61" s="1"/>
  <c r="S81" i="61"/>
  <c r="AV81" i="61" s="1"/>
  <c r="V62" i="61"/>
  <c r="AY62" i="61" s="1"/>
  <c r="W62" i="61"/>
  <c r="AZ62" i="61" s="1"/>
  <c r="AA62" i="61"/>
  <c r="BD62" i="61" s="1"/>
  <c r="AG62" i="61"/>
  <c r="BJ62" i="61" s="1"/>
  <c r="Y62" i="61"/>
  <c r="BB62" i="61" s="1"/>
  <c r="Z62" i="61"/>
  <c r="BC62" i="61" s="1"/>
  <c r="U62" i="61"/>
  <c r="AX62" i="61" s="1"/>
  <c r="AF62" i="61"/>
  <c r="BI62" i="61" s="1"/>
  <c r="X62" i="61"/>
  <c r="BA62" i="61" s="1"/>
  <c r="AC62" i="61"/>
  <c r="BF62" i="61" s="1"/>
  <c r="AE62" i="61"/>
  <c r="BH62" i="61" s="1"/>
  <c r="T62" i="61"/>
  <c r="AW62" i="61" s="1"/>
  <c r="AD62" i="61"/>
  <c r="BG62" i="61" s="1"/>
  <c r="AB62" i="61"/>
  <c r="BE62" i="61" s="1"/>
  <c r="S62" i="61"/>
  <c r="AV62" i="61" s="1"/>
  <c r="V317" i="61"/>
  <c r="AY317" i="61" s="1"/>
  <c r="Y317" i="61"/>
  <c r="BB317" i="61" s="1"/>
  <c r="AC317" i="61"/>
  <c r="BF317" i="61" s="1"/>
  <c r="AF317" i="61"/>
  <c r="BI317" i="61" s="1"/>
  <c r="AG317" i="61"/>
  <c r="BJ317" i="61" s="1"/>
  <c r="U317" i="61"/>
  <c r="AX317" i="61" s="1"/>
  <c r="AD317" i="61"/>
  <c r="BG317" i="61" s="1"/>
  <c r="X317" i="61"/>
  <c r="BA317" i="61" s="1"/>
  <c r="W317" i="61"/>
  <c r="AZ317" i="61" s="1"/>
  <c r="AE317" i="61"/>
  <c r="BH317" i="61" s="1"/>
  <c r="Z317" i="61"/>
  <c r="BC317" i="61" s="1"/>
  <c r="T317" i="61"/>
  <c r="AW317" i="61" s="1"/>
  <c r="AA317" i="61"/>
  <c r="BD317" i="61" s="1"/>
  <c r="AB317" i="61"/>
  <c r="BE317" i="61" s="1"/>
  <c r="S317" i="61"/>
  <c r="AV317" i="61" s="1"/>
  <c r="AG57" i="61"/>
  <c r="BJ57" i="61" s="1"/>
  <c r="Y57" i="61"/>
  <c r="BB57" i="61" s="1"/>
  <c r="X57" i="61"/>
  <c r="BA57" i="61" s="1"/>
  <c r="U57" i="61"/>
  <c r="AX57" i="61" s="1"/>
  <c r="Z57" i="61"/>
  <c r="BC57" i="61" s="1"/>
  <c r="AF57" i="61"/>
  <c r="BI57" i="61" s="1"/>
  <c r="AA57" i="61"/>
  <c r="BD57" i="61" s="1"/>
  <c r="V57" i="61"/>
  <c r="AY57" i="61" s="1"/>
  <c r="W57" i="61"/>
  <c r="AZ57" i="61" s="1"/>
  <c r="AD57" i="61"/>
  <c r="BG57" i="61" s="1"/>
  <c r="AB57" i="61"/>
  <c r="BE57" i="61" s="1"/>
  <c r="T57" i="61"/>
  <c r="AW57" i="61" s="1"/>
  <c r="AE57" i="61"/>
  <c r="BH57" i="61" s="1"/>
  <c r="AC57" i="61"/>
  <c r="BF57" i="61" s="1"/>
  <c r="S57" i="61"/>
  <c r="AV57" i="61" s="1"/>
  <c r="W35" i="61"/>
  <c r="AZ35" i="61" s="1"/>
  <c r="X35" i="61"/>
  <c r="BA35" i="61" s="1"/>
  <c r="Z35" i="61"/>
  <c r="BC35" i="61" s="1"/>
  <c r="T35" i="61"/>
  <c r="AW35" i="61" s="1"/>
  <c r="Y35" i="61"/>
  <c r="BB35" i="61" s="1"/>
  <c r="U35" i="61"/>
  <c r="AX35" i="61" s="1"/>
  <c r="AB35" i="61"/>
  <c r="BE35" i="61" s="1"/>
  <c r="AC35" i="61"/>
  <c r="BF35" i="61" s="1"/>
  <c r="AF35" i="61"/>
  <c r="BI35" i="61" s="1"/>
  <c r="AA35" i="61"/>
  <c r="BD35" i="61" s="1"/>
  <c r="AD35" i="61"/>
  <c r="BG35" i="61" s="1"/>
  <c r="AE35" i="61"/>
  <c r="BH35" i="61" s="1"/>
  <c r="V35" i="61"/>
  <c r="AY35" i="61" s="1"/>
  <c r="AG35" i="61"/>
  <c r="BJ35" i="61" s="1"/>
  <c r="S35" i="61"/>
  <c r="AV35" i="61" s="1"/>
  <c r="X56" i="61"/>
  <c r="BA56" i="61" s="1"/>
  <c r="T56" i="61"/>
  <c r="AW56" i="61" s="1"/>
  <c r="W56" i="61"/>
  <c r="AZ56" i="61" s="1"/>
  <c r="Y56" i="61"/>
  <c r="BB56" i="61" s="1"/>
  <c r="Z56" i="61"/>
  <c r="BC56" i="61" s="1"/>
  <c r="AE56" i="61"/>
  <c r="BH56" i="61" s="1"/>
  <c r="AC56" i="61"/>
  <c r="BF56" i="61" s="1"/>
  <c r="AA56" i="61"/>
  <c r="BD56" i="61" s="1"/>
  <c r="AF56" i="61"/>
  <c r="BI56" i="61" s="1"/>
  <c r="AD56" i="61"/>
  <c r="BG56" i="61" s="1"/>
  <c r="AG56" i="61"/>
  <c r="BJ56" i="61" s="1"/>
  <c r="U56" i="61"/>
  <c r="AX56" i="61" s="1"/>
  <c r="AB56" i="61"/>
  <c r="BE56" i="61" s="1"/>
  <c r="V56" i="61"/>
  <c r="AY56" i="61" s="1"/>
  <c r="S56" i="61"/>
  <c r="AV56" i="61" s="1"/>
  <c r="T176" i="61"/>
  <c r="AW176" i="61" s="1"/>
  <c r="Y176" i="61"/>
  <c r="BB176" i="61" s="1"/>
  <c r="AE176" i="61"/>
  <c r="BH176" i="61" s="1"/>
  <c r="X176" i="61"/>
  <c r="BA176" i="61" s="1"/>
  <c r="W176" i="61"/>
  <c r="AZ176" i="61" s="1"/>
  <c r="Z176" i="61"/>
  <c r="BC176" i="61" s="1"/>
  <c r="AC176" i="61"/>
  <c r="BF176" i="61" s="1"/>
  <c r="U176" i="61"/>
  <c r="AX176" i="61" s="1"/>
  <c r="AF176" i="61"/>
  <c r="BI176" i="61" s="1"/>
  <c r="AA176" i="61"/>
  <c r="BD176" i="61" s="1"/>
  <c r="AB176" i="61"/>
  <c r="BE176" i="61" s="1"/>
  <c r="V176" i="61"/>
  <c r="AY176" i="61" s="1"/>
  <c r="AD176" i="61"/>
  <c r="BG176" i="61" s="1"/>
  <c r="AG176" i="61"/>
  <c r="BJ176" i="61" s="1"/>
  <c r="S176" i="61"/>
  <c r="AV176" i="61" s="1"/>
  <c r="AB190" i="61"/>
  <c r="BE190" i="61" s="1"/>
  <c r="W190" i="61"/>
  <c r="AZ190" i="61" s="1"/>
  <c r="T190" i="61"/>
  <c r="AW190" i="61" s="1"/>
  <c r="Y190" i="61"/>
  <c r="BB190" i="61" s="1"/>
  <c r="AA190" i="61"/>
  <c r="BD190" i="61" s="1"/>
  <c r="U190" i="61"/>
  <c r="AX190" i="61" s="1"/>
  <c r="X190" i="61"/>
  <c r="BA190" i="61" s="1"/>
  <c r="AD190" i="61"/>
  <c r="BG190" i="61" s="1"/>
  <c r="AC190" i="61"/>
  <c r="BF190" i="61" s="1"/>
  <c r="Z190" i="61"/>
  <c r="BC190" i="61" s="1"/>
  <c r="AF190" i="61"/>
  <c r="BI190" i="61" s="1"/>
  <c r="AE190" i="61"/>
  <c r="BH190" i="61" s="1"/>
  <c r="V190" i="61"/>
  <c r="AY190" i="61" s="1"/>
  <c r="AG190" i="61"/>
  <c r="BJ190" i="61" s="1"/>
  <c r="S190" i="61"/>
  <c r="AV190" i="61" s="1"/>
  <c r="AB48" i="61"/>
  <c r="BE48" i="61" s="1"/>
  <c r="AC48" i="61"/>
  <c r="BF48" i="61" s="1"/>
  <c r="AG48" i="61"/>
  <c r="BJ48" i="61" s="1"/>
  <c r="AA48" i="61"/>
  <c r="BD48" i="61" s="1"/>
  <c r="AE48" i="61"/>
  <c r="BH48" i="61" s="1"/>
  <c r="AF48" i="61"/>
  <c r="BI48" i="61" s="1"/>
  <c r="T48" i="61"/>
  <c r="AW48" i="61" s="1"/>
  <c r="W48" i="61"/>
  <c r="AZ48" i="61" s="1"/>
  <c r="U48" i="61"/>
  <c r="AX48" i="61" s="1"/>
  <c r="V48" i="61"/>
  <c r="AY48" i="61" s="1"/>
  <c r="AD48" i="61"/>
  <c r="BG48" i="61" s="1"/>
  <c r="X48" i="61"/>
  <c r="BA48" i="61" s="1"/>
  <c r="Z48" i="61"/>
  <c r="BC48" i="61" s="1"/>
  <c r="Y48" i="61"/>
  <c r="BB48" i="61" s="1"/>
  <c r="S48" i="61"/>
  <c r="AV48" i="61" s="1"/>
  <c r="W203" i="61"/>
  <c r="AZ203" i="61" s="1"/>
  <c r="T203" i="61"/>
  <c r="AW203" i="61" s="1"/>
  <c r="X203" i="61"/>
  <c r="BA203" i="61" s="1"/>
  <c r="V203" i="61"/>
  <c r="AY203" i="61" s="1"/>
  <c r="AG203" i="61"/>
  <c r="BJ203" i="61" s="1"/>
  <c r="Y203" i="61"/>
  <c r="BB203" i="61" s="1"/>
  <c r="AC203" i="61"/>
  <c r="BF203" i="61" s="1"/>
  <c r="Z203" i="61"/>
  <c r="BC203" i="61" s="1"/>
  <c r="U203" i="61"/>
  <c r="AX203" i="61" s="1"/>
  <c r="AE203" i="61"/>
  <c r="BH203" i="61" s="1"/>
  <c r="AF203" i="61"/>
  <c r="BI203" i="61" s="1"/>
  <c r="AD203" i="61"/>
  <c r="BG203" i="61" s="1"/>
  <c r="AB203" i="61"/>
  <c r="BE203" i="61" s="1"/>
  <c r="AA203" i="61"/>
  <c r="BD203" i="61" s="1"/>
  <c r="S203" i="61"/>
  <c r="AV203" i="61" s="1"/>
  <c r="AD183" i="61"/>
  <c r="BG183" i="61" s="1"/>
  <c r="AC183" i="61"/>
  <c r="BF183" i="61" s="1"/>
  <c r="AG183" i="61"/>
  <c r="BJ183" i="61" s="1"/>
  <c r="AB183" i="61"/>
  <c r="BE183" i="61" s="1"/>
  <c r="Y183" i="61"/>
  <c r="BB183" i="61" s="1"/>
  <c r="AF183" i="61"/>
  <c r="BI183" i="61" s="1"/>
  <c r="AA183" i="61"/>
  <c r="BD183" i="61" s="1"/>
  <c r="X183" i="61"/>
  <c r="BA183" i="61" s="1"/>
  <c r="AE183" i="61"/>
  <c r="BH183" i="61" s="1"/>
  <c r="W183" i="61"/>
  <c r="AZ183" i="61" s="1"/>
  <c r="Z183" i="61"/>
  <c r="BC183" i="61" s="1"/>
  <c r="V183" i="61"/>
  <c r="AY183" i="61" s="1"/>
  <c r="T183" i="61"/>
  <c r="AW183" i="61" s="1"/>
  <c r="U183" i="61"/>
  <c r="AX183" i="61" s="1"/>
  <c r="S183" i="61"/>
  <c r="AV183" i="61" s="1"/>
  <c r="Y14" i="61"/>
  <c r="BB14" i="61" s="1"/>
  <c r="AC14" i="61"/>
  <c r="BF14" i="61" s="1"/>
  <c r="AE14" i="61"/>
  <c r="BH14" i="61" s="1"/>
  <c r="T14" i="61"/>
  <c r="AW14" i="61" s="1"/>
  <c r="Z14" i="61"/>
  <c r="BC14" i="61" s="1"/>
  <c r="W14" i="61"/>
  <c r="AZ14" i="61" s="1"/>
  <c r="AF14" i="61"/>
  <c r="BI14" i="61" s="1"/>
  <c r="AB14" i="61"/>
  <c r="BE14" i="61" s="1"/>
  <c r="AA14" i="61"/>
  <c r="BD14" i="61" s="1"/>
  <c r="AG14" i="61"/>
  <c r="BJ14" i="61" s="1"/>
  <c r="X14" i="61"/>
  <c r="BA14" i="61" s="1"/>
  <c r="V14" i="61"/>
  <c r="AY14" i="61" s="1"/>
  <c r="U14" i="61"/>
  <c r="AX14" i="61" s="1"/>
  <c r="AD14" i="61"/>
  <c r="BG14" i="61" s="1"/>
  <c r="S14" i="61"/>
  <c r="AV14" i="61" s="1"/>
  <c r="AD8" i="61"/>
  <c r="BG8" i="61" s="1"/>
  <c r="AB8" i="61"/>
  <c r="BE8" i="61" s="1"/>
  <c r="U8" i="61"/>
  <c r="AX8" i="61" s="1"/>
  <c r="Y8" i="61"/>
  <c r="BB8" i="61" s="1"/>
  <c r="AA8" i="61"/>
  <c r="BD8" i="61" s="1"/>
  <c r="V8" i="61"/>
  <c r="AY8" i="61" s="1"/>
  <c r="Z8" i="61"/>
  <c r="BC8" i="61" s="1"/>
  <c r="X8" i="61"/>
  <c r="BA8" i="61" s="1"/>
  <c r="AC8" i="61"/>
  <c r="BF8" i="61" s="1"/>
  <c r="T8" i="61"/>
  <c r="AW8" i="61" s="1"/>
  <c r="W8" i="61"/>
  <c r="AZ8" i="61" s="1"/>
  <c r="AE8" i="61"/>
  <c r="BH8" i="61" s="1"/>
  <c r="AG8" i="61"/>
  <c r="BJ8" i="61" s="1"/>
  <c r="AF8" i="61"/>
  <c r="BI8" i="61" s="1"/>
  <c r="S8" i="61"/>
  <c r="AV8" i="61" s="1"/>
  <c r="Y18" i="61"/>
  <c r="BB18" i="61" s="1"/>
  <c r="AE18" i="61"/>
  <c r="BH18" i="61" s="1"/>
  <c r="AB18" i="61"/>
  <c r="BE18" i="61" s="1"/>
  <c r="AA18" i="61"/>
  <c r="BD18" i="61" s="1"/>
  <c r="AG18" i="61"/>
  <c r="BJ18" i="61" s="1"/>
  <c r="Z18" i="61"/>
  <c r="BC18" i="61" s="1"/>
  <c r="AD18" i="61"/>
  <c r="BG18" i="61" s="1"/>
  <c r="X18" i="61"/>
  <c r="BA18" i="61" s="1"/>
  <c r="AF18" i="61"/>
  <c r="BI18" i="61" s="1"/>
  <c r="T18" i="61"/>
  <c r="AW18" i="61" s="1"/>
  <c r="U18" i="61"/>
  <c r="AX18" i="61" s="1"/>
  <c r="AC18" i="61"/>
  <c r="BF18" i="61" s="1"/>
  <c r="V18" i="61"/>
  <c r="AY18" i="61" s="1"/>
  <c r="W18" i="61"/>
  <c r="AZ18" i="61" s="1"/>
  <c r="S18" i="61"/>
  <c r="AV18" i="61" s="1"/>
  <c r="AE46" i="61"/>
  <c r="BH46" i="61" s="1"/>
  <c r="T46" i="61"/>
  <c r="AW46" i="61" s="1"/>
  <c r="AC46" i="61"/>
  <c r="BF46" i="61" s="1"/>
  <c r="Z46" i="61"/>
  <c r="BC46" i="61" s="1"/>
  <c r="Y46" i="61"/>
  <c r="BB46" i="61" s="1"/>
  <c r="AD46" i="61"/>
  <c r="BG46" i="61" s="1"/>
  <c r="AG46" i="61"/>
  <c r="BJ46" i="61" s="1"/>
  <c r="AB46" i="61"/>
  <c r="BE46" i="61" s="1"/>
  <c r="U46" i="61"/>
  <c r="AX46" i="61" s="1"/>
  <c r="V46" i="61"/>
  <c r="AY46" i="61" s="1"/>
  <c r="X46" i="61"/>
  <c r="BA46" i="61" s="1"/>
  <c r="AA46" i="61"/>
  <c r="BD46" i="61" s="1"/>
  <c r="W46" i="61"/>
  <c r="AZ46" i="61" s="1"/>
  <c r="AF46" i="61"/>
  <c r="BI46" i="61" s="1"/>
  <c r="S46" i="61"/>
  <c r="AV46" i="61" s="1"/>
  <c r="AA37" i="61"/>
  <c r="BD37" i="61" s="1"/>
  <c r="AC37" i="61"/>
  <c r="BF37" i="61" s="1"/>
  <c r="AF37" i="61"/>
  <c r="BI37" i="61" s="1"/>
  <c r="AD37" i="61"/>
  <c r="BG37" i="61" s="1"/>
  <c r="AE37" i="61"/>
  <c r="BH37" i="61" s="1"/>
  <c r="AB37" i="61"/>
  <c r="BE37" i="61" s="1"/>
  <c r="V37" i="61"/>
  <c r="AY37" i="61" s="1"/>
  <c r="AG37" i="61"/>
  <c r="BJ37" i="61" s="1"/>
  <c r="Y37" i="61"/>
  <c r="BB37" i="61" s="1"/>
  <c r="Z37" i="61"/>
  <c r="BC37" i="61" s="1"/>
  <c r="U37" i="61"/>
  <c r="AX37" i="61" s="1"/>
  <c r="W37" i="61"/>
  <c r="AZ37" i="61" s="1"/>
  <c r="X37" i="61"/>
  <c r="BA37" i="61" s="1"/>
  <c r="T37" i="61"/>
  <c r="AW37" i="61" s="1"/>
  <c r="S37" i="61"/>
  <c r="AV37" i="61" s="1"/>
  <c r="AD113" i="61"/>
  <c r="BG113" i="61" s="1"/>
  <c r="AC113" i="61"/>
  <c r="BF113" i="61" s="1"/>
  <c r="AG113" i="61"/>
  <c r="BJ113" i="61" s="1"/>
  <c r="AA113" i="61"/>
  <c r="BD113" i="61" s="1"/>
  <c r="AB113" i="61"/>
  <c r="BE113" i="61" s="1"/>
  <c r="AF113" i="61"/>
  <c r="BI113" i="61" s="1"/>
  <c r="Z113" i="61"/>
  <c r="BC113" i="61" s="1"/>
  <c r="T113" i="61"/>
  <c r="AW113" i="61" s="1"/>
  <c r="Y113" i="61"/>
  <c r="BB113" i="61" s="1"/>
  <c r="X113" i="61"/>
  <c r="BA113" i="61" s="1"/>
  <c r="W113" i="61"/>
  <c r="AZ113" i="61" s="1"/>
  <c r="AE113" i="61"/>
  <c r="BH113" i="61" s="1"/>
  <c r="V113" i="61"/>
  <c r="AY113" i="61" s="1"/>
  <c r="U113" i="61"/>
  <c r="AX113" i="61" s="1"/>
  <c r="S113" i="61"/>
  <c r="AV113" i="61" s="1"/>
  <c r="AB75" i="61"/>
  <c r="BE75" i="61" s="1"/>
  <c r="AD75" i="61"/>
  <c r="BG75" i="61" s="1"/>
  <c r="AG75" i="61"/>
  <c r="BJ75" i="61" s="1"/>
  <c r="Y75" i="61"/>
  <c r="BB75" i="61" s="1"/>
  <c r="AC75" i="61"/>
  <c r="BF75" i="61" s="1"/>
  <c r="V75" i="61"/>
  <c r="AY75" i="61" s="1"/>
  <c r="AF75" i="61"/>
  <c r="BI75" i="61" s="1"/>
  <c r="AE75" i="61"/>
  <c r="BH75" i="61" s="1"/>
  <c r="U75" i="61"/>
  <c r="AX75" i="61" s="1"/>
  <c r="Z75" i="61"/>
  <c r="BC75" i="61" s="1"/>
  <c r="AA75" i="61"/>
  <c r="BD75" i="61" s="1"/>
  <c r="X75" i="61"/>
  <c r="BA75" i="61" s="1"/>
  <c r="T75" i="61"/>
  <c r="AW75" i="61" s="1"/>
  <c r="W75" i="61"/>
  <c r="AZ75" i="61" s="1"/>
  <c r="S75" i="61"/>
  <c r="AV75" i="61" s="1"/>
  <c r="X273" i="61"/>
  <c r="BA273" i="61" s="1"/>
  <c r="AE273" i="61"/>
  <c r="BH273" i="61" s="1"/>
  <c r="V273" i="61"/>
  <c r="AY273" i="61" s="1"/>
  <c r="Y273" i="61"/>
  <c r="BB273" i="61" s="1"/>
  <c r="U273" i="61"/>
  <c r="AX273" i="61" s="1"/>
  <c r="Z273" i="61"/>
  <c r="BC273" i="61" s="1"/>
  <c r="W273" i="61"/>
  <c r="AZ273" i="61" s="1"/>
  <c r="T273" i="61"/>
  <c r="AW273" i="61" s="1"/>
  <c r="AB273" i="61"/>
  <c r="BE273" i="61" s="1"/>
  <c r="AD273" i="61"/>
  <c r="BG273" i="61" s="1"/>
  <c r="AF273" i="61"/>
  <c r="BI273" i="61" s="1"/>
  <c r="AG273" i="61"/>
  <c r="BJ273" i="61" s="1"/>
  <c r="AA273" i="61"/>
  <c r="BD273" i="61" s="1"/>
  <c r="AC273" i="61"/>
  <c r="BF273" i="61" s="1"/>
  <c r="S273" i="61"/>
  <c r="AV273" i="61" s="1"/>
  <c r="AC30" i="61"/>
  <c r="BF30" i="61" s="1"/>
  <c r="AD30" i="61"/>
  <c r="BG30" i="61" s="1"/>
  <c r="AG30" i="61"/>
  <c r="BJ30" i="61" s="1"/>
  <c r="AF30" i="61"/>
  <c r="BI30" i="61" s="1"/>
  <c r="AB30" i="61"/>
  <c r="BE30" i="61" s="1"/>
  <c r="T30" i="61"/>
  <c r="AW30" i="61" s="1"/>
  <c r="W30" i="61"/>
  <c r="AZ30" i="61" s="1"/>
  <c r="V30" i="61"/>
  <c r="AY30" i="61" s="1"/>
  <c r="U30" i="61"/>
  <c r="AX30" i="61" s="1"/>
  <c r="AA30" i="61"/>
  <c r="BD30" i="61" s="1"/>
  <c r="X30" i="61"/>
  <c r="BA30" i="61" s="1"/>
  <c r="Y30" i="61"/>
  <c r="BB30" i="61" s="1"/>
  <c r="AE30" i="61"/>
  <c r="BH30" i="61" s="1"/>
  <c r="Z30" i="61"/>
  <c r="BC30" i="61" s="1"/>
  <c r="S30" i="61"/>
  <c r="AV30" i="61" s="1"/>
  <c r="V161" i="61"/>
  <c r="AY161" i="61" s="1"/>
  <c r="T161" i="61"/>
  <c r="AW161" i="61" s="1"/>
  <c r="Y161" i="61"/>
  <c r="BB161" i="61" s="1"/>
  <c r="Z161" i="61"/>
  <c r="BC161" i="61" s="1"/>
  <c r="AB161" i="61"/>
  <c r="BE161" i="61" s="1"/>
  <c r="W161" i="61"/>
  <c r="AZ161" i="61" s="1"/>
  <c r="AF161" i="61"/>
  <c r="BI161" i="61" s="1"/>
  <c r="AA161" i="61"/>
  <c r="BD161" i="61" s="1"/>
  <c r="X161" i="61"/>
  <c r="BA161" i="61" s="1"/>
  <c r="AE161" i="61"/>
  <c r="BH161" i="61" s="1"/>
  <c r="U161" i="61"/>
  <c r="AX161" i="61" s="1"/>
  <c r="AD161" i="61"/>
  <c r="BG161" i="61" s="1"/>
  <c r="AC161" i="61"/>
  <c r="BF161" i="61" s="1"/>
  <c r="AG161" i="61"/>
  <c r="BJ161" i="61" s="1"/>
  <c r="S161" i="61"/>
  <c r="AV161" i="61" s="1"/>
  <c r="X291" i="61"/>
  <c r="BA291" i="61" s="1"/>
  <c r="U291" i="61"/>
  <c r="AX291" i="61" s="1"/>
  <c r="Y291" i="61"/>
  <c r="BB291" i="61" s="1"/>
  <c r="Z291" i="61"/>
  <c r="BC291" i="61" s="1"/>
  <c r="AF291" i="61"/>
  <c r="BI291" i="61" s="1"/>
  <c r="W291" i="61"/>
  <c r="AZ291" i="61" s="1"/>
  <c r="AD291" i="61"/>
  <c r="BG291" i="61" s="1"/>
  <c r="V291" i="61"/>
  <c r="AY291" i="61" s="1"/>
  <c r="AC291" i="61"/>
  <c r="BF291" i="61" s="1"/>
  <c r="AE291" i="61"/>
  <c r="BH291" i="61" s="1"/>
  <c r="T291" i="61"/>
  <c r="AW291" i="61" s="1"/>
  <c r="AA291" i="61"/>
  <c r="BD291" i="61" s="1"/>
  <c r="AB291" i="61"/>
  <c r="BE291" i="61" s="1"/>
  <c r="AG291" i="61"/>
  <c r="BJ291" i="61" s="1"/>
  <c r="S291" i="61"/>
  <c r="AV291" i="61" s="1"/>
  <c r="AD200" i="61"/>
  <c r="BG200" i="61" s="1"/>
  <c r="AA200" i="61"/>
  <c r="BD200" i="61" s="1"/>
  <c r="Y200" i="61"/>
  <c r="BB200" i="61" s="1"/>
  <c r="AF200" i="61"/>
  <c r="BI200" i="61" s="1"/>
  <c r="W200" i="61"/>
  <c r="AZ200" i="61" s="1"/>
  <c r="Z200" i="61"/>
  <c r="BC200" i="61" s="1"/>
  <c r="AC200" i="61"/>
  <c r="BF200" i="61" s="1"/>
  <c r="U200" i="61"/>
  <c r="AX200" i="61" s="1"/>
  <c r="AG200" i="61"/>
  <c r="BJ200" i="61" s="1"/>
  <c r="AE200" i="61"/>
  <c r="BH200" i="61" s="1"/>
  <c r="AB200" i="61"/>
  <c r="BE200" i="61" s="1"/>
  <c r="T200" i="61"/>
  <c r="AW200" i="61" s="1"/>
  <c r="X200" i="61"/>
  <c r="BA200" i="61" s="1"/>
  <c r="V200" i="61"/>
  <c r="AY200" i="61" s="1"/>
  <c r="S200" i="61"/>
  <c r="AV200" i="61" s="1"/>
  <c r="Y64" i="61"/>
  <c r="BB64" i="61" s="1"/>
  <c r="X64" i="61"/>
  <c r="BA64" i="61" s="1"/>
  <c r="AC64" i="61"/>
  <c r="BF64" i="61" s="1"/>
  <c r="Z64" i="61"/>
  <c r="BC64" i="61" s="1"/>
  <c r="W64" i="61"/>
  <c r="AZ64" i="61" s="1"/>
  <c r="AA64" i="61"/>
  <c r="BD64" i="61" s="1"/>
  <c r="V64" i="61"/>
  <c r="AY64" i="61" s="1"/>
  <c r="U64" i="61"/>
  <c r="AX64" i="61" s="1"/>
  <c r="AE64" i="61"/>
  <c r="BH64" i="61" s="1"/>
  <c r="AF64" i="61"/>
  <c r="BI64" i="61" s="1"/>
  <c r="AD64" i="61"/>
  <c r="BG64" i="61" s="1"/>
  <c r="AB64" i="61"/>
  <c r="BE64" i="61" s="1"/>
  <c r="T64" i="61"/>
  <c r="AW64" i="61" s="1"/>
  <c r="AG64" i="61"/>
  <c r="BJ64" i="61" s="1"/>
  <c r="S64" i="61"/>
  <c r="AV64" i="61" s="1"/>
  <c r="W289" i="61"/>
  <c r="AZ289" i="61" s="1"/>
  <c r="X289" i="61"/>
  <c r="BA289" i="61" s="1"/>
  <c r="AF289" i="61"/>
  <c r="BI289" i="61" s="1"/>
  <c r="U289" i="61"/>
  <c r="AX289" i="61" s="1"/>
  <c r="AG289" i="61"/>
  <c r="BJ289" i="61" s="1"/>
  <c r="AC289" i="61"/>
  <c r="BF289" i="61" s="1"/>
  <c r="AE289" i="61"/>
  <c r="BH289" i="61" s="1"/>
  <c r="AA289" i="61"/>
  <c r="BD289" i="61" s="1"/>
  <c r="Z289" i="61"/>
  <c r="BC289" i="61" s="1"/>
  <c r="T289" i="61"/>
  <c r="AW289" i="61" s="1"/>
  <c r="V289" i="61"/>
  <c r="AY289" i="61" s="1"/>
  <c r="AD289" i="61"/>
  <c r="BG289" i="61" s="1"/>
  <c r="Y289" i="61"/>
  <c r="BB289" i="61" s="1"/>
  <c r="AB289" i="61"/>
  <c r="BE289" i="61" s="1"/>
  <c r="S289" i="61"/>
  <c r="AV289" i="61" s="1"/>
  <c r="W247" i="61"/>
  <c r="AZ247" i="61" s="1"/>
  <c r="U247" i="61"/>
  <c r="AX247" i="61" s="1"/>
  <c r="X247" i="61"/>
  <c r="BA247" i="61" s="1"/>
  <c r="V247" i="61"/>
  <c r="AY247" i="61" s="1"/>
  <c r="T247" i="61"/>
  <c r="AW247" i="61" s="1"/>
  <c r="Z247" i="61"/>
  <c r="BC247" i="61" s="1"/>
  <c r="AA247" i="61"/>
  <c r="BD247" i="61" s="1"/>
  <c r="AE247" i="61"/>
  <c r="BH247" i="61" s="1"/>
  <c r="AC247" i="61"/>
  <c r="BF247" i="61" s="1"/>
  <c r="AB247" i="61"/>
  <c r="BE247" i="61" s="1"/>
  <c r="AG247" i="61"/>
  <c r="BJ247" i="61" s="1"/>
  <c r="Y247" i="61"/>
  <c r="BB247" i="61" s="1"/>
  <c r="AF247" i="61"/>
  <c r="BI247" i="61" s="1"/>
  <c r="AD247" i="61"/>
  <c r="BG247" i="61" s="1"/>
  <c r="S247" i="61"/>
  <c r="AV247" i="61" s="1"/>
  <c r="AB34" i="61"/>
  <c r="BE34" i="61" s="1"/>
  <c r="AC34" i="61"/>
  <c r="BF34" i="61" s="1"/>
  <c r="Y34" i="61"/>
  <c r="BB34" i="61" s="1"/>
  <c r="AA34" i="61"/>
  <c r="BD34" i="61" s="1"/>
  <c r="X34" i="61"/>
  <c r="BA34" i="61" s="1"/>
  <c r="AE34" i="61"/>
  <c r="BH34" i="61" s="1"/>
  <c r="Z34" i="61"/>
  <c r="BC34" i="61" s="1"/>
  <c r="AD34" i="61"/>
  <c r="BG34" i="61" s="1"/>
  <c r="AG34" i="61"/>
  <c r="BJ34" i="61" s="1"/>
  <c r="T34" i="61"/>
  <c r="AW34" i="61" s="1"/>
  <c r="U34" i="61"/>
  <c r="AX34" i="61" s="1"/>
  <c r="AF34" i="61"/>
  <c r="BI34" i="61" s="1"/>
  <c r="W34" i="61"/>
  <c r="AZ34" i="61" s="1"/>
  <c r="V34" i="61"/>
  <c r="AY34" i="61" s="1"/>
  <c r="S34" i="61"/>
  <c r="AV34" i="61" s="1"/>
  <c r="X23" i="61"/>
  <c r="BA23" i="61" s="1"/>
  <c r="U23" i="61"/>
  <c r="AX23" i="61" s="1"/>
  <c r="AE23" i="61"/>
  <c r="BH23" i="61" s="1"/>
  <c r="AG23" i="61"/>
  <c r="BJ23" i="61" s="1"/>
  <c r="AC23" i="61"/>
  <c r="BF23" i="61" s="1"/>
  <c r="Z23" i="61"/>
  <c r="BC23" i="61" s="1"/>
  <c r="Y23" i="61"/>
  <c r="BB23" i="61" s="1"/>
  <c r="AB23" i="61"/>
  <c r="BE23" i="61" s="1"/>
  <c r="AD23" i="61"/>
  <c r="BG23" i="61" s="1"/>
  <c r="AA23" i="61"/>
  <c r="BD23" i="61" s="1"/>
  <c r="AF23" i="61"/>
  <c r="BI23" i="61" s="1"/>
  <c r="W23" i="61"/>
  <c r="AZ23" i="61" s="1"/>
  <c r="T23" i="61"/>
  <c r="AW23" i="61" s="1"/>
  <c r="V23" i="61"/>
  <c r="AY23" i="61" s="1"/>
  <c r="S23" i="61"/>
  <c r="AV23" i="61" s="1"/>
  <c r="AG214" i="61"/>
  <c r="BJ214" i="61" s="1"/>
  <c r="AA214" i="61"/>
  <c r="BD214" i="61" s="1"/>
  <c r="T214" i="61"/>
  <c r="AW214" i="61" s="1"/>
  <c r="U214" i="61"/>
  <c r="AX214" i="61" s="1"/>
  <c r="AB214" i="61"/>
  <c r="BE214" i="61" s="1"/>
  <c r="Z214" i="61"/>
  <c r="BC214" i="61" s="1"/>
  <c r="V214" i="61"/>
  <c r="AY214" i="61" s="1"/>
  <c r="AC214" i="61"/>
  <c r="BF214" i="61" s="1"/>
  <c r="Y214" i="61"/>
  <c r="BB214" i="61" s="1"/>
  <c r="AD214" i="61"/>
  <c r="BG214" i="61" s="1"/>
  <c r="AF214" i="61"/>
  <c r="BI214" i="61" s="1"/>
  <c r="AE214" i="61"/>
  <c r="BH214" i="61" s="1"/>
  <c r="W214" i="61"/>
  <c r="AZ214" i="61" s="1"/>
  <c r="X214" i="61"/>
  <c r="BA214" i="61" s="1"/>
  <c r="S214" i="61"/>
  <c r="AV214" i="61" s="1"/>
  <c r="X40" i="61"/>
  <c r="BA40" i="61" s="1"/>
  <c r="AG40" i="61"/>
  <c r="BJ40" i="61" s="1"/>
  <c r="Z40" i="61"/>
  <c r="BC40" i="61" s="1"/>
  <c r="T40" i="61"/>
  <c r="AW40" i="61" s="1"/>
  <c r="U40" i="61"/>
  <c r="AX40" i="61" s="1"/>
  <c r="AF40" i="61"/>
  <c r="BI40" i="61" s="1"/>
  <c r="AB40" i="61"/>
  <c r="BE40" i="61" s="1"/>
  <c r="V40" i="61"/>
  <c r="AY40" i="61" s="1"/>
  <c r="AE40" i="61"/>
  <c r="BH40" i="61" s="1"/>
  <c r="AC40" i="61"/>
  <c r="BF40" i="61" s="1"/>
  <c r="Y40" i="61"/>
  <c r="BB40" i="61" s="1"/>
  <c r="W40" i="61"/>
  <c r="AZ40" i="61" s="1"/>
  <c r="AA40" i="61"/>
  <c r="BD40" i="61" s="1"/>
  <c r="AD40" i="61"/>
  <c r="BG40" i="61" s="1"/>
  <c r="S40" i="61"/>
  <c r="AV40" i="61" s="1"/>
  <c r="Y304" i="61"/>
  <c r="BB304" i="61" s="1"/>
  <c r="AB304" i="61"/>
  <c r="BE304" i="61" s="1"/>
  <c r="AE304" i="61"/>
  <c r="BH304" i="61" s="1"/>
  <c r="AF304" i="61"/>
  <c r="BI304" i="61" s="1"/>
  <c r="V304" i="61"/>
  <c r="AY304" i="61" s="1"/>
  <c r="U304" i="61"/>
  <c r="AX304" i="61" s="1"/>
  <c r="AC304" i="61"/>
  <c r="BF304" i="61" s="1"/>
  <c r="Z304" i="61"/>
  <c r="BC304" i="61" s="1"/>
  <c r="T304" i="61"/>
  <c r="AW304" i="61" s="1"/>
  <c r="X304" i="61"/>
  <c r="BA304" i="61" s="1"/>
  <c r="AA304" i="61"/>
  <c r="BD304" i="61" s="1"/>
  <c r="AG304" i="61"/>
  <c r="BJ304" i="61" s="1"/>
  <c r="AD304" i="61"/>
  <c r="BG304" i="61" s="1"/>
  <c r="W304" i="61"/>
  <c r="AZ304" i="61" s="1"/>
  <c r="S304" i="61"/>
  <c r="AV304" i="61" s="1"/>
  <c r="Z248" i="61"/>
  <c r="BC248" i="61" s="1"/>
  <c r="AG248" i="61"/>
  <c r="BJ248" i="61" s="1"/>
  <c r="T248" i="61"/>
  <c r="AW248" i="61" s="1"/>
  <c r="X248" i="61"/>
  <c r="BA248" i="61" s="1"/>
  <c r="AD248" i="61"/>
  <c r="BG248" i="61" s="1"/>
  <c r="AF248" i="61"/>
  <c r="BI248" i="61" s="1"/>
  <c r="AE248" i="61"/>
  <c r="BH248" i="61" s="1"/>
  <c r="U248" i="61"/>
  <c r="AX248" i="61" s="1"/>
  <c r="AA248" i="61"/>
  <c r="BD248" i="61" s="1"/>
  <c r="Y248" i="61"/>
  <c r="BB248" i="61" s="1"/>
  <c r="AB248" i="61"/>
  <c r="BE248" i="61" s="1"/>
  <c r="V248" i="61"/>
  <c r="AY248" i="61" s="1"/>
  <c r="W248" i="61"/>
  <c r="AZ248" i="61" s="1"/>
  <c r="AC248" i="61"/>
  <c r="BF248" i="61" s="1"/>
  <c r="S248" i="61"/>
  <c r="AV248" i="61" s="1"/>
  <c r="AF274" i="61"/>
  <c r="BI274" i="61" s="1"/>
  <c r="AA274" i="61"/>
  <c r="BD274" i="61" s="1"/>
  <c r="X274" i="61"/>
  <c r="BA274" i="61" s="1"/>
  <c r="AE274" i="61"/>
  <c r="BH274" i="61" s="1"/>
  <c r="Z274" i="61"/>
  <c r="BC274" i="61" s="1"/>
  <c r="T274" i="61"/>
  <c r="AW274" i="61" s="1"/>
  <c r="AC274" i="61"/>
  <c r="BF274" i="61" s="1"/>
  <c r="U274" i="61"/>
  <c r="AX274" i="61" s="1"/>
  <c r="AG274" i="61"/>
  <c r="BJ274" i="61" s="1"/>
  <c r="W274" i="61"/>
  <c r="AZ274" i="61" s="1"/>
  <c r="V274" i="61"/>
  <c r="AY274" i="61" s="1"/>
  <c r="Y274" i="61"/>
  <c r="BB274" i="61" s="1"/>
  <c r="AD274" i="61"/>
  <c r="BG274" i="61" s="1"/>
  <c r="AB274" i="61"/>
  <c r="BE274" i="61" s="1"/>
  <c r="S274" i="61"/>
  <c r="AV274" i="61" s="1"/>
  <c r="AA233" i="61"/>
  <c r="BD233" i="61" s="1"/>
  <c r="Y233" i="61"/>
  <c r="BB233" i="61" s="1"/>
  <c r="X233" i="61"/>
  <c r="BA233" i="61" s="1"/>
  <c r="AC233" i="61"/>
  <c r="BF233" i="61" s="1"/>
  <c r="Z233" i="61"/>
  <c r="BC233" i="61" s="1"/>
  <c r="AE233" i="61"/>
  <c r="BH233" i="61" s="1"/>
  <c r="W233" i="61"/>
  <c r="AZ233" i="61" s="1"/>
  <c r="AD233" i="61"/>
  <c r="BG233" i="61" s="1"/>
  <c r="V233" i="61"/>
  <c r="AY233" i="61" s="1"/>
  <c r="AB233" i="61"/>
  <c r="BE233" i="61" s="1"/>
  <c r="T233" i="61"/>
  <c r="AW233" i="61" s="1"/>
  <c r="AF233" i="61"/>
  <c r="BI233" i="61" s="1"/>
  <c r="AG233" i="61"/>
  <c r="BJ233" i="61" s="1"/>
  <c r="U233" i="61"/>
  <c r="AX233" i="61" s="1"/>
  <c r="S233" i="61"/>
  <c r="AV233" i="61" s="1"/>
  <c r="AB53" i="61"/>
  <c r="BE53" i="61" s="1"/>
  <c r="Y53" i="61"/>
  <c r="BB53" i="61" s="1"/>
  <c r="AE53" i="61"/>
  <c r="BH53" i="61" s="1"/>
  <c r="AC53" i="61"/>
  <c r="BF53" i="61" s="1"/>
  <c r="AA53" i="61"/>
  <c r="BD53" i="61" s="1"/>
  <c r="T53" i="61"/>
  <c r="AW53" i="61" s="1"/>
  <c r="U53" i="61"/>
  <c r="AX53" i="61" s="1"/>
  <c r="AG53" i="61"/>
  <c r="BJ53" i="61" s="1"/>
  <c r="Z53" i="61"/>
  <c r="BC53" i="61" s="1"/>
  <c r="W53" i="61"/>
  <c r="AZ53" i="61" s="1"/>
  <c r="V53" i="61"/>
  <c r="AY53" i="61" s="1"/>
  <c r="AD53" i="61"/>
  <c r="BG53" i="61" s="1"/>
  <c r="X53" i="61"/>
  <c r="BA53" i="61" s="1"/>
  <c r="AF53" i="61"/>
  <c r="BI53" i="61" s="1"/>
  <c r="S53" i="61"/>
  <c r="AV53" i="61" s="1"/>
  <c r="T139" i="61"/>
  <c r="AW139" i="61" s="1"/>
  <c r="X139" i="61"/>
  <c r="BA139" i="61" s="1"/>
  <c r="U139" i="61"/>
  <c r="AX139" i="61" s="1"/>
  <c r="W139" i="61"/>
  <c r="AZ139" i="61" s="1"/>
  <c r="V139" i="61"/>
  <c r="AY139" i="61" s="1"/>
  <c r="AC139" i="61"/>
  <c r="BF139" i="61" s="1"/>
  <c r="AF139" i="61"/>
  <c r="BI139" i="61" s="1"/>
  <c r="AG139" i="61"/>
  <c r="BJ139" i="61" s="1"/>
  <c r="AB139" i="61"/>
  <c r="BE139" i="61" s="1"/>
  <c r="Z139" i="61"/>
  <c r="BC139" i="61" s="1"/>
  <c r="AE139" i="61"/>
  <c r="BH139" i="61" s="1"/>
  <c r="AA139" i="61"/>
  <c r="BD139" i="61" s="1"/>
  <c r="Y139" i="61"/>
  <c r="BB139" i="61" s="1"/>
  <c r="AD139" i="61"/>
  <c r="BG139" i="61" s="1"/>
  <c r="S139" i="61"/>
  <c r="AV139" i="61" s="1"/>
  <c r="AG143" i="61"/>
  <c r="BJ143" i="61" s="1"/>
  <c r="AE143" i="61"/>
  <c r="BH143" i="61" s="1"/>
  <c r="T143" i="61"/>
  <c r="AW143" i="61" s="1"/>
  <c r="W143" i="61"/>
  <c r="AZ143" i="61" s="1"/>
  <c r="AB143" i="61"/>
  <c r="BE143" i="61" s="1"/>
  <c r="U143" i="61"/>
  <c r="AX143" i="61" s="1"/>
  <c r="AF143" i="61"/>
  <c r="BI143" i="61" s="1"/>
  <c r="AD143" i="61"/>
  <c r="BG143" i="61" s="1"/>
  <c r="X143" i="61"/>
  <c r="BA143" i="61" s="1"/>
  <c r="AC143" i="61"/>
  <c r="BF143" i="61" s="1"/>
  <c r="V143" i="61"/>
  <c r="AY143" i="61" s="1"/>
  <c r="AA143" i="61"/>
  <c r="BD143" i="61" s="1"/>
  <c r="Y143" i="61"/>
  <c r="BB143" i="61" s="1"/>
  <c r="Z143" i="61"/>
  <c r="BC143" i="61" s="1"/>
  <c r="S143" i="61"/>
  <c r="AV143" i="61" s="1"/>
  <c r="AB128" i="61"/>
  <c r="BE128" i="61" s="1"/>
  <c r="W128" i="61"/>
  <c r="AZ128" i="61" s="1"/>
  <c r="Y128" i="61"/>
  <c r="BB128" i="61" s="1"/>
  <c r="AF128" i="61"/>
  <c r="BI128" i="61" s="1"/>
  <c r="AG128" i="61"/>
  <c r="BJ128" i="61" s="1"/>
  <c r="AC128" i="61"/>
  <c r="BF128" i="61" s="1"/>
  <c r="AD128" i="61"/>
  <c r="BG128" i="61" s="1"/>
  <c r="AE128" i="61"/>
  <c r="BH128" i="61" s="1"/>
  <c r="X128" i="61"/>
  <c r="BA128" i="61" s="1"/>
  <c r="Z128" i="61"/>
  <c r="BC128" i="61" s="1"/>
  <c r="T128" i="61"/>
  <c r="AW128" i="61" s="1"/>
  <c r="U128" i="61"/>
  <c r="AX128" i="61" s="1"/>
  <c r="V128" i="61"/>
  <c r="AY128" i="61" s="1"/>
  <c r="AA128" i="61"/>
  <c r="BD128" i="61" s="1"/>
  <c r="S128" i="61"/>
  <c r="AV128" i="61" s="1"/>
  <c r="AC259" i="61"/>
  <c r="BF259" i="61" s="1"/>
  <c r="Y259" i="61"/>
  <c r="BB259" i="61" s="1"/>
  <c r="X259" i="61"/>
  <c r="BA259" i="61" s="1"/>
  <c r="Z259" i="61"/>
  <c r="BC259" i="61" s="1"/>
  <c r="AF259" i="61"/>
  <c r="BI259" i="61" s="1"/>
  <c r="AB259" i="61"/>
  <c r="BE259" i="61" s="1"/>
  <c r="AD259" i="61"/>
  <c r="BG259" i="61" s="1"/>
  <c r="AA259" i="61"/>
  <c r="BD259" i="61" s="1"/>
  <c r="V259" i="61"/>
  <c r="AY259" i="61" s="1"/>
  <c r="T259" i="61"/>
  <c r="AW259" i="61" s="1"/>
  <c r="AG259" i="61"/>
  <c r="BJ259" i="61" s="1"/>
  <c r="U259" i="61"/>
  <c r="AX259" i="61" s="1"/>
  <c r="W259" i="61"/>
  <c r="AZ259" i="61" s="1"/>
  <c r="AE259" i="61"/>
  <c r="BH259" i="61" s="1"/>
  <c r="S259" i="61"/>
  <c r="AV259" i="61" s="1"/>
  <c r="AD106" i="61"/>
  <c r="BG106" i="61" s="1"/>
  <c r="W106" i="61"/>
  <c r="AZ106" i="61" s="1"/>
  <c r="Y106" i="61"/>
  <c r="BB106" i="61" s="1"/>
  <c r="AC106" i="61"/>
  <c r="BF106" i="61" s="1"/>
  <c r="V106" i="61"/>
  <c r="AY106" i="61" s="1"/>
  <c r="U106" i="61"/>
  <c r="AX106" i="61" s="1"/>
  <c r="Z106" i="61"/>
  <c r="BC106" i="61" s="1"/>
  <c r="X106" i="61"/>
  <c r="BA106" i="61" s="1"/>
  <c r="AA106" i="61"/>
  <c r="BD106" i="61" s="1"/>
  <c r="T106" i="61"/>
  <c r="AW106" i="61" s="1"/>
  <c r="AE106" i="61"/>
  <c r="BH106" i="61" s="1"/>
  <c r="AG106" i="61"/>
  <c r="BJ106" i="61" s="1"/>
  <c r="AF106" i="61"/>
  <c r="BI106" i="61" s="1"/>
  <c r="AB106" i="61"/>
  <c r="BE106" i="61" s="1"/>
  <c r="S106" i="61"/>
  <c r="AV106" i="61" s="1"/>
  <c r="AB270" i="61"/>
  <c r="BE270" i="61" s="1"/>
  <c r="AE270" i="61"/>
  <c r="BH270" i="61" s="1"/>
  <c r="AF270" i="61"/>
  <c r="BI270" i="61" s="1"/>
  <c r="X270" i="61"/>
  <c r="BA270" i="61" s="1"/>
  <c r="AG270" i="61"/>
  <c r="BJ270" i="61" s="1"/>
  <c r="W270" i="61"/>
  <c r="AZ270" i="61" s="1"/>
  <c r="AD270" i="61"/>
  <c r="BG270" i="61" s="1"/>
  <c r="Y270" i="61"/>
  <c r="BB270" i="61" s="1"/>
  <c r="T270" i="61"/>
  <c r="AW270" i="61" s="1"/>
  <c r="AA270" i="61"/>
  <c r="BD270" i="61" s="1"/>
  <c r="Z270" i="61"/>
  <c r="BC270" i="61" s="1"/>
  <c r="AC270" i="61"/>
  <c r="BF270" i="61" s="1"/>
  <c r="U270" i="61"/>
  <c r="AX270" i="61" s="1"/>
  <c r="V270" i="61"/>
  <c r="AY270" i="61" s="1"/>
  <c r="S270" i="61"/>
  <c r="AV270" i="61" s="1"/>
  <c r="AD74" i="61"/>
  <c r="BG74" i="61" s="1"/>
  <c r="AF74" i="61"/>
  <c r="BI74" i="61" s="1"/>
  <c r="X74" i="61"/>
  <c r="BA74" i="61" s="1"/>
  <c r="AE74" i="61"/>
  <c r="BH74" i="61" s="1"/>
  <c r="W74" i="61"/>
  <c r="AZ74" i="61" s="1"/>
  <c r="U74" i="61"/>
  <c r="AX74" i="61" s="1"/>
  <c r="AA74" i="61"/>
  <c r="BD74" i="61" s="1"/>
  <c r="T74" i="61"/>
  <c r="AW74" i="61" s="1"/>
  <c r="AG74" i="61"/>
  <c r="BJ74" i="61" s="1"/>
  <c r="AC74" i="61"/>
  <c r="BF74" i="61" s="1"/>
  <c r="Y74" i="61"/>
  <c r="BB74" i="61" s="1"/>
  <c r="Z74" i="61"/>
  <c r="BC74" i="61" s="1"/>
  <c r="V74" i="61"/>
  <c r="AY74" i="61" s="1"/>
  <c r="AB74" i="61"/>
  <c r="BE74" i="61" s="1"/>
  <c r="S74" i="61"/>
  <c r="AV74" i="61" s="1"/>
  <c r="AE272" i="61"/>
  <c r="BH272" i="61" s="1"/>
  <c r="AG272" i="61"/>
  <c r="BJ272" i="61" s="1"/>
  <c r="AF272" i="61"/>
  <c r="BI272" i="61" s="1"/>
  <c r="Z272" i="61"/>
  <c r="BC272" i="61" s="1"/>
  <c r="AB272" i="61"/>
  <c r="BE272" i="61" s="1"/>
  <c r="AD272" i="61"/>
  <c r="BG272" i="61" s="1"/>
  <c r="AC272" i="61"/>
  <c r="BF272" i="61" s="1"/>
  <c r="W272" i="61"/>
  <c r="AZ272" i="61" s="1"/>
  <c r="AA272" i="61"/>
  <c r="BD272" i="61" s="1"/>
  <c r="V272" i="61"/>
  <c r="AY272" i="61" s="1"/>
  <c r="Y272" i="61"/>
  <c r="BB272" i="61" s="1"/>
  <c r="U272" i="61"/>
  <c r="AX272" i="61" s="1"/>
  <c r="X272" i="61"/>
  <c r="BA272" i="61" s="1"/>
  <c r="T272" i="61"/>
  <c r="AW272" i="61" s="1"/>
  <c r="S272" i="61"/>
  <c r="AV272" i="61" s="1"/>
  <c r="U236" i="61"/>
  <c r="AX236" i="61" s="1"/>
  <c r="Y236" i="61"/>
  <c r="BB236" i="61" s="1"/>
  <c r="AE236" i="61"/>
  <c r="BH236" i="61" s="1"/>
  <c r="V236" i="61"/>
  <c r="AY236" i="61" s="1"/>
  <c r="AA236" i="61"/>
  <c r="BD236" i="61" s="1"/>
  <c r="AG236" i="61"/>
  <c r="BJ236" i="61" s="1"/>
  <c r="Z236" i="61"/>
  <c r="BC236" i="61" s="1"/>
  <c r="T236" i="61"/>
  <c r="AW236" i="61" s="1"/>
  <c r="X236" i="61"/>
  <c r="BA236" i="61" s="1"/>
  <c r="AD236" i="61"/>
  <c r="BG236" i="61" s="1"/>
  <c r="AF236" i="61"/>
  <c r="BI236" i="61" s="1"/>
  <c r="W236" i="61"/>
  <c r="AZ236" i="61" s="1"/>
  <c r="AB236" i="61"/>
  <c r="BE236" i="61" s="1"/>
  <c r="AC236" i="61"/>
  <c r="BF236" i="61" s="1"/>
  <c r="S236" i="61"/>
  <c r="AV236" i="61" s="1"/>
  <c r="T80" i="61"/>
  <c r="AW80" i="61" s="1"/>
  <c r="V80" i="61"/>
  <c r="AY80" i="61" s="1"/>
  <c r="W80" i="61"/>
  <c r="AZ80" i="61" s="1"/>
  <c r="AG80" i="61"/>
  <c r="BJ80" i="61" s="1"/>
  <c r="U80" i="61"/>
  <c r="AX80" i="61" s="1"/>
  <c r="Y80" i="61"/>
  <c r="BB80" i="61" s="1"/>
  <c r="Z80" i="61"/>
  <c r="BC80" i="61" s="1"/>
  <c r="AB80" i="61"/>
  <c r="BE80" i="61" s="1"/>
  <c r="AA80" i="61"/>
  <c r="BD80" i="61" s="1"/>
  <c r="AC80" i="61"/>
  <c r="BF80" i="61" s="1"/>
  <c r="AE80" i="61"/>
  <c r="BH80" i="61" s="1"/>
  <c r="AF80" i="61"/>
  <c r="BI80" i="61" s="1"/>
  <c r="AD80" i="61"/>
  <c r="BG80" i="61" s="1"/>
  <c r="X80" i="61"/>
  <c r="BA80" i="61" s="1"/>
  <c r="S80" i="61"/>
  <c r="AV80" i="61" s="1"/>
  <c r="AE180" i="61"/>
  <c r="BH180" i="61" s="1"/>
  <c r="AD180" i="61"/>
  <c r="BG180" i="61" s="1"/>
  <c r="Z180" i="61"/>
  <c r="BC180" i="61" s="1"/>
  <c r="U180" i="61"/>
  <c r="AX180" i="61" s="1"/>
  <c r="V180" i="61"/>
  <c r="AY180" i="61" s="1"/>
  <c r="AF180" i="61"/>
  <c r="BI180" i="61" s="1"/>
  <c r="AG180" i="61"/>
  <c r="BJ180" i="61" s="1"/>
  <c r="W180" i="61"/>
  <c r="AZ180" i="61" s="1"/>
  <c r="AA180" i="61"/>
  <c r="BD180" i="61" s="1"/>
  <c r="X180" i="61"/>
  <c r="BA180" i="61" s="1"/>
  <c r="T180" i="61"/>
  <c r="AW180" i="61" s="1"/>
  <c r="AB180" i="61"/>
  <c r="BE180" i="61" s="1"/>
  <c r="AC180" i="61"/>
  <c r="BF180" i="61" s="1"/>
  <c r="Y180" i="61"/>
  <c r="BB180" i="61" s="1"/>
  <c r="S180" i="61"/>
  <c r="AV180" i="61" s="1"/>
  <c r="AA293" i="61"/>
  <c r="BD293" i="61" s="1"/>
  <c r="X293" i="61"/>
  <c r="BA293" i="61" s="1"/>
  <c r="AB293" i="61"/>
  <c r="BE293" i="61" s="1"/>
  <c r="AC293" i="61"/>
  <c r="BF293" i="61" s="1"/>
  <c r="AD293" i="61"/>
  <c r="BG293" i="61" s="1"/>
  <c r="U293" i="61"/>
  <c r="AX293" i="61" s="1"/>
  <c r="Z293" i="61"/>
  <c r="BC293" i="61" s="1"/>
  <c r="AE293" i="61"/>
  <c r="BH293" i="61" s="1"/>
  <c r="W293" i="61"/>
  <c r="AZ293" i="61" s="1"/>
  <c r="AF293" i="61"/>
  <c r="BI293" i="61" s="1"/>
  <c r="Y293" i="61"/>
  <c r="BB293" i="61" s="1"/>
  <c r="AG293" i="61"/>
  <c r="BJ293" i="61" s="1"/>
  <c r="V293" i="61"/>
  <c r="AY293" i="61" s="1"/>
  <c r="T293" i="61"/>
  <c r="AW293" i="61" s="1"/>
  <c r="S293" i="61"/>
  <c r="AV293" i="61" s="1"/>
  <c r="Z315" i="61"/>
  <c r="BC315" i="61" s="1"/>
  <c r="AD315" i="61"/>
  <c r="BG315" i="61" s="1"/>
  <c r="V315" i="61"/>
  <c r="AY315" i="61" s="1"/>
  <c r="U315" i="61"/>
  <c r="AX315" i="61" s="1"/>
  <c r="AG315" i="61"/>
  <c r="BJ315" i="61" s="1"/>
  <c r="X315" i="61"/>
  <c r="BA315" i="61" s="1"/>
  <c r="AB315" i="61"/>
  <c r="BE315" i="61" s="1"/>
  <c r="AC315" i="61"/>
  <c r="BF315" i="61" s="1"/>
  <c r="Y315" i="61"/>
  <c r="BB315" i="61" s="1"/>
  <c r="T315" i="61"/>
  <c r="AW315" i="61" s="1"/>
  <c r="AA315" i="61"/>
  <c r="BD315" i="61" s="1"/>
  <c r="W315" i="61"/>
  <c r="AZ315" i="61" s="1"/>
  <c r="AF315" i="61"/>
  <c r="BI315" i="61" s="1"/>
  <c r="AE315" i="61"/>
  <c r="BH315" i="61" s="1"/>
  <c r="S315" i="61"/>
  <c r="AV315" i="61" s="1"/>
  <c r="Z219" i="61"/>
  <c r="BC219" i="61" s="1"/>
  <c r="T219" i="61"/>
  <c r="AW219" i="61" s="1"/>
  <c r="U219" i="61"/>
  <c r="AX219" i="61" s="1"/>
  <c r="AE219" i="61"/>
  <c r="BH219" i="61" s="1"/>
  <c r="V219" i="61"/>
  <c r="AY219" i="61" s="1"/>
  <c r="X219" i="61"/>
  <c r="BA219" i="61" s="1"/>
  <c r="W219" i="61"/>
  <c r="AZ219" i="61" s="1"/>
  <c r="Y219" i="61"/>
  <c r="BB219" i="61" s="1"/>
  <c r="AC219" i="61"/>
  <c r="BF219" i="61" s="1"/>
  <c r="AD219" i="61"/>
  <c r="BG219" i="61" s="1"/>
  <c r="AF219" i="61"/>
  <c r="BI219" i="61" s="1"/>
  <c r="AG219" i="61"/>
  <c r="BJ219" i="61" s="1"/>
  <c r="AB219" i="61"/>
  <c r="BE219" i="61" s="1"/>
  <c r="AA219" i="61"/>
  <c r="BD219" i="61" s="1"/>
  <c r="S219" i="61"/>
  <c r="AV219" i="61" s="1"/>
  <c r="AG138" i="61"/>
  <c r="BJ138" i="61" s="1"/>
  <c r="T138" i="61"/>
  <c r="AW138" i="61" s="1"/>
  <c r="AD138" i="61"/>
  <c r="BG138" i="61" s="1"/>
  <c r="AC138" i="61"/>
  <c r="BF138" i="61" s="1"/>
  <c r="AF138" i="61"/>
  <c r="BI138" i="61" s="1"/>
  <c r="W138" i="61"/>
  <c r="AZ138" i="61" s="1"/>
  <c r="AE138" i="61"/>
  <c r="BH138" i="61" s="1"/>
  <c r="Z138" i="61"/>
  <c r="BC138" i="61" s="1"/>
  <c r="AA138" i="61"/>
  <c r="BD138" i="61" s="1"/>
  <c r="Y138" i="61"/>
  <c r="BB138" i="61" s="1"/>
  <c r="X138" i="61"/>
  <c r="BA138" i="61" s="1"/>
  <c r="AB138" i="61"/>
  <c r="BE138" i="61" s="1"/>
  <c r="V138" i="61"/>
  <c r="AY138" i="61" s="1"/>
  <c r="U138" i="61"/>
  <c r="AX138" i="61" s="1"/>
  <c r="S138" i="61"/>
  <c r="AV138" i="61" s="1"/>
  <c r="AF175" i="61"/>
  <c r="BI175" i="61" s="1"/>
  <c r="AE175" i="61"/>
  <c r="BH175" i="61" s="1"/>
  <c r="AC175" i="61"/>
  <c r="BF175" i="61" s="1"/>
  <c r="X175" i="61"/>
  <c r="BA175" i="61" s="1"/>
  <c r="AG175" i="61"/>
  <c r="BJ175" i="61" s="1"/>
  <c r="AD175" i="61"/>
  <c r="BG175" i="61" s="1"/>
  <c r="V175" i="61"/>
  <c r="AY175" i="61" s="1"/>
  <c r="U175" i="61"/>
  <c r="AX175" i="61" s="1"/>
  <c r="AA175" i="61"/>
  <c r="BD175" i="61" s="1"/>
  <c r="AB175" i="61"/>
  <c r="BE175" i="61" s="1"/>
  <c r="Y175" i="61"/>
  <c r="BB175" i="61" s="1"/>
  <c r="Z175" i="61"/>
  <c r="BC175" i="61" s="1"/>
  <c r="W175" i="61"/>
  <c r="AZ175" i="61" s="1"/>
  <c r="T175" i="61"/>
  <c r="AW175" i="61" s="1"/>
  <c r="S175" i="61"/>
  <c r="AV175" i="61" s="1"/>
  <c r="AE136" i="61"/>
  <c r="BH136" i="61" s="1"/>
  <c r="V136" i="61"/>
  <c r="AY136" i="61" s="1"/>
  <c r="U136" i="61"/>
  <c r="AX136" i="61" s="1"/>
  <c r="AF136" i="61"/>
  <c r="BI136" i="61" s="1"/>
  <c r="X136" i="61"/>
  <c r="BA136" i="61" s="1"/>
  <c r="W136" i="61"/>
  <c r="AZ136" i="61" s="1"/>
  <c r="Y136" i="61"/>
  <c r="BB136" i="61" s="1"/>
  <c r="AD136" i="61"/>
  <c r="BG136" i="61" s="1"/>
  <c r="Z136" i="61"/>
  <c r="BC136" i="61" s="1"/>
  <c r="AC136" i="61"/>
  <c r="BF136" i="61" s="1"/>
  <c r="AG136" i="61"/>
  <c r="BJ136" i="61" s="1"/>
  <c r="AA136" i="61"/>
  <c r="BD136" i="61" s="1"/>
  <c r="AB136" i="61"/>
  <c r="BE136" i="61" s="1"/>
  <c r="T136" i="61"/>
  <c r="AW136" i="61" s="1"/>
  <c r="S136" i="61"/>
  <c r="AV136" i="61" s="1"/>
  <c r="AA215" i="61"/>
  <c r="BD215" i="61" s="1"/>
  <c r="W215" i="61"/>
  <c r="AZ215" i="61" s="1"/>
  <c r="V215" i="61"/>
  <c r="AY215" i="61" s="1"/>
  <c r="U215" i="61"/>
  <c r="AX215" i="61" s="1"/>
  <c r="AG215" i="61"/>
  <c r="BJ215" i="61" s="1"/>
  <c r="AC215" i="61"/>
  <c r="BF215" i="61" s="1"/>
  <c r="AE215" i="61"/>
  <c r="BH215" i="61" s="1"/>
  <c r="X215" i="61"/>
  <c r="BA215" i="61" s="1"/>
  <c r="Z215" i="61"/>
  <c r="BC215" i="61" s="1"/>
  <c r="T215" i="61"/>
  <c r="AW215" i="61" s="1"/>
  <c r="Y215" i="61"/>
  <c r="BB215" i="61" s="1"/>
  <c r="AB215" i="61"/>
  <c r="BE215" i="61" s="1"/>
  <c r="AF215" i="61"/>
  <c r="BI215" i="61" s="1"/>
  <c r="AD215" i="61"/>
  <c r="BG215" i="61" s="1"/>
  <c r="S215" i="61"/>
  <c r="AV215" i="61" s="1"/>
  <c r="Y9" i="61"/>
  <c r="BB9" i="61" s="1"/>
  <c r="Z9" i="61"/>
  <c r="BC9" i="61" s="1"/>
  <c r="AA9" i="61"/>
  <c r="BD9" i="61" s="1"/>
  <c r="AD9" i="61"/>
  <c r="BG9" i="61" s="1"/>
  <c r="AE9" i="61"/>
  <c r="BH9" i="61" s="1"/>
  <c r="AB9" i="61"/>
  <c r="BE9" i="61" s="1"/>
  <c r="X9" i="61"/>
  <c r="BA9" i="61" s="1"/>
  <c r="AG9" i="61"/>
  <c r="BJ9" i="61" s="1"/>
  <c r="U9" i="61"/>
  <c r="AX9" i="61" s="1"/>
  <c r="AC9" i="61"/>
  <c r="BF9" i="61" s="1"/>
  <c r="T9" i="61"/>
  <c r="AW9" i="61" s="1"/>
  <c r="V9" i="61"/>
  <c r="AY9" i="61" s="1"/>
  <c r="W9" i="61"/>
  <c r="AZ9" i="61" s="1"/>
  <c r="AF9" i="61"/>
  <c r="BI9" i="61" s="1"/>
  <c r="S9" i="61"/>
  <c r="AV9" i="61" s="1"/>
  <c r="Y316" i="61"/>
  <c r="BB316" i="61" s="1"/>
  <c r="W316" i="61"/>
  <c r="AZ316" i="61" s="1"/>
  <c r="AF316" i="61"/>
  <c r="BI316" i="61" s="1"/>
  <c r="T316" i="61"/>
  <c r="AW316" i="61" s="1"/>
  <c r="AE316" i="61"/>
  <c r="BH316" i="61" s="1"/>
  <c r="AB316" i="61"/>
  <c r="BE316" i="61" s="1"/>
  <c r="V316" i="61"/>
  <c r="AY316" i="61" s="1"/>
  <c r="AA316" i="61"/>
  <c r="BD316" i="61" s="1"/>
  <c r="X316" i="61"/>
  <c r="BA316" i="61" s="1"/>
  <c r="U316" i="61"/>
  <c r="AX316" i="61" s="1"/>
  <c r="Z316" i="61"/>
  <c r="BC316" i="61" s="1"/>
  <c r="AG316" i="61"/>
  <c r="BJ316" i="61" s="1"/>
  <c r="AC316" i="61"/>
  <c r="BF316" i="61" s="1"/>
  <c r="AD316" i="61"/>
  <c r="BG316" i="61" s="1"/>
  <c r="S316" i="61"/>
  <c r="AV316" i="61" s="1"/>
  <c r="X308" i="61"/>
  <c r="AH308" i="61"/>
  <c r="AA308" i="61"/>
  <c r="W308" i="61"/>
  <c r="AJ308" i="61"/>
  <c r="V308" i="61"/>
  <c r="AI308" i="61"/>
  <c r="U308" i="61"/>
  <c r="T308" i="61"/>
  <c r="AF308" i="61"/>
  <c r="AB308" i="61"/>
  <c r="AG308" i="61"/>
  <c r="AE308" i="61"/>
  <c r="AD308" i="61"/>
  <c r="AC308" i="61"/>
  <c r="Y308" i="61"/>
  <c r="Z308" i="61"/>
  <c r="BV203" i="61" l="1" a="1"/>
  <c r="BV203" i="61" s="1"/>
  <c r="BV152" i="61" a="1"/>
  <c r="BV152" i="61" s="1"/>
  <c r="BV264" i="61" a="1"/>
  <c r="BV264" i="61" s="1"/>
  <c r="BV285" i="61" a="1"/>
  <c r="BV285" i="61" s="1"/>
  <c r="BV149" i="61" a="1"/>
  <c r="BV149" i="61" s="1"/>
  <c r="BV150" i="61" a="1"/>
  <c r="BV150" i="61" s="1"/>
  <c r="BV255" i="61" a="1"/>
  <c r="BV255" i="61" s="1"/>
  <c r="BV333" i="61" a="1"/>
  <c r="BV333" i="61" s="1"/>
  <c r="BV336" i="61" a="1"/>
  <c r="BV336" i="61" s="1"/>
  <c r="BV287" i="61" a="1"/>
  <c r="BV287" i="61" s="1"/>
  <c r="BV64" i="61" a="1"/>
  <c r="BV64" i="61" s="1"/>
  <c r="BV188" i="61" a="1"/>
  <c r="BV188" i="61" s="1"/>
  <c r="BV167" i="61" a="1"/>
  <c r="BV167" i="61" s="1"/>
  <c r="BV136" i="61" a="1"/>
  <c r="BV136" i="61" s="1"/>
  <c r="BV281" i="61" a="1"/>
  <c r="BV281" i="61" s="1"/>
  <c r="BV132" i="61" a="1"/>
  <c r="BV132" i="61" s="1"/>
  <c r="BV85" i="61" a="1"/>
  <c r="BV85" i="61" s="1"/>
  <c r="BV323" i="61" a="1"/>
  <c r="BV323" i="61" s="1"/>
  <c r="BV322" i="61" a="1"/>
  <c r="BV322" i="61" s="1"/>
  <c r="BV78" i="61" a="1"/>
  <c r="BV78" i="61" s="1"/>
  <c r="BV275" i="61" a="1"/>
  <c r="BV275" i="61" s="1"/>
  <c r="BV199" i="61" a="1"/>
  <c r="BV199" i="61" s="1"/>
  <c r="BV25" i="61" a="1"/>
  <c r="BV25" i="61" s="1"/>
  <c r="BV87" i="61" a="1"/>
  <c r="BV87" i="61" s="1"/>
  <c r="BV65" i="61" a="1"/>
  <c r="BV65" i="61" s="1"/>
  <c r="BV20" i="61" a="1"/>
  <c r="BV20" i="61" s="1"/>
  <c r="BV137" i="61" a="1"/>
  <c r="BV137" i="61" s="1"/>
  <c r="BV148" i="61" a="1"/>
  <c r="BV148" i="61" s="1"/>
  <c r="BV39" i="61" a="1"/>
  <c r="BV39" i="61" s="1"/>
  <c r="BV238" i="61" a="1"/>
  <c r="BV238" i="61" s="1"/>
  <c r="BV185" i="61" a="1"/>
  <c r="BV185" i="61" s="1"/>
  <c r="BV278" i="61" a="1"/>
  <c r="BV278" i="61" s="1"/>
  <c r="BV21" i="61" a="1"/>
  <c r="BV21" i="61" s="1"/>
  <c r="BV84" i="61" a="1"/>
  <c r="BV84" i="61" s="1"/>
  <c r="BV153" i="61" a="1"/>
  <c r="BV153" i="61" s="1"/>
  <c r="BV280" i="61" a="1"/>
  <c r="BV280" i="61" s="1"/>
  <c r="BV213" i="61" a="1"/>
  <c r="BV213" i="61" s="1"/>
  <c r="BV83" i="61" a="1"/>
  <c r="BV83" i="61" s="1"/>
  <c r="BV277" i="61" a="1"/>
  <c r="BV277" i="61" s="1"/>
  <c r="BV29" i="61" a="1"/>
  <c r="BV29" i="61" s="1"/>
  <c r="BV120" i="61" a="1"/>
  <c r="BV120" i="61" s="1"/>
  <c r="BV93" i="61" a="1"/>
  <c r="BV93" i="61" s="1"/>
  <c r="BV31" i="61" a="1"/>
  <c r="BV31" i="61" s="1"/>
  <c r="BV159" i="61" a="1"/>
  <c r="BV159" i="61" s="1"/>
  <c r="BV91" i="61" a="1"/>
  <c r="BV91" i="61" s="1"/>
  <c r="BV70" i="61" a="1"/>
  <c r="BV70" i="61" s="1"/>
  <c r="BV194" i="61" a="1"/>
  <c r="BV194" i="61" s="1"/>
  <c r="BV89" i="61" a="1"/>
  <c r="BV89" i="61" s="1"/>
  <c r="BV196" i="61" a="1"/>
  <c r="BV196" i="61" s="1"/>
  <c r="BV151" i="61" a="1"/>
  <c r="BV151" i="61" s="1"/>
  <c r="BV178" i="61" a="1"/>
  <c r="BV178" i="61" s="1"/>
  <c r="BV32" i="61" a="1"/>
  <c r="BV32" i="61" s="1"/>
  <c r="BV305" i="61" a="1"/>
  <c r="BV305" i="61" s="1"/>
  <c r="BV86" i="61" a="1"/>
  <c r="BV86" i="61" s="1"/>
  <c r="BV165" i="61" a="1"/>
  <c r="BV165" i="61" s="1"/>
  <c r="BV13" i="61" a="1"/>
  <c r="BV13" i="61" s="1"/>
  <c r="BV291" i="61" a="1"/>
  <c r="BV291" i="61" s="1"/>
  <c r="BV288" i="61" a="1"/>
  <c r="BV288" i="61" s="1"/>
  <c r="BV325" i="61" a="1"/>
  <c r="BV325" i="61" s="1"/>
  <c r="BV205" i="61" a="1"/>
  <c r="BV205" i="61" s="1"/>
  <c r="BV210" i="61" a="1"/>
  <c r="BV210" i="61" s="1"/>
  <c r="BV111" i="61" a="1"/>
  <c r="BV111" i="61" s="1"/>
  <c r="BV202" i="61" a="1"/>
  <c r="BV202" i="61" s="1"/>
  <c r="BV131" i="61" a="1"/>
  <c r="BV131" i="61" s="1"/>
  <c r="BV243" i="61" a="1"/>
  <c r="BV243" i="61" s="1"/>
  <c r="BV256" i="61" a="1"/>
  <c r="BV256" i="61" s="1"/>
  <c r="BV59" i="61" a="1"/>
  <c r="BV59" i="61" s="1"/>
  <c r="BV282" i="61" a="1"/>
  <c r="BV282" i="61" s="1"/>
  <c r="BV269" i="61" a="1"/>
  <c r="BV269" i="61" s="1"/>
  <c r="BV127" i="61" a="1"/>
  <c r="BV127" i="61" s="1"/>
  <c r="BV232" i="61" a="1"/>
  <c r="BV232" i="61" s="1"/>
  <c r="BV191" i="61" a="1"/>
  <c r="BV191" i="61" s="1"/>
  <c r="BV157" i="61" a="1"/>
  <c r="BV157" i="61" s="1"/>
  <c r="BV262" i="61" a="1"/>
  <c r="BV262" i="61" s="1"/>
  <c r="BV170" i="61" a="1"/>
  <c r="BV170" i="61" s="1"/>
  <c r="BV158" i="61" a="1"/>
  <c r="BV158" i="61" s="1"/>
  <c r="BV155" i="61" a="1"/>
  <c r="BV155" i="61" s="1"/>
  <c r="BV175" i="61" a="1"/>
  <c r="BV175" i="61" s="1"/>
  <c r="BV190" i="61" a="1"/>
  <c r="BV190" i="61" s="1"/>
  <c r="BV182" i="61" a="1"/>
  <c r="BV182" i="61" s="1"/>
  <c r="BV250" i="61" a="1"/>
  <c r="BV250" i="61" s="1"/>
  <c r="BV290" i="61" a="1"/>
  <c r="BV290" i="61" s="1"/>
  <c r="BV315" i="61" a="1"/>
  <c r="BV315" i="61" s="1"/>
  <c r="BV233" i="61" a="1"/>
  <c r="BV233" i="61" s="1"/>
  <c r="BV56" i="61" a="1"/>
  <c r="BV56" i="61" s="1"/>
  <c r="BV293" i="61" a="1"/>
  <c r="BV293" i="61" s="1"/>
  <c r="BV274" i="61" a="1"/>
  <c r="BV274" i="61" s="1"/>
  <c r="BV273" i="61" a="1"/>
  <c r="BV273" i="61" s="1"/>
  <c r="BV35" i="61" a="1"/>
  <c r="BV35" i="61" s="1"/>
  <c r="BV45" i="61" a="1"/>
  <c r="BV45" i="61" s="1"/>
  <c r="BV71" i="61" a="1"/>
  <c r="BV71" i="61" s="1"/>
  <c r="BV306" i="61" a="1"/>
  <c r="BV306" i="61" s="1"/>
  <c r="BV95" i="61" a="1"/>
  <c r="BV95" i="61" s="1"/>
  <c r="BV102" i="61" a="1"/>
  <c r="BV102" i="61" s="1"/>
  <c r="BV249" i="61" a="1"/>
  <c r="BV249" i="61" s="1"/>
  <c r="BV145" i="61" a="1"/>
  <c r="BV145" i="61" s="1"/>
  <c r="BV224" i="61" a="1"/>
  <c r="BV224" i="61" s="1"/>
  <c r="BV49" i="61" a="1"/>
  <c r="BV49" i="61" s="1"/>
  <c r="BV97" i="61" a="1"/>
  <c r="BV97" i="61" s="1"/>
  <c r="BV302" i="61" a="1"/>
  <c r="BV302" i="61" s="1"/>
  <c r="BV242" i="61" a="1"/>
  <c r="BV242" i="61" s="1"/>
  <c r="BV303" i="61" a="1"/>
  <c r="BV303" i="61" s="1"/>
  <c r="BV267" i="61" a="1"/>
  <c r="BV267" i="61" s="1"/>
  <c r="BV257" i="61" a="1"/>
  <c r="BV257" i="61" s="1"/>
  <c r="BV125" i="61" a="1"/>
  <c r="BV125" i="61" s="1"/>
  <c r="BV186" i="61" a="1"/>
  <c r="BV186" i="61" s="1"/>
  <c r="BV103" i="61" a="1"/>
  <c r="BV103" i="61" s="1"/>
  <c r="BV173" i="61" a="1"/>
  <c r="BV173" i="61" s="1"/>
  <c r="BV296" i="61" a="1"/>
  <c r="BV296" i="61" s="1"/>
  <c r="BV292" i="61" a="1"/>
  <c r="BV292" i="61" s="1"/>
  <c r="BV330" i="61" a="1"/>
  <c r="BV330" i="61" s="1"/>
  <c r="BV219" i="61" a="1"/>
  <c r="BV219" i="61" s="1"/>
  <c r="BV176" i="61" a="1"/>
  <c r="BV176" i="61" s="1"/>
  <c r="BV229" i="61" a="1"/>
  <c r="BV229" i="61" s="1"/>
  <c r="BV254" i="61" a="1"/>
  <c r="BV254" i="61" s="1"/>
  <c r="BV30" i="61" a="1"/>
  <c r="BV30" i="61" s="1"/>
  <c r="BV180" i="61" a="1"/>
  <c r="BV180" i="61" s="1"/>
  <c r="BV248" i="61" a="1"/>
  <c r="BV248" i="61" s="1"/>
  <c r="BV75" i="61" a="1"/>
  <c r="BV75" i="61" s="1"/>
  <c r="BV57" i="61" a="1"/>
  <c r="BV57" i="61" s="1"/>
  <c r="BV16" i="61" a="1"/>
  <c r="BV16" i="61" s="1"/>
  <c r="BV298" i="61" a="1"/>
  <c r="BV298" i="61" s="1"/>
  <c r="BV115" i="61" a="1"/>
  <c r="BV115" i="61" s="1"/>
  <c r="BV156" i="61" a="1"/>
  <c r="BV156" i="61" s="1"/>
  <c r="BV268" i="61" a="1"/>
  <c r="BV268" i="61" s="1"/>
  <c r="BV319" i="61" a="1"/>
  <c r="BV319" i="61" s="1"/>
  <c r="BV307" i="61" a="1"/>
  <c r="BV307" i="61" s="1"/>
  <c r="BV261" i="61" a="1"/>
  <c r="BV261" i="61" s="1"/>
  <c r="BV33" i="61" a="1"/>
  <c r="BV33" i="61" s="1"/>
  <c r="BV216" i="61" a="1"/>
  <c r="BV216" i="61" s="1"/>
  <c r="BV310" i="61" a="1"/>
  <c r="BV310" i="61" s="1"/>
  <c r="BV144" i="61" a="1"/>
  <c r="BV144" i="61" s="1"/>
  <c r="BV140" i="61" a="1"/>
  <c r="BV140" i="61" s="1"/>
  <c r="BV244" i="61" a="1"/>
  <c r="BV244" i="61" s="1"/>
  <c r="BV187" i="61" a="1"/>
  <c r="BV187" i="61" s="1"/>
  <c r="BV79" i="61" a="1"/>
  <c r="BV79" i="61" s="1"/>
  <c r="BV334" i="61" a="1"/>
  <c r="BV334" i="61" s="1"/>
  <c r="BV207" i="61" a="1"/>
  <c r="BV207" i="61" s="1"/>
  <c r="BV19" i="61" a="1"/>
  <c r="BV19" i="61" s="1"/>
  <c r="BV143" i="61" a="1"/>
  <c r="BV143" i="61" s="1"/>
  <c r="BV172" i="61" a="1"/>
  <c r="BV172" i="61" s="1"/>
  <c r="BV80" i="61" a="1"/>
  <c r="BV80" i="61" s="1"/>
  <c r="BV304" i="61" a="1"/>
  <c r="BV304" i="61" s="1"/>
  <c r="BV113" i="61" a="1"/>
  <c r="BV113" i="61" s="1"/>
  <c r="BV317" i="61" a="1"/>
  <c r="BV317" i="61" s="1"/>
  <c r="BV55" i="61" a="1"/>
  <c r="BV55" i="61" s="1"/>
  <c r="BV154" i="61" a="1"/>
  <c r="BV154" i="61" s="1"/>
  <c r="BV329" i="61" a="1"/>
  <c r="BV329" i="61" s="1"/>
  <c r="BV24" i="61" a="1"/>
  <c r="BV24" i="61" s="1"/>
  <c r="BV44" i="61" a="1"/>
  <c r="BV44" i="61" s="1"/>
  <c r="BV297" i="61" a="1"/>
  <c r="BV297" i="61" s="1"/>
  <c r="BV99" i="61" a="1"/>
  <c r="BV99" i="61" s="1"/>
  <c r="BV47" i="61" a="1"/>
  <c r="BV47" i="61" s="1"/>
  <c r="BV98" i="61" a="1"/>
  <c r="BV98" i="61" s="1"/>
  <c r="BV311" i="61" a="1"/>
  <c r="BV311" i="61" s="1"/>
  <c r="BV36" i="61" a="1"/>
  <c r="BV36" i="61" s="1"/>
  <c r="BV198" i="61" a="1"/>
  <c r="BV198" i="61" s="1"/>
  <c r="BV90" i="61" a="1"/>
  <c r="BV90" i="61" s="1"/>
  <c r="BV284" i="61" a="1"/>
  <c r="BV284" i="61" s="1"/>
  <c r="BV220" i="61" a="1"/>
  <c r="BV220" i="61" s="1"/>
  <c r="BV245" i="61" a="1"/>
  <c r="BV245" i="61" s="1"/>
  <c r="BV160" i="61" a="1"/>
  <c r="BV160" i="61" s="1"/>
  <c r="BV109" i="61" a="1"/>
  <c r="BV109" i="61" s="1"/>
  <c r="BV221" i="61" a="1"/>
  <c r="BV221" i="61" s="1"/>
  <c r="BV92" i="61" a="1"/>
  <c r="BV92" i="61" s="1"/>
  <c r="BV236" i="61" a="1"/>
  <c r="BV236" i="61" s="1"/>
  <c r="BV40" i="61" a="1"/>
  <c r="BV40" i="61" s="1"/>
  <c r="BV37" i="61" a="1"/>
  <c r="BV37" i="61" s="1"/>
  <c r="BV62" i="61" a="1"/>
  <c r="BV62" i="61" s="1"/>
  <c r="BV17" i="61" a="1"/>
  <c r="BV17" i="61" s="1"/>
  <c r="BV67" i="61" a="1"/>
  <c r="BV67" i="61" s="1"/>
  <c r="BV328" i="61" a="1"/>
  <c r="BV328" i="61" s="1"/>
  <c r="BV51" i="61" a="1"/>
  <c r="BV51" i="61" s="1"/>
  <c r="BV211" i="61" a="1"/>
  <c r="BV211" i="61" s="1"/>
  <c r="BV189" i="61" a="1"/>
  <c r="BV189" i="61" s="1"/>
  <c r="BV123" i="61" a="1"/>
  <c r="BV123" i="61" s="1"/>
  <c r="BV63" i="61" a="1"/>
  <c r="BV63" i="61" s="1"/>
  <c r="BV50" i="61" a="1"/>
  <c r="BV50" i="61" s="1"/>
  <c r="BV209" i="61" a="1"/>
  <c r="BV209" i="61" s="1"/>
  <c r="BV28" i="61" a="1"/>
  <c r="BV28" i="61" s="1"/>
  <c r="BV271" i="61" a="1"/>
  <c r="BV271" i="61" s="1"/>
  <c r="BV171" i="61" a="1"/>
  <c r="BV171" i="61" s="1"/>
  <c r="BV124" i="61" a="1"/>
  <c r="BV124" i="61" s="1"/>
  <c r="BV94" i="61" a="1"/>
  <c r="BV94" i="61" s="1"/>
  <c r="BV41" i="61" a="1"/>
  <c r="BV41" i="61" s="1"/>
  <c r="BV114" i="61" a="1"/>
  <c r="BV114" i="61" s="1"/>
  <c r="BV251" i="61" a="1"/>
  <c r="BV251" i="61" s="1"/>
  <c r="BV301" i="61" a="1"/>
  <c r="BV301" i="61" s="1"/>
  <c r="BV161" i="61" a="1"/>
  <c r="BV161" i="61" s="1"/>
  <c r="BV129" i="61" a="1"/>
  <c r="BV129" i="61" s="1"/>
  <c r="BV181" i="61" a="1"/>
  <c r="BV181" i="61" s="1"/>
  <c r="BV312" i="61" a="1"/>
  <c r="BV312" i="61" s="1"/>
  <c r="BV60" i="61" a="1"/>
  <c r="BV60" i="61" s="1"/>
  <c r="BV265" i="61" a="1"/>
  <c r="BV265" i="61" s="1"/>
  <c r="BV162" i="61" a="1"/>
  <c r="BV162" i="61" s="1"/>
  <c r="BV163" i="61" a="1"/>
  <c r="BV163" i="61" s="1"/>
  <c r="BV253" i="61" a="1"/>
  <c r="BV253" i="61" s="1"/>
  <c r="BV27" i="61" a="1"/>
  <c r="BV27" i="61" s="1"/>
  <c r="BV258" i="61" a="1"/>
  <c r="BV258" i="61" s="1"/>
  <c r="BV11" i="61" a="1"/>
  <c r="BV11" i="61" s="1"/>
  <c r="BV218" i="61" a="1"/>
  <c r="BV218" i="61" s="1"/>
  <c r="BV169" i="61" a="1"/>
  <c r="BV169" i="61" s="1"/>
  <c r="BV76" i="61" a="1"/>
  <c r="BV76" i="61" s="1"/>
  <c r="BV225" i="61" a="1"/>
  <c r="BV225" i="61" s="1"/>
  <c r="BV223" i="61" a="1"/>
  <c r="BV223" i="61" s="1"/>
  <c r="BV195" i="61" a="1"/>
  <c r="BV195" i="61" s="1"/>
  <c r="BV263" i="61" a="1"/>
  <c r="BV263" i="61" s="1"/>
  <c r="BV133" i="61" a="1"/>
  <c r="BV133" i="61" s="1"/>
  <c r="BV108" i="61" a="1"/>
  <c r="BV108" i="61" s="1"/>
  <c r="BV110" i="61" a="1"/>
  <c r="BV110" i="61" s="1"/>
  <c r="BV74" i="61" a="1"/>
  <c r="BV74" i="61" s="1"/>
  <c r="BV23" i="61" a="1"/>
  <c r="BV23" i="61" s="1"/>
  <c r="BV18" i="61" a="1"/>
  <c r="BV18" i="61" s="1"/>
  <c r="BV260" i="61" a="1"/>
  <c r="BV260" i="61" s="1"/>
  <c r="BV134" i="61" a="1"/>
  <c r="BV134" i="61" s="1"/>
  <c r="BV135" i="61" a="1"/>
  <c r="BV135" i="61" s="1"/>
  <c r="BV168" i="61" a="1"/>
  <c r="BV168" i="61" s="1"/>
  <c r="BV68" i="61" a="1"/>
  <c r="BV68" i="61" s="1"/>
  <c r="BV107" i="61" a="1"/>
  <c r="BV107" i="61" s="1"/>
  <c r="BV326" i="61" a="1"/>
  <c r="BV326" i="61" s="1"/>
  <c r="BV239" i="61" a="1"/>
  <c r="BV239" i="61" s="1"/>
  <c r="BV122" i="61" a="1"/>
  <c r="BV122" i="61" s="1"/>
  <c r="BV286" i="61" a="1"/>
  <c r="BV286" i="61" s="1"/>
  <c r="BV331" i="61" a="1"/>
  <c r="BV331" i="61" s="1"/>
  <c r="BV164" i="61" a="1"/>
  <c r="BV164" i="61" s="1"/>
  <c r="BV208" i="61" a="1"/>
  <c r="BV208" i="61" s="1"/>
  <c r="BV235" i="61" a="1"/>
  <c r="BV235" i="61" s="1"/>
  <c r="BV177" i="61" a="1"/>
  <c r="BV177" i="61" s="1"/>
  <c r="BV266" i="61" a="1"/>
  <c r="BV266" i="61" s="1"/>
  <c r="BV240" i="61" a="1"/>
  <c r="BV240" i="61" s="1"/>
  <c r="BV117" i="61" a="1"/>
  <c r="BV117" i="61" s="1"/>
  <c r="BV147" i="61" a="1"/>
  <c r="BV147" i="61" s="1"/>
  <c r="BV38" i="61" a="1"/>
  <c r="BV38" i="61" s="1"/>
  <c r="BV48" i="61" a="1"/>
  <c r="BV48" i="61" s="1"/>
  <c r="BV139" i="61" a="1"/>
  <c r="BV139" i="61" s="1"/>
  <c r="BV230" i="61" a="1"/>
  <c r="BV230" i="61" s="1"/>
  <c r="BV206" i="61" a="1"/>
  <c r="BV206" i="61" s="1"/>
  <c r="BV212" i="61" a="1"/>
  <c r="BV212" i="61" s="1"/>
  <c r="BV100" i="61" a="1"/>
  <c r="BV100" i="61" s="1"/>
  <c r="BV316" i="61" a="1"/>
  <c r="BV316" i="61" s="1"/>
  <c r="BV270" i="61" a="1"/>
  <c r="BV270" i="61" s="1"/>
  <c r="BV34" i="61" a="1"/>
  <c r="BV34" i="61" s="1"/>
  <c r="BV8" i="61" a="1"/>
  <c r="BV8" i="61" s="1"/>
  <c r="BV283" i="61" a="1"/>
  <c r="BV283" i="61" s="1"/>
  <c r="BV72" i="61" a="1"/>
  <c r="BV72" i="61" s="1"/>
  <c r="BV204" i="61" a="1"/>
  <c r="BV204" i="61" s="1"/>
  <c r="BV327" i="61" a="1"/>
  <c r="BV327" i="61" s="1"/>
  <c r="BV126" i="61" a="1"/>
  <c r="BV126" i="61" s="1"/>
  <c r="BV142" i="61" a="1"/>
  <c r="BV142" i="61" s="1"/>
  <c r="BV104" i="61" a="1"/>
  <c r="BV104" i="61" s="1"/>
  <c r="BV227" i="61" a="1"/>
  <c r="BV227" i="61" s="1"/>
  <c r="BV52" i="61" a="1"/>
  <c r="BV52" i="61" s="1"/>
  <c r="BV252" i="61" a="1"/>
  <c r="BV252" i="61" s="1"/>
  <c r="BV112" i="61" a="1"/>
  <c r="BV112" i="61" s="1"/>
  <c r="BV15" i="61" a="1"/>
  <c r="BV15" i="61" s="1"/>
  <c r="BV121" i="61" a="1"/>
  <c r="BV121" i="61" s="1"/>
  <c r="BV42" i="61" a="1"/>
  <c r="BV42" i="61" s="1"/>
  <c r="BV299" i="61" a="1"/>
  <c r="BV299" i="61" s="1"/>
  <c r="BV101" i="61" a="1"/>
  <c r="BV101" i="61" s="1"/>
  <c r="BV119" i="61" a="1"/>
  <c r="BV119" i="61" s="1"/>
  <c r="BV192" i="61" a="1"/>
  <c r="BV192" i="61" s="1"/>
  <c r="BV130" i="61" a="1"/>
  <c r="BV130" i="61" s="1"/>
  <c r="BV222" i="61" a="1"/>
  <c r="BV222" i="61" s="1"/>
  <c r="BV200" i="61" a="1"/>
  <c r="BV200" i="61" s="1"/>
  <c r="BV58" i="61" a="1"/>
  <c r="BV58" i="61" s="1"/>
  <c r="BV197" i="61" a="1"/>
  <c r="BV197" i="61" s="1"/>
  <c r="BV320" i="61" a="1"/>
  <c r="BV320" i="61" s="1"/>
  <c r="BV231" i="61" a="1"/>
  <c r="BV231" i="61" s="1"/>
  <c r="BV272" i="61" a="1"/>
  <c r="BV272" i="61" s="1"/>
  <c r="BV46" i="61" a="1"/>
  <c r="BV46" i="61" s="1"/>
  <c r="BV69" i="61" a="1"/>
  <c r="BV69" i="61" s="1"/>
  <c r="BV9" i="61" a="1"/>
  <c r="BV9" i="61" s="1"/>
  <c r="BV106" i="61" a="1"/>
  <c r="BV106" i="61" s="1"/>
  <c r="BV247" i="61" a="1"/>
  <c r="BV247" i="61" s="1"/>
  <c r="BV14" i="61" a="1"/>
  <c r="BV14" i="61" s="1"/>
  <c r="BV12" i="61" a="1"/>
  <c r="BV12" i="61" s="1"/>
  <c r="BV146" i="61" a="1"/>
  <c r="BV146" i="61" s="1"/>
  <c r="BV184" i="61" a="1"/>
  <c r="BV184" i="61" s="1"/>
  <c r="BV241" i="61" a="1"/>
  <c r="BV241" i="61" s="1"/>
  <c r="BV279" i="61" a="1"/>
  <c r="BV279" i="61" s="1"/>
  <c r="BV246" i="61" a="1"/>
  <c r="BV246" i="61" s="1"/>
  <c r="BV226" i="61" a="1"/>
  <c r="BV226" i="61" s="1"/>
  <c r="BV73" i="61" a="1"/>
  <c r="BV73" i="61" s="1"/>
  <c r="BV105" i="61" a="1"/>
  <c r="BV105" i="61" s="1"/>
  <c r="BV324" i="61" a="1"/>
  <c r="BV324" i="61" s="1"/>
  <c r="BV82" i="61" a="1"/>
  <c r="BV82" i="61" s="1"/>
  <c r="BV276" i="61" a="1"/>
  <c r="BV276" i="61" s="1"/>
  <c r="BV66" i="61" a="1"/>
  <c r="BV66" i="61" s="1"/>
  <c r="BV54" i="61" a="1"/>
  <c r="BV54" i="61" s="1"/>
  <c r="BV10" i="61" a="1"/>
  <c r="BV10" i="61" s="1"/>
  <c r="BV22" i="61" a="1"/>
  <c r="BV22" i="61" s="1"/>
  <c r="BV96" i="61" a="1"/>
  <c r="BV96" i="61" s="1"/>
  <c r="BV332" i="61" a="1"/>
  <c r="BV332" i="61" s="1"/>
  <c r="BV193" i="61" a="1"/>
  <c r="BV193" i="61" s="1"/>
  <c r="BV294" i="61" a="1"/>
  <c r="BV294" i="61" s="1"/>
  <c r="BV128" i="61" a="1"/>
  <c r="BV128" i="61" s="1"/>
  <c r="BV138" i="61" a="1"/>
  <c r="BV138" i="61" s="1"/>
  <c r="BV116" i="61" a="1"/>
  <c r="BV116" i="61" s="1"/>
  <c r="BV166" i="61" a="1"/>
  <c r="BV166" i="61" s="1"/>
  <c r="BV53" i="61" a="1"/>
  <c r="BV53" i="61" s="1"/>
  <c r="BV77" i="61" a="1"/>
  <c r="BV77" i="61" s="1"/>
  <c r="BV141" i="61" a="1"/>
  <c r="BV141" i="61" s="1"/>
  <c r="BV214" i="61" a="1"/>
  <c r="BV214" i="61" s="1"/>
  <c r="BV81" i="61" a="1"/>
  <c r="BV81" i="61" s="1"/>
  <c r="BV215" i="61" a="1"/>
  <c r="BV215" i="61" s="1"/>
  <c r="BV259" i="61" a="1"/>
  <c r="BV259" i="61" s="1"/>
  <c r="BV289" i="61" a="1"/>
  <c r="BV289" i="61" s="1"/>
  <c r="BV183" i="61" a="1"/>
  <c r="BV183" i="61" s="1"/>
  <c r="BV321" i="61" a="1"/>
  <c r="BV321" i="61" s="1"/>
  <c r="BV228" i="61" a="1"/>
  <c r="BV228" i="61" s="1"/>
  <c r="BV309" i="61" a="1"/>
  <c r="BV309" i="61" s="1"/>
  <c r="BV234" i="61" a="1"/>
  <c r="BV234" i="61" s="1"/>
  <c r="BV118" i="61" a="1"/>
  <c r="BV118" i="61" s="1"/>
  <c r="BV318" i="61" a="1"/>
  <c r="BV318" i="61" s="1"/>
  <c r="BV313" i="61" a="1"/>
  <c r="BV313" i="61" s="1"/>
  <c r="BV174" i="61" a="1"/>
  <c r="BV174" i="61" s="1"/>
  <c r="BV314" i="61" a="1"/>
  <c r="BV314" i="61" s="1"/>
  <c r="BV300" i="61" a="1"/>
  <c r="BV300" i="61" s="1"/>
  <c r="BV179" i="61" a="1"/>
  <c r="BV179" i="61" s="1"/>
  <c r="BV88" i="61" a="1"/>
  <c r="BV88" i="61" s="1"/>
  <c r="BV61" i="61" a="1"/>
  <c r="BV61" i="61" s="1"/>
  <c r="BV217" i="61" a="1"/>
  <c r="BV217" i="61" s="1"/>
  <c r="BV26" i="61" a="1"/>
  <c r="BV26" i="61" s="1"/>
  <c r="BV295" i="61" a="1"/>
  <c r="BV295" i="61" s="1"/>
  <c r="BV43" i="61" a="1"/>
  <c r="BV43" i="61" s="1"/>
  <c r="BV237" i="61" a="1"/>
  <c r="BV237" i="61" s="1"/>
  <c r="BV335" i="61" a="1"/>
  <c r="BV335" i="61" s="1"/>
  <c r="BV201" i="61" a="1"/>
  <c r="BV201" i="61" s="1"/>
  <c r="S308" i="61"/>
  <c r="O8" i="60"/>
  <c r="L8" i="60"/>
  <c r="I8" i="60"/>
  <c r="J2" i="60"/>
  <c r="F8" i="60"/>
  <c r="E27" i="59" l="1" a="1"/>
  <c r="E27" i="59" s="1"/>
  <c r="S22" i="59"/>
  <c r="P22" i="59"/>
  <c r="S21" i="59"/>
  <c r="P21" i="59"/>
  <c r="S20" i="59"/>
  <c r="P20" i="59"/>
  <c r="S19" i="59"/>
  <c r="P19" i="59"/>
  <c r="S18" i="59"/>
  <c r="P18" i="59"/>
  <c r="S17" i="59"/>
  <c r="P17" i="59"/>
  <c r="S16" i="59"/>
  <c r="P16" i="59"/>
  <c r="S15" i="59"/>
  <c r="P15" i="59"/>
  <c r="S14" i="59"/>
  <c r="P14" i="59"/>
  <c r="S13" i="59"/>
  <c r="P13" i="59"/>
  <c r="S12" i="59"/>
  <c r="P12" i="59"/>
  <c r="S11" i="59"/>
  <c r="P11" i="59"/>
  <c r="S10" i="59"/>
  <c r="P10" i="59"/>
  <c r="L10" i="59"/>
  <c r="E3" i="59"/>
  <c r="F3" i="59" s="1"/>
  <c r="K2" i="59"/>
  <c r="D10" i="59" s="1"/>
  <c r="J2" i="59"/>
  <c r="F2" i="59"/>
  <c r="E2" i="59"/>
  <c r="K9" i="59" s="1"/>
  <c r="E27" i="58" a="1"/>
  <c r="E27" i="58" s="1"/>
  <c r="S22" i="58"/>
  <c r="P22" i="58"/>
  <c r="S21" i="58"/>
  <c r="P21" i="58"/>
  <c r="S20" i="58"/>
  <c r="P20" i="58"/>
  <c r="S19" i="58"/>
  <c r="P19" i="58"/>
  <c r="S18" i="58"/>
  <c r="P18" i="58"/>
  <c r="S17" i="58"/>
  <c r="P17" i="58"/>
  <c r="S16" i="58"/>
  <c r="P16" i="58"/>
  <c r="S15" i="58"/>
  <c r="P15" i="58"/>
  <c r="S14" i="58"/>
  <c r="P14" i="58"/>
  <c r="S13" i="58"/>
  <c r="P13" i="58"/>
  <c r="S12" i="58"/>
  <c r="P12" i="58"/>
  <c r="S11" i="58"/>
  <c r="P11" i="58"/>
  <c r="S10" i="58"/>
  <c r="P10" i="58"/>
  <c r="D10" i="58"/>
  <c r="D11" i="58" s="1"/>
  <c r="D12" i="58" s="1"/>
  <c r="D13" i="58" s="1"/>
  <c r="D14" i="58" s="1"/>
  <c r="D15" i="58" s="1"/>
  <c r="D16" i="58" s="1"/>
  <c r="D17" i="58" s="1"/>
  <c r="D18" i="58" s="1"/>
  <c r="D19" i="58" s="1"/>
  <c r="D20" i="58" s="1"/>
  <c r="D21" i="58" s="1"/>
  <c r="D22" i="58" s="1"/>
  <c r="D9" i="58"/>
  <c r="C9" i="58"/>
  <c r="E3" i="58"/>
  <c r="F3" i="58" s="1"/>
  <c r="J2" i="58"/>
  <c r="F2" i="58"/>
  <c r="G27" i="58" s="1"/>
  <c r="E2" i="58"/>
  <c r="G27" i="57"/>
  <c r="E27" i="57" a="1"/>
  <c r="E27" i="57" s="1"/>
  <c r="S22" i="57"/>
  <c r="P22" i="57"/>
  <c r="S21" i="57"/>
  <c r="P21" i="57"/>
  <c r="S20" i="57"/>
  <c r="P20" i="57"/>
  <c r="S19" i="57"/>
  <c r="P19" i="57"/>
  <c r="S18" i="57"/>
  <c r="P18" i="57"/>
  <c r="S17" i="57"/>
  <c r="P17" i="57"/>
  <c r="S16" i="57"/>
  <c r="P16" i="57"/>
  <c r="S15" i="57"/>
  <c r="P15" i="57"/>
  <c r="S14" i="57"/>
  <c r="P14" i="57"/>
  <c r="S13" i="57"/>
  <c r="P13" i="57"/>
  <c r="S12" i="57"/>
  <c r="P12" i="57"/>
  <c r="S11" i="57"/>
  <c r="P11" i="57"/>
  <c r="S10" i="57"/>
  <c r="P10" i="57"/>
  <c r="D10" i="57"/>
  <c r="D11" i="57" s="1"/>
  <c r="D12" i="57" s="1"/>
  <c r="D13" i="57" s="1"/>
  <c r="D14" i="57" s="1"/>
  <c r="D15" i="57" s="1"/>
  <c r="D16" i="57" s="1"/>
  <c r="D17" i="57" s="1"/>
  <c r="D18" i="57" s="1"/>
  <c r="D19" i="57" s="1"/>
  <c r="D20" i="57" s="1"/>
  <c r="D21" i="57" s="1"/>
  <c r="D22" i="57" s="1"/>
  <c r="D9" i="57"/>
  <c r="C9" i="57"/>
  <c r="E3" i="57"/>
  <c r="F3" i="57" s="1"/>
  <c r="J2" i="57"/>
  <c r="F2" i="57"/>
  <c r="E2" i="57"/>
  <c r="E27" i="56" a="1"/>
  <c r="E27" i="56" s="1"/>
  <c r="S22" i="56"/>
  <c r="P22" i="56"/>
  <c r="S21" i="56"/>
  <c r="P21" i="56"/>
  <c r="S20" i="56"/>
  <c r="P20" i="56"/>
  <c r="S19" i="56"/>
  <c r="P19" i="56"/>
  <c r="S18" i="56"/>
  <c r="P18" i="56"/>
  <c r="S17" i="56"/>
  <c r="P17" i="56"/>
  <c r="S16" i="56"/>
  <c r="P16" i="56"/>
  <c r="S15" i="56"/>
  <c r="P15" i="56"/>
  <c r="S14" i="56"/>
  <c r="P14" i="56"/>
  <c r="S13" i="56"/>
  <c r="P13" i="56"/>
  <c r="S12" i="56"/>
  <c r="P12" i="56"/>
  <c r="S11" i="56"/>
  <c r="P11" i="56"/>
  <c r="S10" i="56"/>
  <c r="P10" i="56"/>
  <c r="D10" i="56"/>
  <c r="D11" i="56" s="1"/>
  <c r="D12" i="56" s="1"/>
  <c r="D13" i="56" s="1"/>
  <c r="D14" i="56" s="1"/>
  <c r="D15" i="56" s="1"/>
  <c r="D16" i="56" s="1"/>
  <c r="D17" i="56" s="1"/>
  <c r="D18" i="56" s="1"/>
  <c r="D19" i="56" s="1"/>
  <c r="D20" i="56" s="1"/>
  <c r="D21" i="56" s="1"/>
  <c r="D22" i="56" s="1"/>
  <c r="D9" i="56"/>
  <c r="C9" i="56"/>
  <c r="E3" i="56"/>
  <c r="F3" i="56" s="1"/>
  <c r="J2" i="56"/>
  <c r="F2" i="56"/>
  <c r="G27" i="56" s="1"/>
  <c r="E2" i="56"/>
  <c r="D22" i="53"/>
  <c r="D21" i="53" s="1"/>
  <c r="D20" i="53" s="1"/>
  <c r="E27" i="53" a="1"/>
  <c r="E27" i="53" s="1"/>
  <c r="D10" i="53"/>
  <c r="D11" i="53" s="1"/>
  <c r="D12" i="53" s="1"/>
  <c r="D13" i="53" s="1"/>
  <c r="D14" i="53" s="1"/>
  <c r="D15" i="53" s="1"/>
  <c r="D16" i="53" s="1"/>
  <c r="D17" i="53" s="1"/>
  <c r="D18" i="53" s="1"/>
  <c r="D19" i="53" s="1"/>
  <c r="D9" i="53"/>
  <c r="C9" i="53"/>
  <c r="E3" i="53"/>
  <c r="F3" i="53" s="1"/>
  <c r="J2" i="53"/>
  <c r="F2" i="53"/>
  <c r="G27" i="53" s="1"/>
  <c r="E2" i="53"/>
  <c r="E27" i="51" a="1"/>
  <c r="E27" i="51" s="1"/>
  <c r="S22" i="51"/>
  <c r="P22" i="51"/>
  <c r="S21" i="51"/>
  <c r="P21" i="51"/>
  <c r="S20" i="51"/>
  <c r="P20" i="51"/>
  <c r="S19" i="51"/>
  <c r="P19" i="51"/>
  <c r="S18" i="51"/>
  <c r="P18" i="51"/>
  <c r="S17" i="51"/>
  <c r="P17" i="51"/>
  <c r="S16" i="51"/>
  <c r="P16" i="51"/>
  <c r="S15" i="51"/>
  <c r="P15" i="51"/>
  <c r="S14" i="51"/>
  <c r="P14" i="51"/>
  <c r="S13" i="51"/>
  <c r="P13" i="51"/>
  <c r="S12" i="51"/>
  <c r="P12" i="51"/>
  <c r="S11" i="51"/>
  <c r="P11" i="51"/>
  <c r="S10" i="51"/>
  <c r="P10" i="51"/>
  <c r="D10" i="51"/>
  <c r="D11" i="51" s="1"/>
  <c r="D12" i="51" s="1"/>
  <c r="D13" i="51" s="1"/>
  <c r="D14" i="51" s="1"/>
  <c r="D15" i="51" s="1"/>
  <c r="D16" i="51" s="1"/>
  <c r="D17" i="51" s="1"/>
  <c r="D18" i="51" s="1"/>
  <c r="D19" i="51" s="1"/>
  <c r="D20" i="51" s="1"/>
  <c r="D21" i="51" s="1"/>
  <c r="D22" i="51" s="1"/>
  <c r="D23" i="51" s="1"/>
  <c r="D9" i="51"/>
  <c r="C9" i="51"/>
  <c r="E3" i="51"/>
  <c r="F3" i="51" s="1"/>
  <c r="J2" i="51"/>
  <c r="F2" i="51"/>
  <c r="G27" i="51" s="1"/>
  <c r="E2" i="51"/>
  <c r="S23" i="50"/>
  <c r="E27" i="50" a="1"/>
  <c r="E27" i="50" s="1"/>
  <c r="S22" i="50"/>
  <c r="P22" i="50"/>
  <c r="S21" i="50"/>
  <c r="P21" i="50"/>
  <c r="S20" i="50"/>
  <c r="P20" i="50"/>
  <c r="S19" i="50"/>
  <c r="P19" i="50"/>
  <c r="S18" i="50"/>
  <c r="P18" i="50"/>
  <c r="S17" i="50"/>
  <c r="P17" i="50"/>
  <c r="S16" i="50"/>
  <c r="P16" i="50"/>
  <c r="S15" i="50"/>
  <c r="P15" i="50"/>
  <c r="S14" i="50"/>
  <c r="P14" i="50"/>
  <c r="S13" i="50"/>
  <c r="P13" i="50"/>
  <c r="S12" i="50"/>
  <c r="P12" i="50"/>
  <c r="S11" i="50"/>
  <c r="P11" i="50"/>
  <c r="S10" i="50"/>
  <c r="P10" i="50"/>
  <c r="D10" i="50"/>
  <c r="D11" i="50" s="1"/>
  <c r="D12" i="50" s="1"/>
  <c r="D13" i="50" s="1"/>
  <c r="D14" i="50" s="1"/>
  <c r="D15" i="50" s="1"/>
  <c r="D16" i="50" s="1"/>
  <c r="D17" i="50" s="1"/>
  <c r="D18" i="50" s="1"/>
  <c r="D19" i="50" s="1"/>
  <c r="D20" i="50" s="1"/>
  <c r="D21" i="50" s="1"/>
  <c r="D22" i="50" s="1"/>
  <c r="D23" i="50" s="1"/>
  <c r="D9" i="50"/>
  <c r="C9" i="50"/>
  <c r="E3" i="50"/>
  <c r="F3" i="50" s="1"/>
  <c r="J2" i="50"/>
  <c r="F2" i="50"/>
  <c r="G27" i="50" s="1"/>
  <c r="E2" i="50"/>
  <c r="L9" i="59" l="1"/>
  <c r="G27" i="59"/>
  <c r="R29" i="59"/>
  <c r="T29" i="59" s="1"/>
  <c r="D18" i="59"/>
  <c r="D12" i="59"/>
  <c r="F12" i="59" s="1"/>
  <c r="R28" i="59"/>
  <c r="T28" i="59" s="1"/>
  <c r="D11" i="59"/>
  <c r="F11" i="59" s="1"/>
  <c r="C44" i="59"/>
  <c r="R39" i="59"/>
  <c r="T39" i="59" s="1"/>
  <c r="D22" i="59"/>
  <c r="R38" i="59"/>
  <c r="T38" i="59" s="1"/>
  <c r="D21" i="59"/>
  <c r="F21" i="59" s="1"/>
  <c r="R37" i="59"/>
  <c r="T37" i="59" s="1"/>
  <c r="D20" i="59"/>
  <c r="R36" i="59"/>
  <c r="T36" i="59" s="1"/>
  <c r="J10" i="59"/>
  <c r="D19" i="59"/>
  <c r="R35" i="59"/>
  <c r="T35" i="59" s="1"/>
  <c r="R34" i="59"/>
  <c r="T34" i="59" s="1"/>
  <c r="D17" i="59"/>
  <c r="F19" i="59"/>
  <c r="R33" i="59"/>
  <c r="T33" i="59" s="1"/>
  <c r="R40" i="59"/>
  <c r="T40" i="59" s="1"/>
  <c r="Q10" i="59"/>
  <c r="Q11" i="59" s="1"/>
  <c r="Q12" i="59" s="1"/>
  <c r="Q13" i="59" s="1"/>
  <c r="Q14" i="59" s="1"/>
  <c r="Q15" i="59" s="1"/>
  <c r="Q16" i="59" s="1"/>
  <c r="Q17" i="59" s="1"/>
  <c r="Q18" i="59" s="1"/>
  <c r="Q19" i="59" s="1"/>
  <c r="Q20" i="59" s="1"/>
  <c r="Q21" i="59" s="1"/>
  <c r="Q22" i="59" s="1"/>
  <c r="T22" i="59" s="1"/>
  <c r="D16" i="59"/>
  <c r="F16" i="59" s="1"/>
  <c r="R32" i="59"/>
  <c r="T32" i="59" s="1"/>
  <c r="D15" i="59"/>
  <c r="R31" i="59"/>
  <c r="T31" i="59" s="1"/>
  <c r="D14" i="59"/>
  <c r="R30" i="59"/>
  <c r="T30" i="59" s="1"/>
  <c r="D13" i="59"/>
  <c r="F13" i="59" s="1"/>
  <c r="K2" i="58"/>
  <c r="E10" i="58" s="1"/>
  <c r="K2" i="57"/>
  <c r="E10" i="57" s="1"/>
  <c r="R35" i="57" s="1"/>
  <c r="T35" i="57" s="1"/>
  <c r="K2" i="56"/>
  <c r="E10" i="56" s="1"/>
  <c r="K2" i="53"/>
  <c r="E10" i="53" s="1"/>
  <c r="E23" i="53" s="1"/>
  <c r="E22" i="53" s="1"/>
  <c r="E21" i="53" s="1"/>
  <c r="E20" i="53" s="1"/>
  <c r="K2" i="51"/>
  <c r="E10" i="51" s="1"/>
  <c r="K2" i="50"/>
  <c r="E10" i="50" s="1"/>
  <c r="R35" i="50" s="1"/>
  <c r="T35" i="50" s="1"/>
  <c r="W8" i="89"/>
  <c r="W13" i="89"/>
  <c r="W18" i="89"/>
  <c r="O9" i="60"/>
  <c r="R31" i="57" l="1"/>
  <c r="T31" i="57" s="1"/>
  <c r="R38" i="57"/>
  <c r="T38" i="57" s="1"/>
  <c r="U39" i="59" a="1"/>
  <c r="U39" i="59" s="1"/>
  <c r="V39" i="59" s="1"/>
  <c r="U28" i="59" a="1"/>
  <c r="U28" i="59" s="1"/>
  <c r="U35" i="59" a="1"/>
  <c r="U35" i="59" s="1"/>
  <c r="R30" i="57"/>
  <c r="T30" i="57" s="1"/>
  <c r="R40" i="57"/>
  <c r="T40" i="57" s="1"/>
  <c r="V28" i="59"/>
  <c r="V35" i="59"/>
  <c r="H10" i="50"/>
  <c r="C45" i="50" s="1"/>
  <c r="R34" i="57"/>
  <c r="T34" i="57" s="1"/>
  <c r="E11" i="57"/>
  <c r="R37" i="57"/>
  <c r="T37" i="57" s="1"/>
  <c r="R33" i="57"/>
  <c r="T33" i="57" s="1"/>
  <c r="R32" i="57"/>
  <c r="T32" i="57" s="1"/>
  <c r="R39" i="57"/>
  <c r="T39" i="57" s="1"/>
  <c r="H10" i="57"/>
  <c r="C45" i="57" s="1"/>
  <c r="R40" i="50"/>
  <c r="T40" i="50" s="1"/>
  <c r="E18" i="59"/>
  <c r="F28" i="59"/>
  <c r="J18" i="59"/>
  <c r="F18" i="59"/>
  <c r="R34" i="50"/>
  <c r="T34" i="50" s="1"/>
  <c r="F23" i="53"/>
  <c r="R33" i="50"/>
  <c r="T33" i="50" s="1"/>
  <c r="R32" i="50"/>
  <c r="T32" i="50" s="1"/>
  <c r="Q10" i="57"/>
  <c r="Q11" i="57" s="1"/>
  <c r="Q12" i="57" s="1"/>
  <c r="Q13" i="57" s="1"/>
  <c r="Q14" i="57" s="1"/>
  <c r="Q15" i="57" s="1"/>
  <c r="Q16" i="57" s="1"/>
  <c r="Q17" i="57" s="1"/>
  <c r="Q18" i="57" s="1"/>
  <c r="Q19" i="57" s="1"/>
  <c r="Q20" i="57" s="1"/>
  <c r="Q21" i="57" s="1"/>
  <c r="Q22" i="57" s="1"/>
  <c r="R29" i="57"/>
  <c r="T29" i="57" s="1"/>
  <c r="H23" i="53"/>
  <c r="R39" i="50"/>
  <c r="T39" i="50" s="1"/>
  <c r="R38" i="50"/>
  <c r="T38" i="50" s="1"/>
  <c r="C52" i="59"/>
  <c r="R37" i="50"/>
  <c r="T37" i="50" s="1"/>
  <c r="F22" i="59"/>
  <c r="F17" i="59"/>
  <c r="T17" i="59"/>
  <c r="T21" i="59"/>
  <c r="T16" i="59"/>
  <c r="T20" i="59"/>
  <c r="R18" i="59"/>
  <c r="U18" i="59" s="1"/>
  <c r="T18" i="59"/>
  <c r="E14" i="59"/>
  <c r="R14" i="59"/>
  <c r="U14" i="59" s="1"/>
  <c r="C48" i="59"/>
  <c r="J14" i="59"/>
  <c r="T19" i="59"/>
  <c r="E15" i="59"/>
  <c r="J21" i="59"/>
  <c r="C49" i="59"/>
  <c r="U29" i="59" s="1" a="1"/>
  <c r="U29" i="59" s="1"/>
  <c r="V29" i="59" s="1"/>
  <c r="R15" i="59"/>
  <c r="U21" i="59" s="1"/>
  <c r="E17" i="59"/>
  <c r="C51" i="59"/>
  <c r="R17" i="59"/>
  <c r="U11" i="59" s="1"/>
  <c r="J11" i="59"/>
  <c r="J17" i="59"/>
  <c r="R11" i="59"/>
  <c r="U17" i="59" s="1"/>
  <c r="C45" i="59"/>
  <c r="U34" i="59" s="1" a="1"/>
  <c r="U34" i="59" s="1"/>
  <c r="V34" i="59" s="1"/>
  <c r="E11" i="59"/>
  <c r="F15" i="59"/>
  <c r="F14" i="59"/>
  <c r="C54" i="59"/>
  <c r="J20" i="59"/>
  <c r="F20" i="59"/>
  <c r="E20" i="59"/>
  <c r="R20" i="59"/>
  <c r="U20" i="59" s="1"/>
  <c r="T12" i="59"/>
  <c r="C55" i="59"/>
  <c r="E21" i="59"/>
  <c r="R21" i="59"/>
  <c r="U15" i="59" s="1"/>
  <c r="J15" i="59"/>
  <c r="T15" i="59"/>
  <c r="J19" i="59"/>
  <c r="R13" i="59"/>
  <c r="U19" i="59" s="1"/>
  <c r="C47" i="59"/>
  <c r="E13" i="59"/>
  <c r="J16" i="59"/>
  <c r="E16" i="59"/>
  <c r="C50" i="59"/>
  <c r="R16" i="59"/>
  <c r="U16" i="59" s="1"/>
  <c r="C53" i="59"/>
  <c r="E19" i="59"/>
  <c r="R19" i="59"/>
  <c r="U13" i="59" s="1"/>
  <c r="J13" i="59"/>
  <c r="R12" i="59"/>
  <c r="U12" i="59" s="1"/>
  <c r="C46" i="59"/>
  <c r="J12" i="59"/>
  <c r="E12" i="59"/>
  <c r="T11" i="59"/>
  <c r="T14" i="59"/>
  <c r="R10" i="59"/>
  <c r="U10" i="59" s="1"/>
  <c r="T13" i="59"/>
  <c r="C56" i="59"/>
  <c r="R22" i="59"/>
  <c r="U22" i="59" s="1"/>
  <c r="J22" i="59"/>
  <c r="E22" i="59"/>
  <c r="T10" i="59"/>
  <c r="R35" i="58"/>
  <c r="T35" i="58" s="1"/>
  <c r="R28" i="58"/>
  <c r="T28" i="58" s="1"/>
  <c r="R36" i="58"/>
  <c r="T36" i="58" s="1"/>
  <c r="R29" i="58"/>
  <c r="T29" i="58" s="1"/>
  <c r="Q10" i="58"/>
  <c r="Q11" i="58" s="1"/>
  <c r="Q12" i="58" s="1"/>
  <c r="Q13" i="58" s="1"/>
  <c r="Q14" i="58" s="1"/>
  <c r="Q15" i="58" s="1"/>
  <c r="Q16" i="58" s="1"/>
  <c r="Q17" i="58" s="1"/>
  <c r="Q18" i="58" s="1"/>
  <c r="Q19" i="58" s="1"/>
  <c r="Q20" i="58" s="1"/>
  <c r="Q21" i="58" s="1"/>
  <c r="Q22" i="58" s="1"/>
  <c r="R40" i="58"/>
  <c r="T40" i="58" s="1"/>
  <c r="R37" i="58"/>
  <c r="T37" i="58" s="1"/>
  <c r="R30" i="58"/>
  <c r="T30" i="58" s="1"/>
  <c r="R38" i="58"/>
  <c r="T38" i="58" s="1"/>
  <c r="R31" i="58"/>
  <c r="T31" i="58" s="1"/>
  <c r="H10" i="58"/>
  <c r="C45" i="58" s="1"/>
  <c r="R39" i="58"/>
  <c r="T39" i="58" s="1"/>
  <c r="R32" i="58"/>
  <c r="T32" i="58" s="1"/>
  <c r="R33" i="58"/>
  <c r="T33" i="58" s="1"/>
  <c r="E11" i="58"/>
  <c r="R34" i="58"/>
  <c r="T34" i="58" s="1"/>
  <c r="R36" i="57"/>
  <c r="T36" i="57" s="1"/>
  <c r="R28" i="57"/>
  <c r="T28" i="57" s="1"/>
  <c r="F28" i="57"/>
  <c r="K10" i="57"/>
  <c r="H11" i="57"/>
  <c r="C52" i="57" s="1"/>
  <c r="F11" i="57"/>
  <c r="E12" i="57"/>
  <c r="R35" i="56"/>
  <c r="T35" i="56" s="1"/>
  <c r="R28" i="56"/>
  <c r="T28" i="56" s="1"/>
  <c r="R36" i="56"/>
  <c r="T36" i="56" s="1"/>
  <c r="R29" i="56"/>
  <c r="T29" i="56" s="1"/>
  <c r="Q10" i="56"/>
  <c r="Q11" i="56" s="1"/>
  <c r="Q12" i="56" s="1"/>
  <c r="Q13" i="56" s="1"/>
  <c r="Q14" i="56" s="1"/>
  <c r="Q15" i="56" s="1"/>
  <c r="Q16" i="56" s="1"/>
  <c r="Q17" i="56" s="1"/>
  <c r="Q18" i="56" s="1"/>
  <c r="Q19" i="56" s="1"/>
  <c r="Q20" i="56" s="1"/>
  <c r="Q21" i="56" s="1"/>
  <c r="Q22" i="56" s="1"/>
  <c r="R40" i="56"/>
  <c r="T40" i="56" s="1"/>
  <c r="R37" i="56"/>
  <c r="T37" i="56" s="1"/>
  <c r="R30" i="56"/>
  <c r="T30" i="56" s="1"/>
  <c r="R38" i="56"/>
  <c r="T38" i="56" s="1"/>
  <c r="R31" i="56"/>
  <c r="T31" i="56" s="1"/>
  <c r="H10" i="56"/>
  <c r="C45" i="56" s="1"/>
  <c r="R39" i="56"/>
  <c r="T39" i="56" s="1"/>
  <c r="R32" i="56"/>
  <c r="T32" i="56" s="1"/>
  <c r="R33" i="56"/>
  <c r="T33" i="56" s="1"/>
  <c r="E11" i="56"/>
  <c r="R34" i="56"/>
  <c r="T34" i="56" s="1"/>
  <c r="R35" i="53"/>
  <c r="T35" i="53" s="1"/>
  <c r="R28" i="53"/>
  <c r="T28" i="53" s="1"/>
  <c r="R36" i="53"/>
  <c r="T36" i="53" s="1"/>
  <c r="R29" i="53"/>
  <c r="T29" i="53" s="1"/>
  <c r="Q10" i="53"/>
  <c r="R40" i="53"/>
  <c r="T40" i="53" s="1"/>
  <c r="R37" i="53"/>
  <c r="T37" i="53" s="1"/>
  <c r="R30" i="53"/>
  <c r="T30" i="53" s="1"/>
  <c r="R38" i="53"/>
  <c r="T38" i="53" s="1"/>
  <c r="R31" i="53"/>
  <c r="T31" i="53" s="1"/>
  <c r="H10" i="53"/>
  <c r="C45" i="53" s="1"/>
  <c r="R39" i="53"/>
  <c r="T39" i="53" s="1"/>
  <c r="R32" i="53"/>
  <c r="T32" i="53" s="1"/>
  <c r="R33" i="53"/>
  <c r="T33" i="53" s="1"/>
  <c r="E11" i="53"/>
  <c r="R34" i="53"/>
  <c r="T34" i="53" s="1"/>
  <c r="R35" i="51"/>
  <c r="T35" i="51" s="1"/>
  <c r="R28" i="51"/>
  <c r="T28" i="51" s="1"/>
  <c r="R36" i="51"/>
  <c r="T36" i="51" s="1"/>
  <c r="R29" i="51"/>
  <c r="T29" i="51" s="1"/>
  <c r="Q10" i="51"/>
  <c r="Q11" i="51" s="1"/>
  <c r="Q12" i="51" s="1"/>
  <c r="Q13" i="51" s="1"/>
  <c r="Q14" i="51" s="1"/>
  <c r="Q15" i="51" s="1"/>
  <c r="Q16" i="51" s="1"/>
  <c r="Q17" i="51" s="1"/>
  <c r="Q18" i="51" s="1"/>
  <c r="Q19" i="51" s="1"/>
  <c r="Q20" i="51" s="1"/>
  <c r="Q21" i="51" s="1"/>
  <c r="Q22" i="51" s="1"/>
  <c r="R40" i="51"/>
  <c r="T40" i="51" s="1"/>
  <c r="R37" i="51"/>
  <c r="T37" i="51" s="1"/>
  <c r="R30" i="51"/>
  <c r="T30" i="51" s="1"/>
  <c r="R31" i="51"/>
  <c r="T31" i="51" s="1"/>
  <c r="H10" i="51"/>
  <c r="C45" i="51" s="1"/>
  <c r="R38" i="51"/>
  <c r="T38" i="51" s="1"/>
  <c r="R39" i="51"/>
  <c r="T39" i="51" s="1"/>
  <c r="R32" i="51"/>
  <c r="T32" i="51" s="1"/>
  <c r="R33" i="51"/>
  <c r="T33" i="51" s="1"/>
  <c r="E11" i="51"/>
  <c r="R34" i="51"/>
  <c r="T34" i="51" s="1"/>
  <c r="Q10" i="50"/>
  <c r="Q11" i="50" s="1"/>
  <c r="Q12" i="50" s="1"/>
  <c r="Q13" i="50" s="1"/>
  <c r="Q14" i="50" s="1"/>
  <c r="Q15" i="50" s="1"/>
  <c r="Q16" i="50" s="1"/>
  <c r="Q17" i="50" s="1"/>
  <c r="Q18" i="50" s="1"/>
  <c r="Q19" i="50" s="1"/>
  <c r="Q20" i="50" s="1"/>
  <c r="Q21" i="50" s="1"/>
  <c r="Q22" i="50" s="1"/>
  <c r="R29" i="50"/>
  <c r="T29" i="50" s="1"/>
  <c r="R36" i="50"/>
  <c r="T36" i="50" s="1"/>
  <c r="R31" i="50"/>
  <c r="T31" i="50" s="1"/>
  <c r="R30" i="50"/>
  <c r="T30" i="50" s="1"/>
  <c r="R28" i="50"/>
  <c r="T28" i="50" s="1"/>
  <c r="E11" i="50"/>
  <c r="E12" i="50" s="1"/>
  <c r="F28" i="50"/>
  <c r="K10" i="50"/>
  <c r="X17" i="89"/>
  <c r="O20" i="60"/>
  <c r="W19" i="89"/>
  <c r="W22" i="89"/>
  <c r="X20" i="89"/>
  <c r="W14" i="89"/>
  <c r="O16" i="60"/>
  <c r="X16" i="89"/>
  <c r="O15" i="60"/>
  <c r="Q11" i="6"/>
  <c r="W12" i="89"/>
  <c r="X18" i="89"/>
  <c r="O10" i="60"/>
  <c r="X15" i="89"/>
  <c r="M18" i="89"/>
  <c r="Q22" i="6"/>
  <c r="X22" i="89"/>
  <c r="W7" i="89"/>
  <c r="I9" i="60"/>
  <c r="W21" i="89"/>
  <c r="W23" i="89"/>
  <c r="R8" i="89"/>
  <c r="M13" i="89"/>
  <c r="X10" i="89"/>
  <c r="O14" i="60"/>
  <c r="W10" i="89"/>
  <c r="X8" i="89"/>
  <c r="O17" i="60"/>
  <c r="X23" i="89"/>
  <c r="R13" i="89"/>
  <c r="W9" i="89"/>
  <c r="W20" i="89"/>
  <c r="W16" i="89"/>
  <c r="X11" i="89"/>
  <c r="Q17" i="6"/>
  <c r="O13" i="60"/>
  <c r="X21" i="89"/>
  <c r="X14" i="89"/>
  <c r="X12" i="89"/>
  <c r="R18" i="89"/>
  <c r="M8" i="89"/>
  <c r="W6" i="89"/>
  <c r="X19" i="89"/>
  <c r="O19" i="60"/>
  <c r="W17" i="89"/>
  <c r="W11" i="89"/>
  <c r="X9" i="89"/>
  <c r="L9" i="60"/>
  <c r="X6" i="89"/>
  <c r="O21" i="60"/>
  <c r="W15" i="89"/>
  <c r="X13" i="89"/>
  <c r="O11" i="60"/>
  <c r="X7" i="89"/>
  <c r="Y23" i="89" l="1"/>
  <c r="Z23" i="89" s="1"/>
  <c r="Y17" i="89"/>
  <c r="Z17" i="89" s="1"/>
  <c r="Y12" i="89"/>
  <c r="Z12" i="89" s="1"/>
  <c r="Y22" i="89"/>
  <c r="Z22" i="89" s="1"/>
  <c r="Y21" i="89"/>
  <c r="Z21" i="89" s="1"/>
  <c r="Y10" i="89"/>
  <c r="Z10" i="89" s="1"/>
  <c r="Y15" i="89"/>
  <c r="Z15" i="89" s="1"/>
  <c r="Y6" i="89"/>
  <c r="Z6" i="89" s="1"/>
  <c r="Y20" i="89"/>
  <c r="Z20" i="89" s="1"/>
  <c r="Y19" i="89"/>
  <c r="Z19" i="89" s="1"/>
  <c r="Y14" i="89"/>
  <c r="Z14" i="89" s="1"/>
  <c r="Y9" i="89"/>
  <c r="Z9" i="89" s="1"/>
  <c r="Y11" i="89"/>
  <c r="Z11" i="89" s="1"/>
  <c r="Y16" i="89"/>
  <c r="Z16" i="89" s="1"/>
  <c r="Y7" i="89"/>
  <c r="Z7" i="89" s="1"/>
  <c r="Y13" i="89"/>
  <c r="Z13" i="89" s="1"/>
  <c r="Y18" i="89"/>
  <c r="Z18" i="89" s="1"/>
  <c r="Y8" i="89"/>
  <c r="Z8" i="89" s="1"/>
  <c r="U31" i="59" a="1"/>
  <c r="U31" i="59" s="1"/>
  <c r="V31" i="59" s="1"/>
  <c r="O35" i="59"/>
  <c r="U30" i="59" a="1"/>
  <c r="U30" i="59" s="1"/>
  <c r="V30" i="59" s="1"/>
  <c r="U28" i="56" a="1"/>
  <c r="U28" i="56" s="1"/>
  <c r="U35" i="56" a="1"/>
  <c r="U35" i="56" s="1"/>
  <c r="U28" i="58" a="1"/>
  <c r="U28" i="58" s="1"/>
  <c r="U35" i="58" a="1"/>
  <c r="U35" i="58" s="1"/>
  <c r="O33" i="59"/>
  <c r="O36" i="59"/>
  <c r="O31" i="59"/>
  <c r="O30" i="59"/>
  <c r="U40" i="59" a="1"/>
  <c r="U40" i="59" s="1"/>
  <c r="V40" i="59" s="1"/>
  <c r="O29" i="59"/>
  <c r="U38" i="59" a="1"/>
  <c r="U38" i="59" s="1"/>
  <c r="V38" i="59" s="1"/>
  <c r="U35" i="50" a="1"/>
  <c r="U35" i="50" s="1"/>
  <c r="V35" i="50" s="1"/>
  <c r="U28" i="50" a="1"/>
  <c r="U28" i="50" s="1"/>
  <c r="V28" i="50" s="1"/>
  <c r="O39" i="59"/>
  <c r="O34" i="59"/>
  <c r="U37" i="59" a="1"/>
  <c r="U37" i="59" s="1"/>
  <c r="V37" i="59" s="1"/>
  <c r="U36" i="59" a="1"/>
  <c r="U36" i="59" s="1"/>
  <c r="V36" i="59" s="1"/>
  <c r="U28" i="53" a="1"/>
  <c r="U28" i="53" s="1"/>
  <c r="U35" i="53" a="1"/>
  <c r="U35" i="53" s="1"/>
  <c r="T10" i="50"/>
  <c r="O38" i="59"/>
  <c r="O28" i="59"/>
  <c r="O32" i="59"/>
  <c r="O37" i="59"/>
  <c r="T10" i="57"/>
  <c r="U28" i="57" a="1"/>
  <c r="U28" i="57" s="1"/>
  <c r="V28" i="57" s="1"/>
  <c r="U35" i="57" a="1"/>
  <c r="U35" i="57" s="1"/>
  <c r="V35" i="57" s="1"/>
  <c r="U33" i="59" a="1"/>
  <c r="U33" i="59" s="1"/>
  <c r="V33" i="59" s="1"/>
  <c r="U35" i="51" a="1"/>
  <c r="U35" i="51" s="1"/>
  <c r="U28" i="51" a="1"/>
  <c r="U28" i="51" s="1"/>
  <c r="U32" i="59" a="1"/>
  <c r="U32" i="59" s="1"/>
  <c r="V32" i="59" s="1"/>
  <c r="F36" i="59"/>
  <c r="G36" i="59" s="1"/>
  <c r="H11" i="50"/>
  <c r="C52" i="50" s="1"/>
  <c r="F11" i="50"/>
  <c r="R10" i="53"/>
  <c r="Q11" i="53"/>
  <c r="T10" i="53"/>
  <c r="C57" i="53"/>
  <c r="M13" i="59"/>
  <c r="K13" i="59"/>
  <c r="K17" i="59"/>
  <c r="M17" i="59"/>
  <c r="E30" i="59"/>
  <c r="F34" i="59"/>
  <c r="G34" i="59" s="1"/>
  <c r="M14" i="59"/>
  <c r="K14" i="59"/>
  <c r="E29" i="59"/>
  <c r="F33" i="59"/>
  <c r="G33" i="59" s="1"/>
  <c r="E37" i="59"/>
  <c r="F29" i="59"/>
  <c r="G29" i="59" s="1"/>
  <c r="M21" i="59"/>
  <c r="K21" i="59"/>
  <c r="E38" i="59"/>
  <c r="F30" i="59"/>
  <c r="G30" i="59" s="1"/>
  <c r="M18" i="59"/>
  <c r="M11" i="59"/>
  <c r="K11" i="59"/>
  <c r="L11" i="59" s="1"/>
  <c r="M12" i="59"/>
  <c r="K12" i="59"/>
  <c r="F39" i="59"/>
  <c r="G39" i="59" s="1"/>
  <c r="E35" i="59"/>
  <c r="M16" i="59"/>
  <c r="K16" i="59"/>
  <c r="E39" i="59"/>
  <c r="F31" i="59"/>
  <c r="G31" i="59" s="1"/>
  <c r="K18" i="59"/>
  <c r="M22" i="59"/>
  <c r="K22" i="59"/>
  <c r="E36" i="59"/>
  <c r="E31" i="59"/>
  <c r="F35" i="59"/>
  <c r="G35" i="59" s="1"/>
  <c r="G28" i="59"/>
  <c r="E28" i="59"/>
  <c r="F32" i="59"/>
  <c r="G32" i="59" s="1"/>
  <c r="M19" i="59"/>
  <c r="K19" i="59"/>
  <c r="M20" i="59"/>
  <c r="K20" i="59"/>
  <c r="E32" i="59"/>
  <c r="E33" i="59"/>
  <c r="F37" i="59"/>
  <c r="G37" i="59" s="1"/>
  <c r="M15" i="59"/>
  <c r="K15" i="59"/>
  <c r="F38" i="59"/>
  <c r="G38" i="59" s="1"/>
  <c r="E34" i="59"/>
  <c r="F28" i="58"/>
  <c r="K10" i="58"/>
  <c r="T10" i="58"/>
  <c r="V28" i="58"/>
  <c r="H11" i="58"/>
  <c r="C52" i="58" s="1"/>
  <c r="F11" i="58"/>
  <c r="E12" i="58"/>
  <c r="V35" i="58"/>
  <c r="R10" i="57"/>
  <c r="U10" i="57" s="1"/>
  <c r="L10" i="57"/>
  <c r="F35" i="57"/>
  <c r="K17" i="57"/>
  <c r="N17" i="57" s="1"/>
  <c r="T11" i="57"/>
  <c r="H12" i="57"/>
  <c r="C47" i="57" s="1"/>
  <c r="F12" i="57"/>
  <c r="E13" i="57"/>
  <c r="F28" i="56"/>
  <c r="K10" i="56"/>
  <c r="T10" i="56"/>
  <c r="V28" i="56"/>
  <c r="H11" i="56"/>
  <c r="C52" i="56" s="1"/>
  <c r="F11" i="56"/>
  <c r="E12" i="56"/>
  <c r="V35" i="56"/>
  <c r="F28" i="53"/>
  <c r="K10" i="53"/>
  <c r="V28" i="53"/>
  <c r="H11" i="53"/>
  <c r="F11" i="53"/>
  <c r="E12" i="53"/>
  <c r="V35" i="53"/>
  <c r="F28" i="51"/>
  <c r="K10" i="51"/>
  <c r="T10" i="51"/>
  <c r="V28" i="51"/>
  <c r="H11" i="51"/>
  <c r="C52" i="51" s="1"/>
  <c r="F11" i="51"/>
  <c r="E12" i="51"/>
  <c r="V35" i="51"/>
  <c r="R10" i="50"/>
  <c r="U10" i="50" s="1"/>
  <c r="L10" i="50"/>
  <c r="H12" i="50"/>
  <c r="C47" i="50" s="1"/>
  <c r="F12" i="50"/>
  <c r="E13" i="50"/>
  <c r="M7" i="89"/>
  <c r="Q20" i="6"/>
  <c r="M11" i="89"/>
  <c r="M16" i="89"/>
  <c r="N21" i="89"/>
  <c r="Q10" i="6"/>
  <c r="O18" i="60"/>
  <c r="R25" i="6"/>
  <c r="Q14" i="6"/>
  <c r="O12" i="60"/>
  <c r="L16" i="60"/>
  <c r="I16" i="60"/>
  <c r="Z25" i="89" l="1"/>
  <c r="F35" i="50"/>
  <c r="T11" i="50"/>
  <c r="K17" i="50"/>
  <c r="N17" i="50" s="1"/>
  <c r="K22" i="53"/>
  <c r="Q12" i="53"/>
  <c r="T17" i="53"/>
  <c r="C52" i="53"/>
  <c r="L12" i="59"/>
  <c r="L13" i="59" s="1"/>
  <c r="L14" i="59" s="1"/>
  <c r="L15" i="59" s="1"/>
  <c r="L16" i="59" s="1"/>
  <c r="L17" i="59" s="1"/>
  <c r="L18" i="59" s="1"/>
  <c r="L19" i="59" s="1"/>
  <c r="L20" i="59" s="1"/>
  <c r="L21" i="59" s="1"/>
  <c r="L22" i="59" s="1"/>
  <c r="F35" i="58"/>
  <c r="K17" i="58"/>
  <c r="N17" i="58" s="1"/>
  <c r="T11" i="58"/>
  <c r="R10" i="58"/>
  <c r="U10" i="58" s="1"/>
  <c r="L10" i="58"/>
  <c r="H12" i="58"/>
  <c r="C47" i="58" s="1"/>
  <c r="F12" i="58"/>
  <c r="E13" i="58"/>
  <c r="H13" i="57"/>
  <c r="C54" i="57" s="1"/>
  <c r="F13" i="57"/>
  <c r="E14" i="57"/>
  <c r="K12" i="57"/>
  <c r="F30" i="57"/>
  <c r="T12" i="57"/>
  <c r="R17" i="57"/>
  <c r="U11" i="57" s="1"/>
  <c r="L17" i="57"/>
  <c r="F35" i="56"/>
  <c r="K17" i="56"/>
  <c r="N17" i="56" s="1"/>
  <c r="T11" i="56"/>
  <c r="R10" i="56"/>
  <c r="U10" i="56" s="1"/>
  <c r="L10" i="56"/>
  <c r="H12" i="56"/>
  <c r="C47" i="56" s="1"/>
  <c r="F12" i="56"/>
  <c r="E13" i="56"/>
  <c r="F35" i="53"/>
  <c r="H12" i="53"/>
  <c r="F12" i="53"/>
  <c r="E13" i="53"/>
  <c r="U10" i="53"/>
  <c r="L10" i="53"/>
  <c r="F35" i="51"/>
  <c r="K17" i="51"/>
  <c r="N17" i="51" s="1"/>
  <c r="T11" i="51"/>
  <c r="R10" i="51"/>
  <c r="U10" i="51" s="1"/>
  <c r="L10" i="51"/>
  <c r="H12" i="51"/>
  <c r="C47" i="51" s="1"/>
  <c r="F12" i="51"/>
  <c r="E13" i="51"/>
  <c r="H13" i="50"/>
  <c r="C54" i="50" s="1"/>
  <c r="F13" i="50"/>
  <c r="E14" i="50"/>
  <c r="K12" i="50"/>
  <c r="F30" i="50"/>
  <c r="T12" i="50"/>
  <c r="R16" i="89"/>
  <c r="I11" i="60"/>
  <c r="Q23" i="6"/>
  <c r="S21" i="89"/>
  <c r="M19" i="89"/>
  <c r="R11" i="89"/>
  <c r="R7" i="89"/>
  <c r="L17" i="50" l="1"/>
  <c r="R17" i="50"/>
  <c r="U23" i="50" s="1"/>
  <c r="K17" i="53"/>
  <c r="N17" i="53" s="1"/>
  <c r="Q13" i="53"/>
  <c r="T12" i="53"/>
  <c r="C47" i="53"/>
  <c r="H13" i="58"/>
  <c r="C54" i="58" s="1"/>
  <c r="F13" i="58"/>
  <c r="E14" i="58"/>
  <c r="K12" i="58"/>
  <c r="F30" i="58"/>
  <c r="T12" i="58"/>
  <c r="R17" i="58"/>
  <c r="U11" i="58" s="1"/>
  <c r="L17" i="58"/>
  <c r="H14" i="57"/>
  <c r="C49" i="57" s="1"/>
  <c r="F14" i="57"/>
  <c r="E15" i="57"/>
  <c r="R12" i="57"/>
  <c r="U12" i="57" s="1"/>
  <c r="L12" i="57"/>
  <c r="N12" i="57"/>
  <c r="K19" i="57"/>
  <c r="F37" i="57"/>
  <c r="T13" i="57"/>
  <c r="H13" i="56"/>
  <c r="C54" i="56" s="1"/>
  <c r="F13" i="56"/>
  <c r="E14" i="56"/>
  <c r="K12" i="56"/>
  <c r="F30" i="56"/>
  <c r="T12" i="56"/>
  <c r="R17" i="56"/>
  <c r="U11" i="56" s="1"/>
  <c r="L17" i="56"/>
  <c r="H13" i="53"/>
  <c r="F13" i="53"/>
  <c r="E14" i="53"/>
  <c r="L17" i="53"/>
  <c r="H13" i="51"/>
  <c r="C54" i="51" s="1"/>
  <c r="F13" i="51"/>
  <c r="E14" i="51"/>
  <c r="K12" i="51"/>
  <c r="F30" i="51"/>
  <c r="T12" i="51"/>
  <c r="R17" i="51"/>
  <c r="U11" i="51" s="1"/>
  <c r="L17" i="51"/>
  <c r="U11" i="50"/>
  <c r="R12" i="50"/>
  <c r="U12" i="50" s="1"/>
  <c r="L12" i="50"/>
  <c r="N12" i="50"/>
  <c r="H14" i="50"/>
  <c r="C49" i="50" s="1"/>
  <c r="F14" i="50"/>
  <c r="E15" i="50"/>
  <c r="K19" i="50"/>
  <c r="F37" i="50"/>
  <c r="T13" i="50"/>
  <c r="I18" i="60"/>
  <c r="L11" i="60"/>
  <c r="R26" i="6"/>
  <c r="N22" i="89"/>
  <c r="R19" i="89"/>
  <c r="O28" i="50" l="1"/>
  <c r="O28" i="57"/>
  <c r="G28" i="57"/>
  <c r="R12" i="53"/>
  <c r="U12" i="53" s="1"/>
  <c r="K12" i="53"/>
  <c r="C54" i="53"/>
  <c r="F30" i="53"/>
  <c r="Q14" i="53"/>
  <c r="T19" i="53"/>
  <c r="G28" i="50"/>
  <c r="R12" i="58"/>
  <c r="U12" i="58" s="1"/>
  <c r="L12" i="58"/>
  <c r="N12" i="58"/>
  <c r="H14" i="58"/>
  <c r="C49" i="58" s="1"/>
  <c r="F14" i="58"/>
  <c r="E15" i="58"/>
  <c r="K19" i="58"/>
  <c r="F37" i="58"/>
  <c r="T13" i="58"/>
  <c r="R19" i="57"/>
  <c r="U13" i="57" s="1"/>
  <c r="L19" i="57"/>
  <c r="N19" i="57"/>
  <c r="H15" i="57"/>
  <c r="C56" i="57" s="1"/>
  <c r="F15" i="57"/>
  <c r="E16" i="57"/>
  <c r="E28" i="57"/>
  <c r="K14" i="57"/>
  <c r="F32" i="57"/>
  <c r="T14" i="57"/>
  <c r="R12" i="56"/>
  <c r="U12" i="56" s="1"/>
  <c r="L12" i="56"/>
  <c r="N12" i="56"/>
  <c r="H14" i="56"/>
  <c r="C49" i="56" s="1"/>
  <c r="F14" i="56"/>
  <c r="E15" i="56"/>
  <c r="K19" i="56"/>
  <c r="F37" i="56"/>
  <c r="T13" i="56"/>
  <c r="H14" i="53"/>
  <c r="F14" i="53"/>
  <c r="E15" i="53"/>
  <c r="R12" i="51"/>
  <c r="U12" i="51" s="1"/>
  <c r="L12" i="51"/>
  <c r="N12" i="51"/>
  <c r="H14" i="51"/>
  <c r="C49" i="51" s="1"/>
  <c r="F14" i="51"/>
  <c r="E15" i="51"/>
  <c r="K19" i="51"/>
  <c r="F37" i="51"/>
  <c r="T13" i="51"/>
  <c r="R19" i="50"/>
  <c r="U13" i="50" s="1"/>
  <c r="L19" i="50"/>
  <c r="N19" i="50"/>
  <c r="H15" i="50"/>
  <c r="C56" i="50" s="1"/>
  <c r="F15" i="50"/>
  <c r="E16" i="50"/>
  <c r="E28" i="50"/>
  <c r="K14" i="50"/>
  <c r="F32" i="50"/>
  <c r="T14" i="50"/>
  <c r="L18" i="60"/>
  <c r="Q24" i="6"/>
  <c r="R18" i="6"/>
  <c r="S22" i="89"/>
  <c r="R12" i="6"/>
  <c r="N9" i="89"/>
  <c r="N14" i="89"/>
  <c r="L13" i="60"/>
  <c r="M20" i="89"/>
  <c r="I13" i="60"/>
  <c r="O35" i="57" l="1"/>
  <c r="O28" i="56"/>
  <c r="O28" i="51"/>
  <c r="O28" i="58"/>
  <c r="O35" i="50"/>
  <c r="G35" i="57"/>
  <c r="F37" i="53"/>
  <c r="N12" i="53"/>
  <c r="L12" i="53"/>
  <c r="G28" i="51"/>
  <c r="G35" i="50"/>
  <c r="G28" i="58"/>
  <c r="G28" i="56"/>
  <c r="Q15" i="53"/>
  <c r="T14" i="53"/>
  <c r="C49" i="53"/>
  <c r="K19" i="53"/>
  <c r="R19" i="58"/>
  <c r="U13" i="58" s="1"/>
  <c r="L19" i="58"/>
  <c r="N19" i="58"/>
  <c r="H15" i="58"/>
  <c r="C56" i="58" s="1"/>
  <c r="F15" i="58"/>
  <c r="E16" i="58"/>
  <c r="E28" i="58"/>
  <c r="K14" i="58"/>
  <c r="F32" i="58"/>
  <c r="T14" i="58"/>
  <c r="R14" i="57"/>
  <c r="U14" i="57" s="1"/>
  <c r="L14" i="57"/>
  <c r="N14" i="57"/>
  <c r="H16" i="57"/>
  <c r="C51" i="57" s="1"/>
  <c r="F16" i="57"/>
  <c r="E17" i="57"/>
  <c r="E35" i="57"/>
  <c r="K21" i="57"/>
  <c r="F39" i="57"/>
  <c r="T15" i="57"/>
  <c r="R19" i="56"/>
  <c r="U13" i="56" s="1"/>
  <c r="L19" i="56"/>
  <c r="N19" i="56"/>
  <c r="H15" i="56"/>
  <c r="C56" i="56" s="1"/>
  <c r="F15" i="56"/>
  <c r="E16" i="56"/>
  <c r="E28" i="56"/>
  <c r="K14" i="56"/>
  <c r="F32" i="56"/>
  <c r="T14" i="56"/>
  <c r="H15" i="53"/>
  <c r="F15" i="53"/>
  <c r="E16" i="53"/>
  <c r="R19" i="51"/>
  <c r="U13" i="51" s="1"/>
  <c r="L19" i="51"/>
  <c r="N19" i="51"/>
  <c r="H15" i="51"/>
  <c r="C56" i="51" s="1"/>
  <c r="F15" i="51"/>
  <c r="E16" i="51"/>
  <c r="E28" i="51"/>
  <c r="K14" i="51"/>
  <c r="F32" i="51"/>
  <c r="T14" i="51"/>
  <c r="R14" i="50"/>
  <c r="U14" i="50" s="1"/>
  <c r="L14" i="50"/>
  <c r="N14" i="50"/>
  <c r="E35" i="50"/>
  <c r="K21" i="50"/>
  <c r="F39" i="50"/>
  <c r="T15" i="50"/>
  <c r="H16" i="50"/>
  <c r="C51" i="50" s="1"/>
  <c r="F16" i="50"/>
  <c r="E17" i="50"/>
  <c r="N23" i="89"/>
  <c r="R21" i="6"/>
  <c r="N17" i="89"/>
  <c r="R15" i="6"/>
  <c r="R20" i="89"/>
  <c r="I20" i="60"/>
  <c r="S14" i="89"/>
  <c r="R27" i="6"/>
  <c r="S9" i="89"/>
  <c r="N12" i="89"/>
  <c r="L20" i="60"/>
  <c r="O30" i="57" l="1"/>
  <c r="O28" i="53"/>
  <c r="O30" i="50"/>
  <c r="O35" i="58"/>
  <c r="O35" i="51"/>
  <c r="O35" i="56"/>
  <c r="G35" i="56"/>
  <c r="F32" i="53"/>
  <c r="G30" i="57"/>
  <c r="E28" i="53"/>
  <c r="N19" i="53"/>
  <c r="L19" i="53"/>
  <c r="G35" i="51"/>
  <c r="G30" i="50"/>
  <c r="R14" i="53"/>
  <c r="G28" i="53"/>
  <c r="K14" i="53"/>
  <c r="N14" i="53" s="1"/>
  <c r="G35" i="58"/>
  <c r="Q16" i="53"/>
  <c r="T21" i="53"/>
  <c r="C56" i="53"/>
  <c r="R14" i="58"/>
  <c r="U14" i="58" s="1"/>
  <c r="L14" i="58"/>
  <c r="N14" i="58"/>
  <c r="H16" i="58"/>
  <c r="C51" i="58" s="1"/>
  <c r="F16" i="58"/>
  <c r="E17" i="58"/>
  <c r="E35" i="58"/>
  <c r="K21" i="58"/>
  <c r="F39" i="58"/>
  <c r="T15" i="58"/>
  <c r="R21" i="57"/>
  <c r="U15" i="57" s="1"/>
  <c r="L21" i="57"/>
  <c r="N21" i="57"/>
  <c r="H17" i="57"/>
  <c r="C46" i="57" s="1"/>
  <c r="F17" i="57"/>
  <c r="E18" i="57"/>
  <c r="F34" i="57"/>
  <c r="K16" i="57"/>
  <c r="E30" i="57"/>
  <c r="T16" i="57"/>
  <c r="R14" i="56"/>
  <c r="U14" i="56" s="1"/>
  <c r="L14" i="56"/>
  <c r="N14" i="56"/>
  <c r="H16" i="56"/>
  <c r="C51" i="56" s="1"/>
  <c r="F16" i="56"/>
  <c r="E17" i="56"/>
  <c r="E35" i="56"/>
  <c r="K21" i="56"/>
  <c r="F39" i="56"/>
  <c r="T15" i="56"/>
  <c r="H16" i="53"/>
  <c r="F16" i="53"/>
  <c r="E17" i="53"/>
  <c r="R14" i="51"/>
  <c r="U14" i="51" s="1"/>
  <c r="L14" i="51"/>
  <c r="N14" i="51"/>
  <c r="H16" i="51"/>
  <c r="C51" i="51" s="1"/>
  <c r="F16" i="51"/>
  <c r="E17" i="51"/>
  <c r="E35" i="51"/>
  <c r="K21" i="51"/>
  <c r="F39" i="51"/>
  <c r="T15" i="51"/>
  <c r="F34" i="50"/>
  <c r="K16" i="50"/>
  <c r="E30" i="50"/>
  <c r="T16" i="50"/>
  <c r="R21" i="50"/>
  <c r="U15" i="50" s="1"/>
  <c r="L21" i="50"/>
  <c r="N21" i="50"/>
  <c r="H17" i="50"/>
  <c r="C46" i="50" s="1"/>
  <c r="F17" i="50"/>
  <c r="E18" i="50"/>
  <c r="N10" i="89"/>
  <c r="S17" i="89"/>
  <c r="Q25" i="6"/>
  <c r="R13" i="6"/>
  <c r="N6" i="89"/>
  <c r="M21" i="89"/>
  <c r="I15" i="60"/>
  <c r="R9" i="6"/>
  <c r="R19" i="6"/>
  <c r="N15" i="89"/>
  <c r="S12" i="89"/>
  <c r="R16" i="6"/>
  <c r="L15" i="60"/>
  <c r="S23" i="89"/>
  <c r="O21" i="89" l="1"/>
  <c r="P21" i="89" s="1"/>
  <c r="O37" i="50"/>
  <c r="O30" i="58"/>
  <c r="O30" i="51"/>
  <c r="O37" i="57"/>
  <c r="U36" i="57" a="1"/>
  <c r="U36" i="57" s="1"/>
  <c r="V36" i="57" s="1"/>
  <c r="O35" i="53"/>
  <c r="O30" i="56"/>
  <c r="G37" i="57"/>
  <c r="G30" i="56"/>
  <c r="F39" i="53"/>
  <c r="E35" i="53"/>
  <c r="L14" i="53"/>
  <c r="G35" i="53"/>
  <c r="K21" i="53"/>
  <c r="Q17" i="53"/>
  <c r="T16" i="53"/>
  <c r="G37" i="50"/>
  <c r="G30" i="58"/>
  <c r="C51" i="53"/>
  <c r="G30" i="51"/>
  <c r="R21" i="58"/>
  <c r="U15" i="58" s="1"/>
  <c r="L21" i="58"/>
  <c r="N21" i="58"/>
  <c r="H17" i="58"/>
  <c r="C46" i="58" s="1"/>
  <c r="F17" i="58"/>
  <c r="E18" i="58"/>
  <c r="F34" i="58"/>
  <c r="K16" i="58"/>
  <c r="E30" i="58"/>
  <c r="T16" i="58"/>
  <c r="R16" i="57"/>
  <c r="U16" i="57" s="1"/>
  <c r="L16" i="57"/>
  <c r="N16" i="57"/>
  <c r="M17" i="57"/>
  <c r="H18" i="57"/>
  <c r="C53" i="57" s="1"/>
  <c r="F18" i="57"/>
  <c r="E19" i="57"/>
  <c r="F29" i="57"/>
  <c r="K11" i="57"/>
  <c r="E37" i="57"/>
  <c r="T17" i="57"/>
  <c r="R21" i="56"/>
  <c r="U15" i="56" s="1"/>
  <c r="L21" i="56"/>
  <c r="N21" i="56"/>
  <c r="H17" i="56"/>
  <c r="C46" i="56" s="1"/>
  <c r="F17" i="56"/>
  <c r="E18" i="56"/>
  <c r="F34" i="56"/>
  <c r="K16" i="56"/>
  <c r="E30" i="56"/>
  <c r="T16" i="56"/>
  <c r="H17" i="53"/>
  <c r="F17" i="53"/>
  <c r="E18" i="53"/>
  <c r="F34" i="51"/>
  <c r="K16" i="51"/>
  <c r="E30" i="51"/>
  <c r="T16" i="51"/>
  <c r="R21" i="51"/>
  <c r="U15" i="51" s="1"/>
  <c r="L21" i="51"/>
  <c r="N21" i="51"/>
  <c r="H17" i="51"/>
  <c r="C46" i="51" s="1"/>
  <c r="F17" i="51"/>
  <c r="E18" i="51"/>
  <c r="F29" i="50"/>
  <c r="K11" i="50"/>
  <c r="E37" i="50"/>
  <c r="T17" i="50"/>
  <c r="R16" i="50"/>
  <c r="U16" i="50" s="1"/>
  <c r="L16" i="50"/>
  <c r="N16" i="50"/>
  <c r="M17" i="50"/>
  <c r="H18" i="50"/>
  <c r="C53" i="50" s="1"/>
  <c r="F18" i="50"/>
  <c r="E19" i="50"/>
  <c r="S10" i="89"/>
  <c r="N8" i="89"/>
  <c r="S15" i="89"/>
  <c r="R21" i="89"/>
  <c r="L10" i="60"/>
  <c r="S6" i="89"/>
  <c r="R17" i="6"/>
  <c r="I10" i="60"/>
  <c r="N13" i="89"/>
  <c r="R11" i="6"/>
  <c r="R22" i="6"/>
  <c r="N18" i="89"/>
  <c r="T21" i="89" l="1"/>
  <c r="U21" i="89" s="1"/>
  <c r="O18" i="89"/>
  <c r="P18" i="89" s="1"/>
  <c r="O8" i="89"/>
  <c r="P8" i="89" s="1"/>
  <c r="O13" i="89"/>
  <c r="P13" i="89" s="1"/>
  <c r="O37" i="58"/>
  <c r="U36" i="58" a="1"/>
  <c r="U36" i="58" s="1"/>
  <c r="V36" i="58" s="1"/>
  <c r="O32" i="57"/>
  <c r="F34" i="53"/>
  <c r="O30" i="53"/>
  <c r="O37" i="51"/>
  <c r="O32" i="50"/>
  <c r="O37" i="56"/>
  <c r="E30" i="53"/>
  <c r="G32" i="57"/>
  <c r="G37" i="56"/>
  <c r="R16" i="53"/>
  <c r="U16" i="53" s="1"/>
  <c r="G30" i="53"/>
  <c r="K16" i="53"/>
  <c r="G32" i="50"/>
  <c r="G37" i="51"/>
  <c r="G37" i="58"/>
  <c r="C46" i="53"/>
  <c r="Q18" i="53"/>
  <c r="T11" i="53"/>
  <c r="R17" i="53"/>
  <c r="R16" i="58"/>
  <c r="U16" i="58" s="1"/>
  <c r="L16" i="58"/>
  <c r="N16" i="58"/>
  <c r="M17" i="58"/>
  <c r="H18" i="58"/>
  <c r="C53" i="58" s="1"/>
  <c r="F18" i="58"/>
  <c r="E19" i="58"/>
  <c r="F29" i="58"/>
  <c r="K11" i="58"/>
  <c r="E37" i="58"/>
  <c r="T17" i="58"/>
  <c r="R11" i="57"/>
  <c r="U17" i="57" s="1"/>
  <c r="M11" i="57"/>
  <c r="L11" i="57"/>
  <c r="N11" i="57"/>
  <c r="M12" i="57"/>
  <c r="H19" i="57"/>
  <c r="C48" i="57" s="1"/>
  <c r="F19" i="57"/>
  <c r="E20" i="57"/>
  <c r="E32" i="57"/>
  <c r="F36" i="57"/>
  <c r="K18" i="57"/>
  <c r="T18" i="57"/>
  <c r="R16" i="56"/>
  <c r="U16" i="56" s="1"/>
  <c r="L16" i="56"/>
  <c r="N16" i="56"/>
  <c r="M17" i="56"/>
  <c r="H18" i="56"/>
  <c r="C53" i="56" s="1"/>
  <c r="F18" i="56"/>
  <c r="E19" i="56"/>
  <c r="F29" i="56"/>
  <c r="K11" i="56"/>
  <c r="E37" i="56"/>
  <c r="T17" i="56"/>
  <c r="H18" i="53"/>
  <c r="F18" i="53"/>
  <c r="E19" i="53"/>
  <c r="F29" i="51"/>
  <c r="K11" i="51"/>
  <c r="E37" i="51"/>
  <c r="T17" i="51"/>
  <c r="R16" i="51"/>
  <c r="U16" i="51" s="1"/>
  <c r="L16" i="51"/>
  <c r="N16" i="51"/>
  <c r="M17" i="51"/>
  <c r="H18" i="51"/>
  <c r="C53" i="51" s="1"/>
  <c r="F18" i="51"/>
  <c r="E19" i="51"/>
  <c r="H19" i="50"/>
  <c r="C48" i="50" s="1"/>
  <c r="F19" i="50"/>
  <c r="E20" i="50"/>
  <c r="R11" i="50"/>
  <c r="U17" i="50" s="1"/>
  <c r="L11" i="50"/>
  <c r="M11" i="50"/>
  <c r="N11" i="50"/>
  <c r="M12" i="50"/>
  <c r="E32" i="50"/>
  <c r="F36" i="50"/>
  <c r="K18" i="50"/>
  <c r="T18" i="50"/>
  <c r="N16" i="89"/>
  <c r="S13" i="89"/>
  <c r="R10" i="6"/>
  <c r="S18" i="89"/>
  <c r="L17" i="60"/>
  <c r="N11" i="89"/>
  <c r="I17" i="60"/>
  <c r="R14" i="6"/>
  <c r="Q26" i="6"/>
  <c r="M22" i="89"/>
  <c r="N7" i="89"/>
  <c r="R20" i="6"/>
  <c r="S8" i="89"/>
  <c r="O16" i="89" l="1"/>
  <c r="P16" i="89" s="1"/>
  <c r="O7" i="89"/>
  <c r="P7" i="89" s="1"/>
  <c r="O11" i="89"/>
  <c r="P11" i="89" s="1"/>
  <c r="O22" i="89"/>
  <c r="P22" i="89" s="1"/>
  <c r="T13" i="89"/>
  <c r="U13" i="89" s="1"/>
  <c r="T18" i="89"/>
  <c r="U18" i="89" s="1"/>
  <c r="T8" i="89"/>
  <c r="U8" i="89" s="1"/>
  <c r="O39" i="57"/>
  <c r="O31" i="57"/>
  <c r="O32" i="51"/>
  <c r="O37" i="53"/>
  <c r="O32" i="56"/>
  <c r="O39" i="50"/>
  <c r="O31" i="50"/>
  <c r="O32" i="58"/>
  <c r="G39" i="57"/>
  <c r="G32" i="56"/>
  <c r="E37" i="53"/>
  <c r="K11" i="53"/>
  <c r="M11" i="53" s="1"/>
  <c r="Q19" i="53"/>
  <c r="T18" i="53"/>
  <c r="R11" i="53"/>
  <c r="U17" i="53" s="1"/>
  <c r="G37" i="53"/>
  <c r="F29" i="53"/>
  <c r="C53" i="53"/>
  <c r="G32" i="58"/>
  <c r="G39" i="50"/>
  <c r="G32" i="51"/>
  <c r="R11" i="58"/>
  <c r="U17" i="58" s="1"/>
  <c r="M11" i="58"/>
  <c r="L11" i="58"/>
  <c r="N11" i="58"/>
  <c r="M12" i="58"/>
  <c r="H19" i="58"/>
  <c r="C48" i="58" s="1"/>
  <c r="F19" i="58"/>
  <c r="E20" i="58"/>
  <c r="E32" i="58"/>
  <c r="F36" i="58"/>
  <c r="K18" i="58"/>
  <c r="T18" i="58"/>
  <c r="R18" i="57"/>
  <c r="U18" i="57" s="1"/>
  <c r="M18" i="57"/>
  <c r="L18" i="57"/>
  <c r="N18" i="57"/>
  <c r="M19" i="57"/>
  <c r="H20" i="57"/>
  <c r="C55" i="57" s="1"/>
  <c r="F20" i="57"/>
  <c r="E21" i="57"/>
  <c r="E39" i="57"/>
  <c r="K13" i="57"/>
  <c r="F31" i="57"/>
  <c r="G31" i="57" s="1"/>
  <c r="T19" i="57"/>
  <c r="E31" i="57"/>
  <c r="R11" i="56"/>
  <c r="U17" i="56" s="1"/>
  <c r="M11" i="56"/>
  <c r="L11" i="56"/>
  <c r="N11" i="56"/>
  <c r="M12" i="56"/>
  <c r="H19" i="56"/>
  <c r="C48" i="56" s="1"/>
  <c r="F19" i="56"/>
  <c r="E20" i="56"/>
  <c r="E32" i="56"/>
  <c r="F36" i="56"/>
  <c r="K18" i="56"/>
  <c r="T18" i="56"/>
  <c r="H19" i="53"/>
  <c r="F19" i="53"/>
  <c r="E32" i="53"/>
  <c r="F36" i="53"/>
  <c r="G36" i="53" s="1"/>
  <c r="H19" i="51"/>
  <c r="C48" i="51" s="1"/>
  <c r="F19" i="51"/>
  <c r="E20" i="51"/>
  <c r="R11" i="51"/>
  <c r="U17" i="51" s="1"/>
  <c r="M11" i="51"/>
  <c r="L11" i="51"/>
  <c r="N11" i="51"/>
  <c r="M12" i="51"/>
  <c r="E32" i="51"/>
  <c r="F36" i="51"/>
  <c r="K18" i="51"/>
  <c r="T18" i="51"/>
  <c r="R18" i="50"/>
  <c r="U18" i="50" s="1"/>
  <c r="L18" i="50"/>
  <c r="M18" i="50"/>
  <c r="N18" i="50"/>
  <c r="M19" i="50"/>
  <c r="H20" i="50"/>
  <c r="C55" i="50" s="1"/>
  <c r="F20" i="50"/>
  <c r="E21" i="50"/>
  <c r="E39" i="50"/>
  <c r="K13" i="50"/>
  <c r="F31" i="50"/>
  <c r="G31" i="50" s="1"/>
  <c r="T19" i="50"/>
  <c r="E31" i="50"/>
  <c r="M14" i="89"/>
  <c r="M9" i="89"/>
  <c r="Q12" i="6"/>
  <c r="Q18" i="6"/>
  <c r="S16" i="89"/>
  <c r="S11" i="89"/>
  <c r="S7" i="89"/>
  <c r="R22" i="89"/>
  <c r="L12" i="60"/>
  <c r="R23" i="6"/>
  <c r="I12" i="60"/>
  <c r="N19" i="89"/>
  <c r="T7" i="89" l="1"/>
  <c r="U7" i="89" s="1"/>
  <c r="T22" i="89"/>
  <c r="U22" i="89" s="1"/>
  <c r="T16" i="89"/>
  <c r="U16" i="89" s="1"/>
  <c r="T11" i="89"/>
  <c r="U11" i="89" s="1"/>
  <c r="O14" i="89"/>
  <c r="P14" i="89" s="1"/>
  <c r="O9" i="89"/>
  <c r="P9" i="89" s="1"/>
  <c r="O19" i="89"/>
  <c r="P19" i="89" s="1"/>
  <c r="O34" i="57"/>
  <c r="O38" i="57"/>
  <c r="O39" i="56"/>
  <c r="O31" i="56"/>
  <c r="O34" i="50"/>
  <c r="O38" i="50"/>
  <c r="O32" i="53"/>
  <c r="O36" i="53"/>
  <c r="O39" i="51"/>
  <c r="O31" i="51"/>
  <c r="O39" i="58"/>
  <c r="O31" i="58"/>
  <c r="L11" i="53"/>
  <c r="M12" i="53"/>
  <c r="N11" i="53"/>
  <c r="G39" i="56"/>
  <c r="G34" i="57"/>
  <c r="Q20" i="53"/>
  <c r="T13" i="53"/>
  <c r="R19" i="53"/>
  <c r="G39" i="51"/>
  <c r="C48" i="53"/>
  <c r="G34" i="50"/>
  <c r="G39" i="58"/>
  <c r="R18" i="53"/>
  <c r="G32" i="53"/>
  <c r="K18" i="53"/>
  <c r="R18" i="58"/>
  <c r="U18" i="58" s="1"/>
  <c r="M18" i="58"/>
  <c r="L18" i="58"/>
  <c r="N18" i="58"/>
  <c r="M19" i="58"/>
  <c r="H20" i="58"/>
  <c r="C55" i="58" s="1"/>
  <c r="F20" i="58"/>
  <c r="E21" i="58"/>
  <c r="E39" i="58"/>
  <c r="K13" i="58"/>
  <c r="F31" i="58"/>
  <c r="G31" i="58" s="1"/>
  <c r="T19" i="58"/>
  <c r="E31" i="58"/>
  <c r="R13" i="57"/>
  <c r="U19" i="57" s="1"/>
  <c r="M13" i="57"/>
  <c r="L13" i="57"/>
  <c r="N13" i="57"/>
  <c r="M14" i="57"/>
  <c r="H21" i="57"/>
  <c r="C50" i="57" s="1"/>
  <c r="F21" i="57"/>
  <c r="E22" i="57"/>
  <c r="E34" i="57"/>
  <c r="K20" i="57"/>
  <c r="F38" i="57"/>
  <c r="G38" i="57" s="1"/>
  <c r="T20" i="57"/>
  <c r="E38" i="57"/>
  <c r="R18" i="56"/>
  <c r="U18" i="56" s="1"/>
  <c r="M18" i="56"/>
  <c r="L18" i="56"/>
  <c r="N18" i="56"/>
  <c r="M19" i="56"/>
  <c r="H20" i="56"/>
  <c r="C55" i="56" s="1"/>
  <c r="F20" i="56"/>
  <c r="E21" i="56"/>
  <c r="E39" i="56"/>
  <c r="K13" i="56"/>
  <c r="F31" i="56"/>
  <c r="G31" i="56" s="1"/>
  <c r="T19" i="56"/>
  <c r="E31" i="56"/>
  <c r="H20" i="53"/>
  <c r="F20" i="53"/>
  <c r="R18" i="51"/>
  <c r="U18" i="51" s="1"/>
  <c r="M18" i="51"/>
  <c r="L18" i="51"/>
  <c r="N18" i="51"/>
  <c r="M19" i="51"/>
  <c r="H20" i="51"/>
  <c r="C55" i="51" s="1"/>
  <c r="F20" i="51"/>
  <c r="E21" i="51"/>
  <c r="E39" i="51"/>
  <c r="K13" i="51"/>
  <c r="F31" i="51"/>
  <c r="G31" i="51" s="1"/>
  <c r="T19" i="51"/>
  <c r="E31" i="51"/>
  <c r="H21" i="50"/>
  <c r="C50" i="50" s="1"/>
  <c r="F21" i="50"/>
  <c r="E22" i="50"/>
  <c r="E23" i="50" s="1"/>
  <c r="R13" i="50"/>
  <c r="U19" i="50" s="1"/>
  <c r="L13" i="50"/>
  <c r="M13" i="50"/>
  <c r="N13" i="50"/>
  <c r="M14" i="50"/>
  <c r="E34" i="50"/>
  <c r="K20" i="50"/>
  <c r="F38" i="50"/>
  <c r="G38" i="50" s="1"/>
  <c r="T20" i="50"/>
  <c r="E38" i="50"/>
  <c r="L19" i="60"/>
  <c r="Q27" i="6"/>
  <c r="M17" i="89"/>
  <c r="S19" i="89"/>
  <c r="Q15" i="6"/>
  <c r="I19" i="60"/>
  <c r="R9" i="89"/>
  <c r="M12" i="89"/>
  <c r="R14" i="89"/>
  <c r="M23" i="89"/>
  <c r="Q21" i="6"/>
  <c r="O17" i="89" l="1"/>
  <c r="P17" i="89" s="1"/>
  <c r="O23" i="89"/>
  <c r="P23" i="89" s="1"/>
  <c r="O12" i="89"/>
  <c r="P12" i="89" s="1"/>
  <c r="T14" i="89"/>
  <c r="U14" i="89" s="1"/>
  <c r="T9" i="89"/>
  <c r="U9" i="89" s="1"/>
  <c r="T19" i="89"/>
  <c r="U19" i="89" s="1"/>
  <c r="O34" i="58"/>
  <c r="O38" i="58"/>
  <c r="O29" i="57"/>
  <c r="O33" i="57"/>
  <c r="U39" i="57" a="1"/>
  <c r="U39" i="57" s="1"/>
  <c r="V39" i="57" s="1"/>
  <c r="U30" i="57" a="1"/>
  <c r="U30" i="57" s="1"/>
  <c r="V30" i="57" s="1"/>
  <c r="U31" i="57" a="1"/>
  <c r="U31" i="57" s="1"/>
  <c r="U33" i="57" a="1"/>
  <c r="U33" i="57" s="1"/>
  <c r="V33" i="57" s="1"/>
  <c r="O34" i="56"/>
  <c r="O38" i="56"/>
  <c r="O34" i="51"/>
  <c r="O38" i="51"/>
  <c r="F23" i="50"/>
  <c r="H23" i="50"/>
  <c r="O29" i="50"/>
  <c r="O33" i="50"/>
  <c r="O39" i="53"/>
  <c r="O31" i="53"/>
  <c r="G34" i="56"/>
  <c r="G29" i="57"/>
  <c r="E39" i="53"/>
  <c r="F31" i="53"/>
  <c r="G31" i="53" s="1"/>
  <c r="G29" i="50"/>
  <c r="Q21" i="53"/>
  <c r="T20" i="53"/>
  <c r="M19" i="53"/>
  <c r="N18" i="53"/>
  <c r="G34" i="58"/>
  <c r="L18" i="53"/>
  <c r="M18" i="53"/>
  <c r="R13" i="53"/>
  <c r="U19" i="53" s="1"/>
  <c r="G39" i="53"/>
  <c r="K13" i="53"/>
  <c r="M13" i="53" s="1"/>
  <c r="E31" i="53"/>
  <c r="G34" i="51"/>
  <c r="R13" i="58"/>
  <c r="U19" i="58" s="1"/>
  <c r="M13" i="58"/>
  <c r="L13" i="58"/>
  <c r="N13" i="58"/>
  <c r="M14" i="58"/>
  <c r="H21" i="58"/>
  <c r="C50" i="58" s="1"/>
  <c r="F21" i="58"/>
  <c r="E22" i="58"/>
  <c r="E34" i="58"/>
  <c r="K20" i="58"/>
  <c r="F38" i="58"/>
  <c r="G38" i="58" s="1"/>
  <c r="T20" i="58"/>
  <c r="E38" i="58"/>
  <c r="R20" i="57"/>
  <c r="U20" i="57" s="1"/>
  <c r="M20" i="57"/>
  <c r="L20" i="57"/>
  <c r="N20" i="57"/>
  <c r="M21" i="57"/>
  <c r="H22" i="57"/>
  <c r="C57" i="57" s="1"/>
  <c r="U40" i="57" s="1" a="1"/>
  <c r="U40" i="57" s="1"/>
  <c r="V40" i="57" s="1"/>
  <c r="F22" i="57"/>
  <c r="F33" i="57"/>
  <c r="G33" i="57" s="1"/>
  <c r="K15" i="57"/>
  <c r="E29" i="57"/>
  <c r="T21" i="57"/>
  <c r="E33" i="57"/>
  <c r="R13" i="56"/>
  <c r="U19" i="56" s="1"/>
  <c r="M13" i="56"/>
  <c r="L13" i="56"/>
  <c r="N13" i="56"/>
  <c r="M14" i="56"/>
  <c r="H21" i="56"/>
  <c r="C50" i="56" s="1"/>
  <c r="F21" i="56"/>
  <c r="E22" i="56"/>
  <c r="E34" i="56"/>
  <c r="K20" i="56"/>
  <c r="F38" i="56"/>
  <c r="G38" i="56" s="1"/>
  <c r="T20" i="56"/>
  <c r="E38" i="56"/>
  <c r="U18" i="53"/>
  <c r="U11" i="53"/>
  <c r="H21" i="53"/>
  <c r="F21" i="53"/>
  <c r="R13" i="51"/>
  <c r="U19" i="51" s="1"/>
  <c r="M13" i="51"/>
  <c r="L13" i="51"/>
  <c r="N13" i="51"/>
  <c r="M14" i="51"/>
  <c r="H21" i="51"/>
  <c r="C50" i="51" s="1"/>
  <c r="F21" i="51"/>
  <c r="E22" i="51"/>
  <c r="E23" i="51" s="1"/>
  <c r="H23" i="51" s="1"/>
  <c r="E34" i="51"/>
  <c r="K20" i="51"/>
  <c r="F38" i="51"/>
  <c r="G38" i="51" s="1"/>
  <c r="T20" i="51"/>
  <c r="E38" i="51"/>
  <c r="L20" i="50"/>
  <c r="R20" i="50"/>
  <c r="U20" i="50" s="1"/>
  <c r="M20" i="50"/>
  <c r="N20" i="50"/>
  <c r="M21" i="50"/>
  <c r="H22" i="50"/>
  <c r="C57" i="50" s="1"/>
  <c r="F22" i="50"/>
  <c r="F33" i="50"/>
  <c r="G33" i="50" s="1"/>
  <c r="K15" i="50"/>
  <c r="E29" i="50"/>
  <c r="T21" i="50"/>
  <c r="E33" i="50"/>
  <c r="L14" i="60"/>
  <c r="Q19" i="6"/>
  <c r="Q9" i="6"/>
  <c r="R24" i="6"/>
  <c r="M10" i="89"/>
  <c r="N20" i="89"/>
  <c r="M15" i="89"/>
  <c r="Q13" i="6"/>
  <c r="Q16" i="6"/>
  <c r="M6" i="89"/>
  <c r="O15" i="89" l="1"/>
  <c r="P15" i="89" s="1"/>
  <c r="O20" i="89"/>
  <c r="P20" i="89" s="1"/>
  <c r="O10" i="89"/>
  <c r="P10" i="89" s="1"/>
  <c r="O6" i="89"/>
  <c r="P6" i="89" s="1"/>
  <c r="O36" i="50"/>
  <c r="U32" i="57" a="1"/>
  <c r="U32" i="57" s="1"/>
  <c r="V32" i="57" s="1"/>
  <c r="O29" i="58"/>
  <c r="O33" i="58"/>
  <c r="U39" i="58" a="1"/>
  <c r="U39" i="58" s="1"/>
  <c r="V39" i="58" s="1"/>
  <c r="U33" i="58" a="1"/>
  <c r="U33" i="58" s="1"/>
  <c r="V33" i="58" s="1"/>
  <c r="U30" i="58" a="1"/>
  <c r="U30" i="58" s="1"/>
  <c r="V30" i="58" s="1"/>
  <c r="U29" i="50" a="1"/>
  <c r="U29" i="50" s="1"/>
  <c r="V29" i="50" s="1"/>
  <c r="U38" i="50" a="1"/>
  <c r="U38" i="50" s="1"/>
  <c r="V38" i="50" s="1"/>
  <c r="U31" i="50" a="1"/>
  <c r="U31" i="50" s="1"/>
  <c r="O36" i="57"/>
  <c r="O29" i="56"/>
  <c r="O33" i="56"/>
  <c r="U36" i="56" a="1"/>
  <c r="U36" i="56" s="1"/>
  <c r="V36" i="56" s="1"/>
  <c r="U38" i="56" a="1"/>
  <c r="U38" i="56" s="1"/>
  <c r="V38" i="56" s="1"/>
  <c r="U39" i="56" a="1"/>
  <c r="U39" i="56" s="1"/>
  <c r="V39" i="56" s="1"/>
  <c r="U33" i="56" a="1"/>
  <c r="U33" i="56" s="1"/>
  <c r="V33" i="56" s="1"/>
  <c r="U36" i="50" a="1"/>
  <c r="U36" i="50" s="1"/>
  <c r="V36" i="50" s="1"/>
  <c r="U33" i="50" a="1"/>
  <c r="U33" i="50" s="1"/>
  <c r="V33" i="50" s="1"/>
  <c r="U37" i="57" a="1"/>
  <c r="U37" i="57" s="1"/>
  <c r="V37" i="57" s="1"/>
  <c r="U38" i="57" a="1"/>
  <c r="U38" i="57" s="1"/>
  <c r="V38" i="57" s="1"/>
  <c r="U29" i="57" a="1"/>
  <c r="U29" i="57" s="1"/>
  <c r="V29" i="57" s="1"/>
  <c r="U37" i="50" a="1"/>
  <c r="U37" i="50" s="1"/>
  <c r="V37" i="50" s="1"/>
  <c r="U34" i="57" a="1"/>
  <c r="U34" i="57" s="1"/>
  <c r="V34" i="57" s="1"/>
  <c r="U34" i="50" a="1"/>
  <c r="U34" i="50" s="1"/>
  <c r="V34" i="50" s="1"/>
  <c r="U32" i="50" a="1"/>
  <c r="U32" i="50" s="1"/>
  <c r="V32" i="50" s="1"/>
  <c r="U40" i="50" a="1"/>
  <c r="U40" i="50" s="1"/>
  <c r="V40" i="50" s="1"/>
  <c r="U39" i="50" a="1"/>
  <c r="U39" i="50" s="1"/>
  <c r="V39" i="50" s="1"/>
  <c r="O29" i="51"/>
  <c r="O33" i="51"/>
  <c r="U33" i="51" a="1"/>
  <c r="U33" i="51" s="1"/>
  <c r="V33" i="51" s="1"/>
  <c r="U40" i="51" a="1"/>
  <c r="U40" i="51" s="1"/>
  <c r="V40" i="51" s="1"/>
  <c r="U30" i="51" a="1"/>
  <c r="U30" i="51" s="1"/>
  <c r="V30" i="51" s="1"/>
  <c r="U31" i="51" a="1"/>
  <c r="U31" i="51" s="1"/>
  <c r="U29" i="51" a="1"/>
  <c r="U29" i="51" s="1"/>
  <c r="U30" i="50" a="1"/>
  <c r="U30" i="50" s="1"/>
  <c r="V30" i="50" s="1"/>
  <c r="N13" i="53"/>
  <c r="G29" i="56"/>
  <c r="G36" i="57"/>
  <c r="G36" i="50"/>
  <c r="G29" i="51"/>
  <c r="M14" i="53"/>
  <c r="L13" i="53"/>
  <c r="C55" i="53"/>
  <c r="G29" i="58"/>
  <c r="Q22" i="53"/>
  <c r="T15" i="53"/>
  <c r="R21" i="53"/>
  <c r="R20" i="58"/>
  <c r="U20" i="58" s="1"/>
  <c r="M20" i="58"/>
  <c r="L20" i="58"/>
  <c r="N20" i="58"/>
  <c r="M21" i="58"/>
  <c r="H22" i="58"/>
  <c r="C57" i="58" s="1"/>
  <c r="U32" i="58" s="1" a="1"/>
  <c r="U32" i="58" s="1"/>
  <c r="V32" i="58" s="1"/>
  <c r="F22" i="58"/>
  <c r="F33" i="58"/>
  <c r="G33" i="58" s="1"/>
  <c r="K15" i="58"/>
  <c r="E29" i="58"/>
  <c r="T21" i="58"/>
  <c r="E33" i="58"/>
  <c r="R15" i="57"/>
  <c r="U21" i="57" s="1"/>
  <c r="M15" i="57"/>
  <c r="L15" i="57"/>
  <c r="N15" i="57"/>
  <c r="M16" i="57"/>
  <c r="K22" i="57"/>
  <c r="E36" i="57"/>
  <c r="T22" i="57"/>
  <c r="V31" i="57"/>
  <c r="R20" i="56"/>
  <c r="U20" i="56" s="1"/>
  <c r="M20" i="56"/>
  <c r="L20" i="56"/>
  <c r="N20" i="56"/>
  <c r="M21" i="56"/>
  <c r="H22" i="56"/>
  <c r="C57" i="56" s="1"/>
  <c r="F22" i="56"/>
  <c r="F33" i="56"/>
  <c r="G33" i="56" s="1"/>
  <c r="K15" i="56"/>
  <c r="E29" i="56"/>
  <c r="T21" i="56"/>
  <c r="E33" i="56"/>
  <c r="R20" i="53"/>
  <c r="H22" i="53"/>
  <c r="F22" i="53"/>
  <c r="R20" i="51"/>
  <c r="U20" i="51" s="1"/>
  <c r="M20" i="51"/>
  <c r="L20" i="51"/>
  <c r="N20" i="51"/>
  <c r="M21" i="51"/>
  <c r="H22" i="51"/>
  <c r="C57" i="51" s="1"/>
  <c r="U37" i="51" s="1" a="1"/>
  <c r="U37" i="51" s="1"/>
  <c r="V37" i="51" s="1"/>
  <c r="F22" i="51"/>
  <c r="F33" i="51"/>
  <c r="G33" i="51" s="1"/>
  <c r="K15" i="51"/>
  <c r="E29" i="51"/>
  <c r="T21" i="51"/>
  <c r="E33" i="51"/>
  <c r="R15" i="50"/>
  <c r="U21" i="50" s="1"/>
  <c r="L15" i="50"/>
  <c r="M15" i="50"/>
  <c r="N15" i="50"/>
  <c r="M16" i="50"/>
  <c r="K22" i="50"/>
  <c r="E36" i="50"/>
  <c r="T22" i="50"/>
  <c r="V31" i="50"/>
  <c r="R17" i="89"/>
  <c r="L21" i="60"/>
  <c r="I14" i="60"/>
  <c r="R23" i="89"/>
  <c r="R12" i="89"/>
  <c r="I21" i="60"/>
  <c r="T17" i="89" l="1"/>
  <c r="U17" i="89" s="1"/>
  <c r="T12" i="89"/>
  <c r="U12" i="89" s="1"/>
  <c r="T23" i="89"/>
  <c r="U23" i="89" s="1"/>
  <c r="U29" i="58" a="1"/>
  <c r="U29" i="58" s="1"/>
  <c r="V29" i="58" s="1"/>
  <c r="U32" i="51" a="1"/>
  <c r="U32" i="51" s="1"/>
  <c r="V32" i="51" s="1"/>
  <c r="O36" i="56"/>
  <c r="U40" i="56" a="1"/>
  <c r="U40" i="56" s="1"/>
  <c r="V40" i="56" s="1"/>
  <c r="U38" i="58" a="1"/>
  <c r="U38" i="58" s="1"/>
  <c r="V38" i="58" s="1"/>
  <c r="U39" i="51" a="1"/>
  <c r="U39" i="51" s="1"/>
  <c r="V39" i="51" s="1"/>
  <c r="U37" i="58" a="1"/>
  <c r="U37" i="58" s="1"/>
  <c r="V37" i="58" s="1"/>
  <c r="O34" i="53"/>
  <c r="O38" i="53"/>
  <c r="U38" i="51" a="1"/>
  <c r="U38" i="51" s="1"/>
  <c r="V38" i="51" s="1"/>
  <c r="U29" i="56" a="1"/>
  <c r="U29" i="56" s="1"/>
  <c r="V29" i="56" s="1"/>
  <c r="U34" i="56" a="1"/>
  <c r="U34" i="56" s="1"/>
  <c r="V34" i="56" s="1"/>
  <c r="P25" i="89"/>
  <c r="U31" i="56" a="1"/>
  <c r="U31" i="56" s="1"/>
  <c r="V31" i="56" s="1"/>
  <c r="O36" i="51"/>
  <c r="U32" i="56" a="1"/>
  <c r="U32" i="56" s="1"/>
  <c r="V32" i="56" s="1"/>
  <c r="U34" i="58" a="1"/>
  <c r="U34" i="58" s="1"/>
  <c r="V34" i="58" s="1"/>
  <c r="U36" i="51" a="1"/>
  <c r="U36" i="51" s="1"/>
  <c r="V36" i="51" s="1"/>
  <c r="U34" i="51" a="1"/>
  <c r="U34" i="51" s="1"/>
  <c r="V34" i="51" s="1"/>
  <c r="U30" i="56" a="1"/>
  <c r="U30" i="56" s="1"/>
  <c r="V30" i="56" s="1"/>
  <c r="O36" i="58"/>
  <c r="U40" i="58" a="1"/>
  <c r="U40" i="58" s="1"/>
  <c r="V40" i="58" s="1"/>
  <c r="U37" i="56" a="1"/>
  <c r="U37" i="56" s="1"/>
  <c r="V37" i="56" s="1"/>
  <c r="U31" i="58" a="1"/>
  <c r="U31" i="58" s="1"/>
  <c r="V31" i="58" s="1"/>
  <c r="G36" i="56"/>
  <c r="G36" i="58"/>
  <c r="T22" i="53"/>
  <c r="R22" i="53"/>
  <c r="C50" i="53"/>
  <c r="G34" i="53"/>
  <c r="K20" i="53"/>
  <c r="G36" i="51"/>
  <c r="R15" i="58"/>
  <c r="U21" i="58" s="1"/>
  <c r="M15" i="58"/>
  <c r="L15" i="58"/>
  <c r="N15" i="58"/>
  <c r="M16" i="58"/>
  <c r="K22" i="58"/>
  <c r="E36" i="58"/>
  <c r="T22" i="58"/>
  <c r="R22" i="57"/>
  <c r="U22" i="57" s="1"/>
  <c r="M22" i="57"/>
  <c r="L22" i="57"/>
  <c r="N22" i="57"/>
  <c r="R15" i="56"/>
  <c r="U21" i="56" s="1"/>
  <c r="M15" i="56"/>
  <c r="L15" i="56"/>
  <c r="N15" i="56"/>
  <c r="M16" i="56"/>
  <c r="K22" i="56"/>
  <c r="E36" i="56"/>
  <c r="T22" i="56"/>
  <c r="L21" i="53"/>
  <c r="N21" i="53"/>
  <c r="E38" i="53"/>
  <c r="F38" i="53"/>
  <c r="G38" i="53" s="1"/>
  <c r="E34" i="53"/>
  <c r="E36" i="53"/>
  <c r="R15" i="51"/>
  <c r="U21" i="51" s="1"/>
  <c r="M15" i="51"/>
  <c r="L15" i="51"/>
  <c r="N15" i="51"/>
  <c r="M16" i="51"/>
  <c r="K22" i="51"/>
  <c r="E36" i="51"/>
  <c r="T22" i="51"/>
  <c r="V31" i="51"/>
  <c r="V29" i="51"/>
  <c r="R22" i="50"/>
  <c r="U22" i="50" s="1"/>
  <c r="L22" i="50"/>
  <c r="M22" i="50"/>
  <c r="N22" i="50"/>
  <c r="S20" i="89"/>
  <c r="R6" i="89"/>
  <c r="R15" i="89"/>
  <c r="R10" i="89"/>
  <c r="T20" i="89" l="1"/>
  <c r="U20" i="89" s="1"/>
  <c r="T15" i="89"/>
  <c r="U15" i="89" s="1"/>
  <c r="T6" i="89"/>
  <c r="U6" i="89" s="1"/>
  <c r="T10" i="89"/>
  <c r="U10" i="89" s="1"/>
  <c r="O29" i="53"/>
  <c r="O33" i="53"/>
  <c r="U30" i="53" a="1"/>
  <c r="U30" i="53" s="1"/>
  <c r="V30" i="53" s="1"/>
  <c r="U33" i="53" a="1"/>
  <c r="U33" i="53" s="1"/>
  <c r="V33" i="53" s="1"/>
  <c r="U36" i="53" a="1"/>
  <c r="U36" i="53" s="1"/>
  <c r="V36" i="53" s="1"/>
  <c r="U34" i="53" a="1"/>
  <c r="U34" i="53" s="1"/>
  <c r="V34" i="53" s="1"/>
  <c r="U29" i="53" a="1"/>
  <c r="U29" i="53" s="1"/>
  <c r="V29" i="53" s="1"/>
  <c r="U37" i="53" a="1"/>
  <c r="U37" i="53" s="1"/>
  <c r="V37" i="53" s="1"/>
  <c r="U39" i="53" a="1"/>
  <c r="U39" i="53" s="1"/>
  <c r="V39" i="53" s="1"/>
  <c r="U40" i="53" a="1"/>
  <c r="U40" i="53" s="1"/>
  <c r="V40" i="53" s="1"/>
  <c r="U31" i="53" a="1"/>
  <c r="U31" i="53" s="1"/>
  <c r="V31" i="53" s="1"/>
  <c r="U32" i="53" a="1"/>
  <c r="U32" i="53" s="1"/>
  <c r="V32" i="53" s="1"/>
  <c r="U38" i="53" a="1"/>
  <c r="U38" i="53" s="1"/>
  <c r="V38" i="53" s="1"/>
  <c r="G29" i="53"/>
  <c r="K15" i="53"/>
  <c r="R15" i="53"/>
  <c r="R22" i="58"/>
  <c r="U22" i="58" s="1"/>
  <c r="M22" i="58"/>
  <c r="L22" i="58"/>
  <c r="N22" i="58"/>
  <c r="R22" i="56"/>
  <c r="U22" i="56" s="1"/>
  <c r="M22" i="56"/>
  <c r="L22" i="56"/>
  <c r="N22" i="56"/>
  <c r="N16" i="53"/>
  <c r="L16" i="53"/>
  <c r="M17" i="53"/>
  <c r="E33" i="53"/>
  <c r="E29" i="53"/>
  <c r="F33" i="53"/>
  <c r="G33" i="53" s="1"/>
  <c r="M21" i="53"/>
  <c r="L20" i="53"/>
  <c r="N20" i="53"/>
  <c r="M20" i="53"/>
  <c r="U15" i="53"/>
  <c r="M22" i="53"/>
  <c r="L22" i="53"/>
  <c r="N22" i="53"/>
  <c r="R22" i="51"/>
  <c r="U22" i="51" s="1"/>
  <c r="M22" i="51"/>
  <c r="L22" i="51"/>
  <c r="N22" i="51"/>
  <c r="U25" i="89" l="1"/>
  <c r="U20" i="53"/>
  <c r="U13" i="53"/>
  <c r="M16" i="53"/>
  <c r="M15" i="53"/>
  <c r="L15" i="53"/>
  <c r="N15" i="53"/>
  <c r="U21" i="53" l="1"/>
  <c r="U14" i="53"/>
  <c r="U22" i="53"/>
  <c r="F19" i="60"/>
  <c r="F9" i="60"/>
  <c r="F15" i="60"/>
  <c r="K24" i="41" l="1"/>
  <c r="L25" i="41"/>
  <c r="K2" i="41"/>
  <c r="C10" i="41" s="1"/>
  <c r="E10" i="41" s="1"/>
  <c r="K10" i="41" s="1"/>
  <c r="C45" i="41" s="1"/>
  <c r="E27" i="41" a="1"/>
  <c r="E27" i="41" s="1"/>
  <c r="S22" i="41"/>
  <c r="P22" i="41"/>
  <c r="S21" i="41"/>
  <c r="P21" i="41"/>
  <c r="S20" i="41"/>
  <c r="P20" i="41"/>
  <c r="S19" i="41"/>
  <c r="P19" i="41"/>
  <c r="S18" i="41"/>
  <c r="P18" i="41"/>
  <c r="S17" i="41"/>
  <c r="P17" i="41"/>
  <c r="S16" i="41"/>
  <c r="P16" i="41"/>
  <c r="S15" i="41"/>
  <c r="P15" i="41"/>
  <c r="S14" i="41"/>
  <c r="P14" i="41"/>
  <c r="S13" i="41"/>
  <c r="P13" i="41"/>
  <c r="S12" i="41"/>
  <c r="P12" i="41"/>
  <c r="S11" i="41"/>
  <c r="P11" i="41"/>
  <c r="S10" i="41"/>
  <c r="P10" i="41"/>
  <c r="G27" i="41"/>
  <c r="J2" i="41"/>
  <c r="F13" i="60"/>
  <c r="F20" i="60"/>
  <c r="F21" i="60"/>
  <c r="F10" i="60"/>
  <c r="F18" i="60"/>
  <c r="F14" i="60"/>
  <c r="F12" i="60"/>
  <c r="F17" i="60"/>
  <c r="F11" i="60"/>
  <c r="F16" i="60"/>
  <c r="Z28" i="41" l="1"/>
  <c r="Y28" i="41"/>
  <c r="C11" i="41"/>
  <c r="C12" i="41" l="1"/>
  <c r="E11" i="41"/>
  <c r="K17" i="41" s="1"/>
  <c r="C52" i="41" s="1"/>
  <c r="Y35" i="41" l="1"/>
  <c r="Z35" i="41"/>
  <c r="L28" i="41"/>
  <c r="C13" i="41"/>
  <c r="E12" i="41"/>
  <c r="K12" i="41" s="1"/>
  <c r="C47" i="41" s="1"/>
  <c r="O21" i="23"/>
  <c r="L35" i="41" l="1"/>
  <c r="Y30" i="41"/>
  <c r="Z30" i="41"/>
  <c r="C14" i="41"/>
  <c r="E13" i="41"/>
  <c r="K19" i="41" s="1"/>
  <c r="C54" i="41" s="1"/>
  <c r="R32" i="41"/>
  <c r="T32" i="41" s="1"/>
  <c r="R33" i="41"/>
  <c r="T33" i="41" s="1"/>
  <c r="R28" i="41"/>
  <c r="T28" i="41" s="1"/>
  <c r="U28" i="41" s="1" a="1"/>
  <c r="U28" i="41" s="1"/>
  <c r="R37" i="41"/>
  <c r="T37" i="41" s="1"/>
  <c r="R38" i="41"/>
  <c r="T38" i="41" s="1"/>
  <c r="R34" i="41"/>
  <c r="T34" i="41" s="1"/>
  <c r="R36" i="41"/>
  <c r="T36" i="41" s="1"/>
  <c r="R35" i="41"/>
  <c r="T35" i="41" s="1"/>
  <c r="U35" i="41" s="1" a="1"/>
  <c r="U35" i="41" s="1"/>
  <c r="Q10" i="41"/>
  <c r="Q11" i="41" s="1"/>
  <c r="Q12" i="41" s="1"/>
  <c r="Q13" i="41" s="1"/>
  <c r="Q14" i="41" s="1"/>
  <c r="Q15" i="41" s="1"/>
  <c r="Q16" i="41" s="1"/>
  <c r="Q17" i="41" s="1"/>
  <c r="Q18" i="41" s="1"/>
  <c r="Q19" i="41" s="1"/>
  <c r="Q20" i="41" s="1"/>
  <c r="Q21" i="41" s="1"/>
  <c r="Q22" i="41" s="1"/>
  <c r="R30" i="41"/>
  <c r="T30" i="41" s="1"/>
  <c r="R29" i="41"/>
  <c r="T29" i="41" s="1"/>
  <c r="R40" i="41"/>
  <c r="T40" i="41" s="1"/>
  <c r="R31" i="41"/>
  <c r="T31" i="41" s="1"/>
  <c r="R39" i="41"/>
  <c r="T39" i="41" s="1"/>
  <c r="O22" i="23"/>
  <c r="Y37" i="41" l="1"/>
  <c r="Z37" i="41"/>
  <c r="L30" i="41"/>
  <c r="C15" i="41"/>
  <c r="E14" i="41"/>
  <c r="K14" i="41" s="1"/>
  <c r="C49" i="41" s="1"/>
  <c r="V35" i="41"/>
  <c r="F28" i="41"/>
  <c r="T10" i="41"/>
  <c r="V28" i="41"/>
  <c r="Z32" i="41" l="1"/>
  <c r="L37" i="41"/>
  <c r="Y32" i="41"/>
  <c r="O28" i="41"/>
  <c r="G28" i="41"/>
  <c r="C16" i="41"/>
  <c r="E15" i="41"/>
  <c r="K21" i="41" s="1"/>
  <c r="C56" i="41" s="1"/>
  <c r="F35" i="41"/>
  <c r="T11" i="41"/>
  <c r="R10" i="41"/>
  <c r="U10" i="41" s="1"/>
  <c r="L10" i="41"/>
  <c r="Z39" i="41" l="1"/>
  <c r="Y39" i="41"/>
  <c r="L32" i="41"/>
  <c r="O35" i="41"/>
  <c r="G35" i="41"/>
  <c r="C17" i="41"/>
  <c r="E16" i="41"/>
  <c r="K16" i="41" s="1"/>
  <c r="C51" i="41" s="1"/>
  <c r="R17" i="41"/>
  <c r="U11" i="41" s="1"/>
  <c r="N17" i="41"/>
  <c r="L17" i="41"/>
  <c r="F30" i="41"/>
  <c r="G30" i="41" s="1"/>
  <c r="T12" i="41"/>
  <c r="Y34" i="41" l="1"/>
  <c r="Z34" i="41"/>
  <c r="L39" i="41"/>
  <c r="O30" i="41"/>
  <c r="C18" i="41"/>
  <c r="E17" i="41"/>
  <c r="K11" i="41" s="1"/>
  <c r="C46" i="41" s="1"/>
  <c r="F37" i="41"/>
  <c r="T13" i="41"/>
  <c r="L12" i="41"/>
  <c r="N12" i="41"/>
  <c r="R12" i="41"/>
  <c r="U12" i="41" s="1"/>
  <c r="G37" i="41" l="1"/>
  <c r="L34" i="41"/>
  <c r="Y29" i="41"/>
  <c r="Z29" i="41"/>
  <c r="O37" i="41"/>
  <c r="C19" i="41"/>
  <c r="E18" i="41"/>
  <c r="K18" i="41" s="1"/>
  <c r="C53" i="41" s="1"/>
  <c r="F32" i="41"/>
  <c r="T14" i="41"/>
  <c r="E28" i="41"/>
  <c r="R19" i="41"/>
  <c r="U13" i="41" s="1"/>
  <c r="L19" i="41"/>
  <c r="N19" i="41"/>
  <c r="C4" i="23"/>
  <c r="O23" i="23" s="1"/>
  <c r="R4" i="23"/>
  <c r="O24" i="23" s="1"/>
  <c r="S24" i="23" s="1"/>
  <c r="K8" i="23"/>
  <c r="K9" i="23"/>
  <c r="K10" i="23"/>
  <c r="K11" i="23"/>
  <c r="K12" i="23"/>
  <c r="K13" i="23"/>
  <c r="K14" i="23"/>
  <c r="K7" i="23"/>
  <c r="T11" i="23"/>
  <c r="AB8" i="23"/>
  <c r="AB9" i="23"/>
  <c r="AB10" i="23"/>
  <c r="AB11" i="23"/>
  <c r="AB12" i="23"/>
  <c r="AB13" i="23"/>
  <c r="AB14" i="23"/>
  <c r="AB15" i="23"/>
  <c r="AB16" i="23"/>
  <c r="AB17" i="23"/>
  <c r="AB18" i="23"/>
  <c r="AB7" i="23"/>
  <c r="Z8" i="23"/>
  <c r="Z9" i="23"/>
  <c r="Z10" i="23"/>
  <c r="Z11" i="23"/>
  <c r="Z12" i="23"/>
  <c r="Z13" i="23"/>
  <c r="Z14" i="23"/>
  <c r="Z7" i="23"/>
  <c r="T8" i="23"/>
  <c r="T9" i="23"/>
  <c r="T10" i="23"/>
  <c r="T7" i="23"/>
  <c r="R8" i="23"/>
  <c r="R9" i="23"/>
  <c r="R10" i="23"/>
  <c r="R7" i="23"/>
  <c r="M8" i="23"/>
  <c r="M9" i="23"/>
  <c r="M10" i="23"/>
  <c r="M11" i="23"/>
  <c r="M12" i="23"/>
  <c r="M13" i="23"/>
  <c r="M14" i="23"/>
  <c r="M15" i="23"/>
  <c r="M16" i="23"/>
  <c r="M17" i="23"/>
  <c r="M18" i="23"/>
  <c r="M7" i="23"/>
  <c r="G8" i="23"/>
  <c r="G9" i="23"/>
  <c r="G10" i="23"/>
  <c r="G11" i="23"/>
  <c r="G12" i="23"/>
  <c r="G7" i="23"/>
  <c r="C7" i="23"/>
  <c r="C8" i="23"/>
  <c r="C9" i="23"/>
  <c r="C10" i="23"/>
  <c r="G32" i="41" l="1"/>
  <c r="Y36" i="41"/>
  <c r="L29" i="41"/>
  <c r="Z36" i="41"/>
  <c r="O32" i="41"/>
  <c r="C20" i="41"/>
  <c r="E19" i="41"/>
  <c r="K13" i="41" s="1"/>
  <c r="C48" i="41" s="1"/>
  <c r="R14" i="41"/>
  <c r="U14" i="41" s="1"/>
  <c r="L14" i="41"/>
  <c r="N14" i="41"/>
  <c r="E35" i="41"/>
  <c r="T15" i="41"/>
  <c r="F39" i="41"/>
  <c r="G39" i="41" s="1"/>
  <c r="D23" i="23"/>
  <c r="U24" i="23"/>
  <c r="C5" i="23"/>
  <c r="R5" i="23"/>
  <c r="N8" i="23" l="1"/>
  <c r="F11" i="23"/>
  <c r="F9" i="23"/>
  <c r="J7" i="23"/>
  <c r="J12" i="23"/>
  <c r="J13" i="23"/>
  <c r="F7" i="23"/>
  <c r="F10" i="23"/>
  <c r="J11" i="23"/>
  <c r="J10" i="23"/>
  <c r="J8" i="23"/>
  <c r="F8" i="23"/>
  <c r="J9" i="23"/>
  <c r="Y11" i="23"/>
  <c r="Y12" i="23"/>
  <c r="Y9" i="23"/>
  <c r="Y7" i="23"/>
  <c r="Y8" i="23"/>
  <c r="Y10" i="23"/>
  <c r="Y13" i="23"/>
  <c r="W12" i="23"/>
  <c r="W11" i="23"/>
  <c r="W10" i="23"/>
  <c r="W9" i="23"/>
  <c r="W8" i="23"/>
  <c r="W7" i="23"/>
  <c r="S7" i="23"/>
  <c r="L36" i="41"/>
  <c r="Y31" i="41"/>
  <c r="Z31" i="41"/>
  <c r="O39" i="41"/>
  <c r="O31" i="41"/>
  <c r="C21" i="41"/>
  <c r="E20" i="41"/>
  <c r="K20" i="41" s="1"/>
  <c r="C55" i="41" s="1"/>
  <c r="N21" i="41"/>
  <c r="R21" i="41"/>
  <c r="U15" i="41" s="1"/>
  <c r="L21" i="41"/>
  <c r="F34" i="41"/>
  <c r="E30" i="41"/>
  <c r="T16" i="41"/>
  <c r="N10" i="23"/>
  <c r="D8" i="23"/>
  <c r="D10" i="23"/>
  <c r="N15" i="23"/>
  <c r="N18" i="23"/>
  <c r="H8" i="23"/>
  <c r="H9" i="23"/>
  <c r="N17" i="23"/>
  <c r="H10" i="23"/>
  <c r="L14" i="23"/>
  <c r="N16" i="23"/>
  <c r="L8" i="23"/>
  <c r="L7" i="23"/>
  <c r="N9" i="23"/>
  <c r="H12" i="23"/>
  <c r="H11" i="23"/>
  <c r="H7" i="23"/>
  <c r="L12" i="23"/>
  <c r="N11" i="23"/>
  <c r="N12" i="23"/>
  <c r="L13" i="23"/>
  <c r="D9" i="23"/>
  <c r="L9" i="23"/>
  <c r="D7" i="23"/>
  <c r="L10" i="23"/>
  <c r="N13" i="23"/>
  <c r="L11" i="23"/>
  <c r="N14" i="23"/>
  <c r="N7" i="23"/>
  <c r="AA8" i="23"/>
  <c r="S8" i="23"/>
  <c r="U7" i="23"/>
  <c r="AA9" i="23"/>
  <c r="S9" i="23"/>
  <c r="AC18" i="23"/>
  <c r="AC8" i="23"/>
  <c r="AA10" i="23"/>
  <c r="S10" i="23"/>
  <c r="AC10" i="23"/>
  <c r="AA12" i="23"/>
  <c r="AC11" i="23"/>
  <c r="AC12" i="23"/>
  <c r="AA7" i="23"/>
  <c r="AC14" i="23"/>
  <c r="U10" i="23"/>
  <c r="AC17" i="23"/>
  <c r="AC7" i="23"/>
  <c r="AC9" i="23"/>
  <c r="AA11" i="23"/>
  <c r="AA13" i="23"/>
  <c r="AA14" i="23"/>
  <c r="U8" i="23"/>
  <c r="AC15" i="23"/>
  <c r="AC16" i="23"/>
  <c r="U11" i="23"/>
  <c r="AC13" i="23"/>
  <c r="U9" i="23"/>
  <c r="G34" i="41" l="1"/>
  <c r="Y38" i="41"/>
  <c r="L31" i="41"/>
  <c r="Z38" i="41"/>
  <c r="O34" i="41"/>
  <c r="O38" i="41"/>
  <c r="C22" i="41"/>
  <c r="E22" i="41" s="1"/>
  <c r="K22" i="41" s="1"/>
  <c r="E21" i="41"/>
  <c r="K15" i="41" s="1"/>
  <c r="C50" i="41" s="1"/>
  <c r="M17" i="41"/>
  <c r="L16" i="41"/>
  <c r="R16" i="41"/>
  <c r="U16" i="41" s="1"/>
  <c r="N16" i="41"/>
  <c r="F29" i="41"/>
  <c r="T17" i="41"/>
  <c r="E37" i="41"/>
  <c r="G29" i="41" l="1"/>
  <c r="Y33" i="41"/>
  <c r="Z33" i="41"/>
  <c r="L38" i="41"/>
  <c r="O29" i="41"/>
  <c r="O33" i="41"/>
  <c r="C57" i="41"/>
  <c r="K23" i="41"/>
  <c r="M12" i="41"/>
  <c r="R11" i="41"/>
  <c r="U17" i="41" s="1"/>
  <c r="N11" i="41"/>
  <c r="M11" i="41"/>
  <c r="L11" i="41"/>
  <c r="F36" i="41"/>
  <c r="T18" i="41"/>
  <c r="E32" i="41"/>
  <c r="U40" i="41" l="1" a="1"/>
  <c r="U40" i="41" s="1"/>
  <c r="V40" i="41" s="1"/>
  <c r="Y40" i="41"/>
  <c r="Z40" i="41"/>
  <c r="L33" i="41"/>
  <c r="U36" i="41" a="1"/>
  <c r="U36" i="41" s="1"/>
  <c r="V36" i="41" s="1"/>
  <c r="O36" i="41"/>
  <c r="U29" i="41" a="1"/>
  <c r="U29" i="41" s="1"/>
  <c r="U39" i="41" a="1"/>
  <c r="U39" i="41" s="1"/>
  <c r="V39" i="41" s="1"/>
  <c r="U30" i="41" a="1"/>
  <c r="U30" i="41" s="1"/>
  <c r="V30" i="41" s="1"/>
  <c r="U31" i="41" a="1"/>
  <c r="U31" i="41" s="1"/>
  <c r="U33" i="41" a="1"/>
  <c r="U33" i="41" s="1"/>
  <c r="V33" i="41" s="1"/>
  <c r="U32" i="41" a="1"/>
  <c r="U32" i="41" s="1"/>
  <c r="V32" i="41" s="1"/>
  <c r="U37" i="41" a="1"/>
  <c r="U37" i="41" s="1"/>
  <c r="V37" i="41" s="1"/>
  <c r="U38" i="41" a="1"/>
  <c r="U38" i="41" s="1"/>
  <c r="V38" i="41" s="1"/>
  <c r="U34" i="41" a="1"/>
  <c r="U34" i="41" s="1"/>
  <c r="V34" i="41" s="1"/>
  <c r="G36" i="41"/>
  <c r="E31" i="41"/>
  <c r="E39" i="41"/>
  <c r="T19" i="41"/>
  <c r="F31" i="41"/>
  <c r="G31" i="41" s="1"/>
  <c r="M18" i="41"/>
  <c r="L18" i="41"/>
  <c r="N18" i="41"/>
  <c r="M19" i="41"/>
  <c r="R18" i="41"/>
  <c r="U18" i="41" s="1"/>
  <c r="E34" i="41" l="1"/>
  <c r="E38" i="41"/>
  <c r="F38" i="41"/>
  <c r="G38" i="41" s="1"/>
  <c r="T20" i="41"/>
  <c r="L13" i="41"/>
  <c r="M13" i="41"/>
  <c r="R13" i="41"/>
  <c r="U19" i="41" s="1"/>
  <c r="N13" i="41"/>
  <c r="M14" i="41"/>
  <c r="E33" i="41" l="1"/>
  <c r="E29" i="41"/>
  <c r="F33" i="41"/>
  <c r="G33" i="41" s="1"/>
  <c r="T21" i="41"/>
  <c r="R20" i="41"/>
  <c r="U20" i="41" s="1"/>
  <c r="M21" i="41"/>
  <c r="L20" i="41"/>
  <c r="N20" i="41"/>
  <c r="M20" i="41"/>
  <c r="R8" i="6"/>
  <c r="Q8" i="6"/>
  <c r="BA308" i="61" l="1"/>
  <c r="BM308" i="61"/>
  <c r="AW308" i="61"/>
  <c r="BC308" i="61"/>
  <c r="AY308" i="61"/>
  <c r="BB308" i="61"/>
  <c r="BK308" i="61"/>
  <c r="BG308" i="61"/>
  <c r="BD308" i="61"/>
  <c r="BJ308" i="61"/>
  <c r="AX308" i="61"/>
  <c r="BI308" i="61"/>
  <c r="BL308" i="61"/>
  <c r="BF308" i="61"/>
  <c r="AZ308" i="61"/>
  <c r="BE308" i="61"/>
  <c r="BH308" i="61"/>
  <c r="V29" i="41"/>
  <c r="E36" i="41"/>
  <c r="V31" i="41"/>
  <c r="T22" i="41"/>
  <c r="M15" i="41"/>
  <c r="M16" i="41"/>
  <c r="N15" i="41"/>
  <c r="R15" i="41"/>
  <c r="U21" i="41" s="1"/>
  <c r="L15" i="41"/>
  <c r="AV308" i="61" l="1"/>
  <c r="BV308" i="61" s="1" a="1"/>
  <c r="BV308" i="61" s="1"/>
  <c r="M22" i="41"/>
  <c r="L22" i="41"/>
  <c r="R22" i="41"/>
  <c r="U22" i="41" s="1"/>
  <c r="N22" i="41"/>
  <c r="BW5" i="61" l="1"/>
  <c r="L13" i="6"/>
  <c r="L14" i="6"/>
  <c r="L15" i="6"/>
  <c r="L12" i="6"/>
  <c r="S25" i="6" l="1"/>
  <c r="T25" i="6" s="1"/>
  <c r="U25" i="6" s="1"/>
  <c r="H13" i="6"/>
  <c r="H14" i="6"/>
  <c r="H15" i="6"/>
  <c r="D13" i="6"/>
  <c r="D14" i="6"/>
  <c r="D15" i="6"/>
  <c r="H12" i="6"/>
  <c r="S14" i="6" l="1"/>
  <c r="T14" i="6" s="1"/>
  <c r="U14" i="6" s="1"/>
  <c r="S10" i="6"/>
  <c r="T10" i="6" s="1"/>
  <c r="U10" i="6" s="1"/>
  <c r="S26" i="6"/>
  <c r="T26" i="6" s="1"/>
  <c r="U26" i="6" s="1"/>
  <c r="S20" i="6"/>
  <c r="T20" i="6" s="1"/>
  <c r="U20" i="6" s="1"/>
  <c r="S18" i="6" l="1"/>
  <c r="T18" i="6" s="1"/>
  <c r="U18" i="6" s="1"/>
  <c r="S23" i="6"/>
  <c r="T23" i="6" s="1"/>
  <c r="U23" i="6" s="1"/>
  <c r="S12" i="6"/>
  <c r="T12" i="6" s="1"/>
  <c r="U12" i="6" s="1"/>
  <c r="S21" i="6" l="1"/>
  <c r="T21" i="6" s="1"/>
  <c r="U21" i="6" s="1"/>
  <c r="S15" i="6"/>
  <c r="T15" i="6" s="1"/>
  <c r="U15" i="6" s="1"/>
  <c r="S27" i="6"/>
  <c r="T27" i="6" s="1"/>
  <c r="U27" i="6" s="1"/>
  <c r="S13" i="6" l="1"/>
  <c r="T13" i="6" s="1"/>
  <c r="U13" i="6" s="1"/>
  <c r="S9" i="6"/>
  <c r="T9" i="6" s="1"/>
  <c r="U9" i="6" s="1"/>
  <c r="S16" i="6"/>
  <c r="T16" i="6" s="1"/>
  <c r="U16" i="6" s="1"/>
  <c r="S24" i="6"/>
  <c r="T24" i="6" s="1"/>
  <c r="U24" i="6" s="1"/>
  <c r="S19" i="6"/>
  <c r="T19" i="6" s="1"/>
  <c r="U19" i="6" s="1"/>
  <c r="S11" i="6" l="1"/>
  <c r="T11" i="6" s="1"/>
  <c r="U11" i="6" s="1"/>
  <c r="S17" i="6"/>
  <c r="T17" i="6" s="1"/>
  <c r="U17" i="6" s="1"/>
  <c r="S22" i="6"/>
  <c r="T22" i="6" s="1"/>
  <c r="U22" i="6" s="1"/>
  <c r="E9" i="78" l="1"/>
  <c r="R27" i="78" l="1"/>
  <c r="T27" i="78" s="1"/>
  <c r="R28" i="78"/>
  <c r="T28" i="78" s="1"/>
  <c r="R33" i="78"/>
  <c r="T33" i="78" s="1"/>
  <c r="R29" i="78"/>
  <c r="T29" i="78" s="1"/>
  <c r="R36" i="78"/>
  <c r="T36" i="78" s="1"/>
  <c r="R34" i="78"/>
  <c r="T34" i="78" s="1"/>
  <c r="R32" i="78"/>
  <c r="T32" i="78" s="1"/>
  <c r="Q9" i="78"/>
  <c r="Q10" i="78" s="1"/>
  <c r="Q11" i="78" s="1"/>
  <c r="Q12" i="78" s="1"/>
  <c r="Q13" i="78" s="1"/>
  <c r="Q14" i="78" s="1"/>
  <c r="Q15" i="78" s="1"/>
  <c r="Q16" i="78" s="1"/>
  <c r="Q17" i="78" s="1"/>
  <c r="Q18" i="78" s="1"/>
  <c r="Q19" i="78" s="1"/>
  <c r="Q20" i="78" s="1"/>
  <c r="Q21" i="78" s="1"/>
  <c r="R37" i="78"/>
  <c r="T37" i="78" s="1"/>
  <c r="R39" i="78"/>
  <c r="T39" i="78" s="1"/>
  <c r="R31" i="78"/>
  <c r="T31" i="78" s="1"/>
  <c r="H9" i="78"/>
  <c r="C44" i="78" s="1"/>
  <c r="AD9" i="78" s="1"/>
  <c r="R38" i="78"/>
  <c r="T38" i="78" s="1"/>
  <c r="R30" i="78"/>
  <c r="T30" i="78" s="1"/>
  <c r="R35" i="78"/>
  <c r="T35" i="78" s="1"/>
  <c r="Z27" i="78" l="1"/>
  <c r="Y27" i="78"/>
  <c r="U27" i="78" a="1"/>
  <c r="U27" i="78" s="1"/>
  <c r="V27" i="78" s="1"/>
  <c r="U34" i="78" a="1"/>
  <c r="U34" i="78" s="1"/>
  <c r="V34" i="78" s="1"/>
  <c r="E11" i="78"/>
  <c r="F27" i="78"/>
  <c r="T9" i="78"/>
  <c r="K9" i="78"/>
  <c r="E12" i="78" l="1"/>
  <c r="F10" i="78"/>
  <c r="H10" i="78"/>
  <c r="C51" i="78" s="1"/>
  <c r="AD10" i="78" s="1"/>
  <c r="AE10" i="78" s="1"/>
  <c r="AF10" i="78" s="1"/>
  <c r="R9" i="78"/>
  <c r="U9" i="78" s="1"/>
  <c r="L9" i="78"/>
  <c r="Y34" i="78" l="1"/>
  <c r="Z34" i="78"/>
  <c r="L27" i="78"/>
  <c r="F34" i="78"/>
  <c r="T10" i="78"/>
  <c r="K16" i="78"/>
  <c r="E13" i="78"/>
  <c r="F11" i="78"/>
  <c r="H11" i="78"/>
  <c r="C46" i="78" s="1"/>
  <c r="AD11" i="78" s="1"/>
  <c r="AE11" i="78" s="1"/>
  <c r="AF11" i="78" s="1"/>
  <c r="L34" i="78" l="1"/>
  <c r="Y29" i="78"/>
  <c r="Z29" i="78"/>
  <c r="R16" i="78"/>
  <c r="U10" i="78" s="1"/>
  <c r="L16" i="78"/>
  <c r="N16" i="78"/>
  <c r="F12" i="78"/>
  <c r="H12" i="78"/>
  <c r="C53" i="78" s="1"/>
  <c r="AD12" i="78" s="1"/>
  <c r="AE12" i="78" s="1"/>
  <c r="AF12" i="78" s="1"/>
  <c r="E14" i="78"/>
  <c r="K11" i="78"/>
  <c r="T11" i="78"/>
  <c r="F29" i="78"/>
  <c r="L29" i="78" l="1"/>
  <c r="Y36" i="78"/>
  <c r="Z36" i="78"/>
  <c r="L11" i="78"/>
  <c r="N11" i="78"/>
  <c r="R11" i="78"/>
  <c r="U11" i="78" s="1"/>
  <c r="K18" i="78"/>
  <c r="F36" i="78"/>
  <c r="T12" i="78"/>
  <c r="E15" i="78"/>
  <c r="H13" i="78"/>
  <c r="C48" i="78" s="1"/>
  <c r="AD13" i="78" s="1"/>
  <c r="AE13" i="78" s="1"/>
  <c r="AF13" i="78" s="1"/>
  <c r="F13" i="78"/>
  <c r="L36" i="78" l="1"/>
  <c r="Z31" i="78"/>
  <c r="Y31" i="78"/>
  <c r="O27" i="78"/>
  <c r="F31" i="78"/>
  <c r="E27" i="78"/>
  <c r="T13" i="78"/>
  <c r="K13" i="78"/>
  <c r="G27" i="78"/>
  <c r="E16" i="78"/>
  <c r="L18" i="78"/>
  <c r="R18" i="78"/>
  <c r="U12" i="78" s="1"/>
  <c r="N18" i="78"/>
  <c r="H14" i="78"/>
  <c r="C55" i="78" s="1"/>
  <c r="AD14" i="78" s="1"/>
  <c r="AE14" i="78" s="1"/>
  <c r="AF14" i="78" s="1"/>
  <c r="F14" i="78"/>
  <c r="L31" i="78" l="1"/>
  <c r="Z38" i="78"/>
  <c r="Y38" i="78"/>
  <c r="O34" i="78"/>
  <c r="L13" i="78"/>
  <c r="N13" i="78"/>
  <c r="R13" i="78"/>
  <c r="U13" i="78" s="1"/>
  <c r="E17" i="78"/>
  <c r="K20" i="78"/>
  <c r="F38" i="78"/>
  <c r="T14" i="78"/>
  <c r="E34" i="78"/>
  <c r="G34" i="78"/>
  <c r="F15" i="78"/>
  <c r="H15" i="78"/>
  <c r="C50" i="78" s="1"/>
  <c r="AD15" i="78" s="1"/>
  <c r="AE15" i="78" s="1"/>
  <c r="AF15" i="78" s="1"/>
  <c r="Y33" i="78" l="1"/>
  <c r="Z33" i="78"/>
  <c r="L38" i="78"/>
  <c r="O29" i="78"/>
  <c r="E18" i="78"/>
  <c r="F16" i="78"/>
  <c r="H16" i="78"/>
  <c r="C45" i="78" s="1"/>
  <c r="AD16" i="78" s="1"/>
  <c r="AE16" i="78" s="1"/>
  <c r="AF16" i="78" s="1"/>
  <c r="N20" i="78"/>
  <c r="L20" i="78"/>
  <c r="R20" i="78"/>
  <c r="U14" i="78" s="1"/>
  <c r="F33" i="78"/>
  <c r="K15" i="78"/>
  <c r="E29" i="78"/>
  <c r="G29" i="78"/>
  <c r="T15" i="78"/>
  <c r="L33" i="78" l="1"/>
  <c r="Y28" i="78"/>
  <c r="Z28" i="78"/>
  <c r="O36" i="78"/>
  <c r="L15" i="78"/>
  <c r="M16" i="78"/>
  <c r="N15" i="78"/>
  <c r="R15" i="78"/>
  <c r="U15" i="78" s="1"/>
  <c r="E36" i="78"/>
  <c r="T16" i="78"/>
  <c r="K10" i="78"/>
  <c r="G36" i="78"/>
  <c r="F28" i="78"/>
  <c r="E19" i="78"/>
  <c r="F17" i="78"/>
  <c r="H17" i="78"/>
  <c r="C52" i="78" s="1"/>
  <c r="AD17" i="78" s="1"/>
  <c r="AE17" i="78" s="1"/>
  <c r="AF17" i="78" s="1"/>
  <c r="Z35" i="78" l="1"/>
  <c r="Y35" i="78"/>
  <c r="L28" i="78"/>
  <c r="O31" i="78"/>
  <c r="E20" i="78"/>
  <c r="H18" i="78"/>
  <c r="C47" i="78" s="1"/>
  <c r="AD18" i="78" s="1"/>
  <c r="AE18" i="78" s="1"/>
  <c r="AF18" i="78" s="1"/>
  <c r="F18" i="78"/>
  <c r="M10" i="78"/>
  <c r="M11" i="78"/>
  <c r="R10" i="78"/>
  <c r="U16" i="78" s="1"/>
  <c r="L10" i="78"/>
  <c r="N10" i="78"/>
  <c r="E31" i="78"/>
  <c r="G31" i="78"/>
  <c r="T17" i="78"/>
  <c r="F35" i="78"/>
  <c r="K17" i="78"/>
  <c r="L35" i="78" l="1"/>
  <c r="Y30" i="78"/>
  <c r="Z30" i="78"/>
  <c r="O38" i="78"/>
  <c r="O30" i="78"/>
  <c r="M17" i="78"/>
  <c r="R17" i="78"/>
  <c r="U17" i="78" s="1"/>
  <c r="L17" i="78"/>
  <c r="M18" i="78"/>
  <c r="N17" i="78"/>
  <c r="F30" i="78"/>
  <c r="G30" i="78" s="1"/>
  <c r="G38" i="78"/>
  <c r="K12" i="78"/>
  <c r="E30" i="78"/>
  <c r="E38" i="78"/>
  <c r="T18" i="78"/>
  <c r="E21" i="78"/>
  <c r="F19" i="78"/>
  <c r="H19" i="78"/>
  <c r="C54" i="78" s="1"/>
  <c r="AD19" i="78" s="1"/>
  <c r="AE19" i="78" s="1"/>
  <c r="AF19" i="78" s="1"/>
  <c r="L30" i="78" l="1"/>
  <c r="Z37" i="78"/>
  <c r="Y37" i="78"/>
  <c r="O33" i="78"/>
  <c r="O37" i="78"/>
  <c r="L12" i="78"/>
  <c r="R12" i="78"/>
  <c r="U18" i="78" s="1"/>
  <c r="N12" i="78"/>
  <c r="M12" i="78"/>
  <c r="M13" i="78"/>
  <c r="H21" i="78"/>
  <c r="C56" i="78" s="1"/>
  <c r="AD21" i="78" s="1"/>
  <c r="F21" i="78"/>
  <c r="F20" i="78"/>
  <c r="H20" i="78"/>
  <c r="C49" i="78" s="1"/>
  <c r="AD20" i="78" s="1"/>
  <c r="AE20" i="78" s="1"/>
  <c r="AF20" i="78" s="1"/>
  <c r="G33" i="78"/>
  <c r="F37" i="78"/>
  <c r="G37" i="78" s="1"/>
  <c r="E33" i="78"/>
  <c r="K19" i="78"/>
  <c r="T19" i="78"/>
  <c r="E37" i="78"/>
  <c r="AE21" i="78" l="1"/>
  <c r="AF21" i="78" s="1"/>
  <c r="Y32" i="78"/>
  <c r="Z32" i="78"/>
  <c r="L37" i="78"/>
  <c r="L32" i="78"/>
  <c r="Z39" i="78"/>
  <c r="Y39" i="78"/>
  <c r="O35" i="78"/>
  <c r="O28" i="78"/>
  <c r="O32" i="78"/>
  <c r="U36" i="78" a="1"/>
  <c r="U36" i="78" s="1"/>
  <c r="V36" i="78" s="1"/>
  <c r="U35" i="78" a="1"/>
  <c r="U35" i="78" s="1"/>
  <c r="V35" i="78" s="1"/>
  <c r="U29" i="78" a="1"/>
  <c r="U29" i="78" s="1"/>
  <c r="V29" i="78" s="1"/>
  <c r="U30" i="78" a="1"/>
  <c r="U30" i="78" s="1"/>
  <c r="V30" i="78" s="1"/>
  <c r="U33" i="78" a="1"/>
  <c r="U33" i="78" s="1"/>
  <c r="V33" i="78" s="1"/>
  <c r="U31" i="78" a="1"/>
  <c r="U31" i="78" s="1"/>
  <c r="V31" i="78" s="1"/>
  <c r="U28" i="78" a="1"/>
  <c r="U28" i="78" s="1"/>
  <c r="V28" i="78" s="1"/>
  <c r="U37" i="78" a="1"/>
  <c r="U37" i="78" s="1"/>
  <c r="V37" i="78" s="1"/>
  <c r="U39" i="78" a="1"/>
  <c r="U39" i="78" s="1"/>
  <c r="V39" i="78" s="1"/>
  <c r="U32" i="78" a="1"/>
  <c r="U32" i="78" s="1"/>
  <c r="V32" i="78" s="1"/>
  <c r="U38" i="78" a="1"/>
  <c r="U38" i="78" s="1"/>
  <c r="V38" i="78" s="1"/>
  <c r="K21" i="78"/>
  <c r="E35" i="78"/>
  <c r="T21" i="78"/>
  <c r="G35" i="78"/>
  <c r="L19" i="78"/>
  <c r="M19" i="78"/>
  <c r="M20" i="78"/>
  <c r="R19" i="78"/>
  <c r="U19" i="78" s="1"/>
  <c r="N19" i="78"/>
  <c r="E28" i="78"/>
  <c r="F32" i="78"/>
  <c r="G32" i="78" s="1"/>
  <c r="T20" i="78"/>
  <c r="K14" i="78"/>
  <c r="E32" i="78"/>
  <c r="G28" i="78"/>
  <c r="N14" i="78" l="1"/>
  <c r="M15" i="78"/>
  <c r="M14" i="78"/>
  <c r="L14" i="78"/>
  <c r="R14" i="78"/>
  <c r="U20" i="78" s="1"/>
  <c r="R21" i="78"/>
  <c r="U21" i="78" s="1"/>
  <c r="L21" i="78"/>
  <c r="M21" i="78"/>
  <c r="N21" i="78"/>
  <c r="K2" i="60" l="1"/>
  <c r="D9" i="60" s="1"/>
  <c r="C45" i="60" s="1"/>
  <c r="AE9" i="60" s="1"/>
  <c r="S9" i="60" l="1"/>
  <c r="P9" i="60"/>
  <c r="D10" i="60"/>
  <c r="C46" i="60" s="1"/>
  <c r="AE16" i="60" s="1"/>
  <c r="M9" i="60"/>
  <c r="G9" i="60"/>
  <c r="V9" i="60"/>
  <c r="J9" i="60"/>
  <c r="V16" i="60"/>
  <c r="M10" i="60"/>
  <c r="T9" i="60"/>
  <c r="W9" i="60" s="1"/>
  <c r="P10" i="60" l="1"/>
  <c r="G10" i="60"/>
  <c r="J10" i="60"/>
  <c r="D11" i="60"/>
  <c r="C47" i="60" s="1"/>
  <c r="AE11" i="60" s="1"/>
  <c r="M11" i="60" l="1"/>
  <c r="P11" i="60"/>
  <c r="S10" i="60" s="1"/>
  <c r="G11" i="60"/>
  <c r="D12" i="60"/>
  <c r="C48" i="60" s="1"/>
  <c r="AE18" i="60" s="1"/>
  <c r="V11" i="60"/>
  <c r="J11" i="60"/>
  <c r="S11" i="60" l="1"/>
  <c r="T10" i="60"/>
  <c r="W16" i="60" s="1"/>
  <c r="D13" i="60"/>
  <c r="C49" i="60" s="1"/>
  <c r="AE13" i="60" s="1"/>
  <c r="G12" i="60"/>
  <c r="M12" i="60"/>
  <c r="V18" i="60"/>
  <c r="P12" i="60"/>
  <c r="J12" i="60"/>
  <c r="M13" i="60" l="1"/>
  <c r="V13" i="60"/>
  <c r="D14" i="60"/>
  <c r="C50" i="60" s="1"/>
  <c r="AE20" i="60" s="1"/>
  <c r="J13" i="60"/>
  <c r="P13" i="60"/>
  <c r="G13" i="60"/>
  <c r="S12" i="60"/>
  <c r="T11" i="60"/>
  <c r="W11" i="60" s="1"/>
  <c r="J14" i="60" l="1"/>
  <c r="V20" i="60"/>
  <c r="M14" i="60"/>
  <c r="D15" i="60"/>
  <c r="C51" i="60" s="1"/>
  <c r="AE15" i="60" s="1"/>
  <c r="P14" i="60"/>
  <c r="G14" i="60"/>
  <c r="S13" i="60"/>
  <c r="T12" i="60"/>
  <c r="AF16" i="60" l="1"/>
  <c r="AG16" i="60" s="1"/>
  <c r="W18" i="60"/>
  <c r="S14" i="60"/>
  <c r="T13" i="60"/>
  <c r="M15" i="60"/>
  <c r="J15" i="60"/>
  <c r="D16" i="60"/>
  <c r="C52" i="60" s="1"/>
  <c r="AE10" i="60" s="1"/>
  <c r="P15" i="60"/>
  <c r="V15" i="60"/>
  <c r="G15" i="60"/>
  <c r="AF10" i="60" l="1"/>
  <c r="AG10" i="60" s="1"/>
  <c r="AF11" i="60"/>
  <c r="AG11" i="60" s="1"/>
  <c r="W13" i="60"/>
  <c r="M16" i="60"/>
  <c r="J16" i="60"/>
  <c r="D17" i="60"/>
  <c r="C53" i="60" s="1"/>
  <c r="AE17" i="60" s="1"/>
  <c r="P16" i="60"/>
  <c r="V10" i="60"/>
  <c r="G16" i="60"/>
  <c r="S15" i="60"/>
  <c r="T14" i="60"/>
  <c r="AF17" i="60" l="1"/>
  <c r="AG17" i="60" s="1"/>
  <c r="AF18" i="60"/>
  <c r="AG18" i="60" s="1"/>
  <c r="W20" i="60"/>
  <c r="S16" i="60"/>
  <c r="T15" i="60"/>
  <c r="V17" i="60"/>
  <c r="D18" i="60"/>
  <c r="C54" i="60" s="1"/>
  <c r="AE12" i="60" s="1"/>
  <c r="J17" i="60"/>
  <c r="G17" i="60"/>
  <c r="M17" i="60"/>
  <c r="P17" i="60"/>
  <c r="AF12" i="60" l="1"/>
  <c r="AG12" i="60" s="1"/>
  <c r="AF13" i="60"/>
  <c r="AG13" i="60" s="1"/>
  <c r="W15" i="60"/>
  <c r="V12" i="60"/>
  <c r="D19" i="60"/>
  <c r="C55" i="60" s="1"/>
  <c r="AE19" i="60" s="1"/>
  <c r="M18" i="60"/>
  <c r="P18" i="60"/>
  <c r="J18" i="60"/>
  <c r="G18" i="60"/>
  <c r="S17" i="60"/>
  <c r="T16" i="60"/>
  <c r="AF19" i="60" l="1"/>
  <c r="AG19" i="60" s="1"/>
  <c r="AF20" i="60"/>
  <c r="AG20" i="60" s="1"/>
  <c r="W10" i="60"/>
  <c r="S18" i="60"/>
  <c r="T17" i="60"/>
  <c r="V19" i="60"/>
  <c r="G19" i="60"/>
  <c r="P19" i="60"/>
  <c r="D20" i="60"/>
  <c r="C56" i="60" s="1"/>
  <c r="AE14" i="60" s="1"/>
  <c r="J19" i="60"/>
  <c r="M19" i="60"/>
  <c r="AF14" i="60" l="1"/>
  <c r="AG14" i="60" s="1"/>
  <c r="AF15" i="60"/>
  <c r="AG15" i="60" s="1"/>
  <c r="W17" i="60"/>
  <c r="G20" i="60"/>
  <c r="M20" i="60"/>
  <c r="P20" i="60"/>
  <c r="V14" i="60"/>
  <c r="D21" i="60"/>
  <c r="J20" i="60"/>
  <c r="S19" i="60"/>
  <c r="T18" i="60"/>
  <c r="C57" i="60" l="1"/>
  <c r="AE21" i="60" s="1"/>
  <c r="AF21" i="60" s="1"/>
  <c r="AG21" i="60" s="1"/>
  <c r="W12" i="60"/>
  <c r="S20" i="60"/>
  <c r="T19" i="60"/>
  <c r="G21" i="60"/>
  <c r="G23" i="60" s="1"/>
  <c r="P21" i="60"/>
  <c r="P23" i="60" s="1"/>
  <c r="J21" i="60"/>
  <c r="J23" i="60" s="1"/>
  <c r="M21" i="60"/>
  <c r="M23" i="60" s="1"/>
  <c r="V21" i="60"/>
  <c r="W19" i="60" l="1"/>
  <c r="S21" i="60"/>
  <c r="T20" i="60"/>
  <c r="S4" i="97" a="1"/>
  <c r="W14" i="60" l="1"/>
  <c r="T21" i="60"/>
  <c r="W13" i="97"/>
  <c r="AB58" i="97"/>
  <c r="U60" i="97"/>
  <c r="AE196" i="97"/>
  <c r="T33" i="97"/>
  <c r="Y224" i="97"/>
  <c r="T80" i="97"/>
  <c r="Y39" i="97"/>
  <c r="U71" i="97"/>
  <c r="AD114" i="97"/>
  <c r="U127" i="97"/>
  <c r="Y77" i="97"/>
  <c r="X55" i="97"/>
  <c r="T119" i="97"/>
  <c r="AD100" i="97"/>
  <c r="AA61" i="97"/>
  <c r="AB116" i="97"/>
  <c r="W173" i="97"/>
  <c r="AA29" i="97"/>
  <c r="V23" i="97"/>
  <c r="AD167" i="97"/>
  <c r="T141" i="97"/>
  <c r="V195" i="97"/>
  <c r="AE49" i="97"/>
  <c r="X96" i="97"/>
  <c r="AE32" i="97"/>
  <c r="AC76" i="97"/>
  <c r="Z92" i="97"/>
  <c r="U262" i="97"/>
  <c r="V11" i="97"/>
  <c r="T68" i="97"/>
  <c r="Y28" i="97"/>
  <c r="U90" i="97"/>
  <c r="AB45" i="97"/>
  <c r="X109" i="97"/>
  <c r="T51" i="97"/>
  <c r="AB113" i="97"/>
  <c r="AB62" i="97"/>
  <c r="AE139" i="97"/>
  <c r="AC214" i="97"/>
  <c r="X166" i="97"/>
  <c r="Y62" i="97"/>
  <c r="X313" i="97"/>
  <c r="V64" i="97"/>
  <c r="T142" i="97"/>
  <c r="AD215" i="97"/>
  <c r="Z167" i="97"/>
  <c r="AC65" i="97"/>
  <c r="Y314" i="97"/>
  <c r="AD66" i="97"/>
  <c r="U143" i="97"/>
  <c r="AE216" i="97"/>
  <c r="AB168" i="97"/>
  <c r="AE67" i="97"/>
  <c r="Z315" i="97"/>
  <c r="Y76" i="97"/>
  <c r="V144" i="97"/>
  <c r="T219" i="97"/>
  <c r="AD169" i="97"/>
  <c r="AA70" i="97"/>
  <c r="T11" i="97"/>
  <c r="AD58" i="97"/>
  <c r="AD49" i="97"/>
  <c r="X251" i="97"/>
  <c r="AE45" i="97"/>
  <c r="AC184" i="97"/>
  <c r="AA84" i="97"/>
  <c r="Y260" i="97"/>
  <c r="AE178" i="97"/>
  <c r="AB35" i="97"/>
  <c r="AB88" i="97"/>
  <c r="AA11" i="97"/>
  <c r="AC227" i="97"/>
  <c r="X49" i="97"/>
  <c r="AC202" i="97"/>
  <c r="AC84" i="97"/>
  <c r="U25" i="97"/>
  <c r="AB122" i="97"/>
  <c r="AE201" i="97"/>
  <c r="T70" i="97"/>
  <c r="Z172" i="97"/>
  <c r="AA20" i="97"/>
  <c r="T183" i="97"/>
  <c r="AA192" i="97"/>
  <c r="Y29" i="97"/>
  <c r="AD74" i="97"/>
  <c r="X79" i="97"/>
  <c r="Z34" i="97"/>
  <c r="Z59" i="97"/>
  <c r="AA240" i="97"/>
  <c r="V96" i="97"/>
  <c r="W61" i="97"/>
  <c r="AD24" i="97"/>
  <c r="X132" i="97"/>
  <c r="AC15" i="97"/>
  <c r="X105" i="97"/>
  <c r="Z71" i="97"/>
  <c r="AE29" i="97"/>
  <c r="V118" i="97"/>
  <c r="Y86" i="97"/>
  <c r="AC140" i="97"/>
  <c r="AB190" i="97"/>
  <c r="AC45" i="97"/>
  <c r="AC43" i="97"/>
  <c r="T185" i="97"/>
  <c r="AB11" i="97"/>
  <c r="Z211" i="97"/>
  <c r="U67" i="97"/>
  <c r="Z21" i="97"/>
  <c r="AC54" i="97"/>
  <c r="AE100" i="97"/>
  <c r="AB112" i="97"/>
  <c r="W45" i="97"/>
  <c r="X27" i="97"/>
  <c r="AA88" i="97"/>
  <c r="AA44" i="97"/>
  <c r="W108" i="97"/>
  <c r="AD61" i="97"/>
  <c r="Y17" i="97"/>
  <c r="V67" i="97"/>
  <c r="Y24" i="97"/>
  <c r="AB47" i="97"/>
  <c r="V21" i="97"/>
  <c r="X237" i="97"/>
  <c r="AE184" i="97"/>
  <c r="AD95" i="97"/>
  <c r="AD71" i="97"/>
  <c r="V49" i="97"/>
  <c r="AA38" i="97"/>
  <c r="Y238" i="97"/>
  <c r="T186" i="97"/>
  <c r="AC97" i="97"/>
  <c r="W76" i="97"/>
  <c r="Z50" i="97"/>
  <c r="Y40" i="97"/>
  <c r="Z239" i="97"/>
  <c r="W187" i="97"/>
  <c r="Y101" i="97"/>
  <c r="AE80" i="97"/>
  <c r="AD51" i="97"/>
  <c r="AA42" i="97"/>
  <c r="T247" i="97"/>
  <c r="Y188" i="97"/>
  <c r="AC104" i="97"/>
  <c r="V87" i="97"/>
  <c r="Y20" i="97"/>
  <c r="AD93" i="97"/>
  <c r="Y47" i="97"/>
  <c r="Y105" i="97"/>
  <c r="AD229" i="97"/>
  <c r="V120" i="97"/>
  <c r="Y286" i="97"/>
  <c r="Z204" i="97"/>
  <c r="Y94" i="97"/>
  <c r="W68" i="97"/>
  <c r="T82" i="97"/>
  <c r="W56" i="97"/>
  <c r="W106" i="97"/>
  <c r="AA45" i="97"/>
  <c r="T92" i="97"/>
  <c r="V27" i="97"/>
  <c r="V65" i="97"/>
  <c r="AC86" i="97"/>
  <c r="AC256" i="97"/>
  <c r="AE20" i="97"/>
  <c r="Z80" i="97"/>
  <c r="Z51" i="97"/>
  <c r="Z148" i="97"/>
  <c r="AD52" i="97"/>
  <c r="AB130" i="97"/>
  <c r="AB87" i="97"/>
  <c r="AC51" i="97"/>
  <c r="Y134" i="97"/>
  <c r="AC106" i="97"/>
  <c r="W159" i="97"/>
  <c r="Z16" i="97"/>
  <c r="AE61" i="97"/>
  <c r="W64" i="97"/>
  <c r="U13" i="97"/>
  <c r="AB38" i="97"/>
  <c r="AB227" i="97"/>
  <c r="W83" i="97"/>
  <c r="X43" i="97"/>
  <c r="AA76" i="97"/>
  <c r="Y119" i="97"/>
  <c r="X130" i="97"/>
  <c r="V84" i="97"/>
  <c r="Z43" i="97"/>
  <c r="V107" i="97"/>
  <c r="AC60" i="97"/>
  <c r="U16" i="97"/>
  <c r="T79" i="97"/>
  <c r="Z39" i="97"/>
  <c r="X83" i="97"/>
  <c r="W46" i="97"/>
  <c r="V75" i="97"/>
  <c r="AE74" i="97"/>
  <c r="AD15" i="97"/>
  <c r="AE200" i="97"/>
  <c r="W122" i="97"/>
  <c r="W120" i="97"/>
  <c r="Z76" i="97"/>
  <c r="T77" i="97"/>
  <c r="W18" i="97"/>
  <c r="T203" i="97"/>
  <c r="X125" i="97"/>
  <c r="Y122" i="97"/>
  <c r="AD77" i="97"/>
  <c r="AB78" i="97"/>
  <c r="AC20" i="97"/>
  <c r="U204" i="97"/>
  <c r="AC126" i="97"/>
  <c r="U125" i="97"/>
  <c r="AB13" i="97"/>
  <c r="Y80" i="97"/>
  <c r="AC23" i="97"/>
  <c r="V205" i="97"/>
  <c r="Y128" i="97"/>
  <c r="W127" i="97"/>
  <c r="T56" i="97"/>
  <c r="X118" i="97"/>
  <c r="AA96" i="97"/>
  <c r="U144" i="97"/>
  <c r="AD12" i="97"/>
  <c r="W149" i="97"/>
  <c r="AE306" i="97"/>
  <c r="T225" i="97"/>
  <c r="AE78" i="97"/>
  <c r="Y41" i="97"/>
  <c r="U128" i="97"/>
  <c r="AE103" i="97"/>
  <c r="X137" i="97"/>
  <c r="U243" i="97"/>
  <c r="AB152" i="97"/>
  <c r="U80" i="97"/>
  <c r="T91" i="97"/>
  <c r="Y64" i="97"/>
  <c r="T108" i="97"/>
  <c r="AB223" i="97"/>
  <c r="W125" i="97"/>
  <c r="X28" i="97"/>
  <c r="AC123" i="97"/>
  <c r="T204" i="97"/>
  <c r="AC61" i="97"/>
  <c r="T16" i="97"/>
  <c r="W49" i="97"/>
  <c r="X95" i="97"/>
  <c r="AD106" i="97"/>
  <c r="X34" i="97"/>
  <c r="U38" i="97"/>
  <c r="AC100" i="97"/>
  <c r="Z78" i="97"/>
  <c r="AD26" i="97"/>
  <c r="X90" i="97"/>
  <c r="W153" i="97"/>
  <c r="X12" i="97"/>
  <c r="W72" i="97"/>
  <c r="AA150" i="97"/>
  <c r="AC122" i="97"/>
  <c r="AB176" i="97"/>
  <c r="AB32" i="97"/>
  <c r="U79" i="97"/>
  <c r="AD10" i="97"/>
  <c r="U40" i="97"/>
  <c r="X65" i="97"/>
  <c r="AD243" i="97"/>
  <c r="T9" i="97"/>
  <c r="Y65" i="97"/>
  <c r="Y30" i="97"/>
  <c r="AA135" i="97"/>
  <c r="AB23" i="97"/>
  <c r="Z110" i="97"/>
  <c r="AB59" i="97"/>
  <c r="AD14" i="97"/>
  <c r="AE76" i="97"/>
  <c r="AB36" i="97"/>
  <c r="V95" i="97"/>
  <c r="T60" i="97"/>
  <c r="Z99" i="97"/>
  <c r="Z65" i="97"/>
  <c r="AD36" i="97"/>
  <c r="V110" i="97"/>
  <c r="Z66" i="97"/>
  <c r="U218" i="97"/>
  <c r="AA33" i="97"/>
  <c r="AE150" i="97"/>
  <c r="X38" i="97"/>
  <c r="X111" i="97"/>
  <c r="Z69" i="97"/>
  <c r="V219" i="97"/>
  <c r="AE38" i="97"/>
  <c r="Z152" i="97"/>
  <c r="AB39" i="97"/>
  <c r="Z112" i="97"/>
  <c r="V86" i="97"/>
  <c r="W220" i="97"/>
  <c r="W43" i="97"/>
  <c r="X154" i="97"/>
  <c r="W42" i="97"/>
  <c r="AC113" i="97"/>
  <c r="Y88" i="97"/>
  <c r="X221" i="97"/>
  <c r="AA48" i="97"/>
  <c r="W156" i="97"/>
  <c r="V15" i="97"/>
  <c r="Y146" i="97"/>
  <c r="V138" i="97"/>
  <c r="AA178" i="97"/>
  <c r="Z100" i="97"/>
  <c r="AE176" i="97"/>
  <c r="AC67" i="97"/>
  <c r="T242" i="97"/>
  <c r="V121" i="97"/>
  <c r="Y32" i="97"/>
  <c r="AE26" i="97"/>
  <c r="W138" i="97"/>
  <c r="V90" i="97"/>
  <c r="X259" i="97"/>
  <c r="Y177" i="97"/>
  <c r="AE47" i="97"/>
  <c r="V129" i="97"/>
  <c r="AE77" i="97"/>
  <c r="AE37" i="97"/>
  <c r="AD69" i="97"/>
  <c r="AA113" i="97"/>
  <c r="T126" i="97"/>
  <c r="Y74" i="97"/>
  <c r="W54" i="97"/>
  <c r="AE116" i="97"/>
  <c r="Y99" i="97"/>
  <c r="Y59" i="97"/>
  <c r="V115" i="97"/>
  <c r="T172" i="97"/>
  <c r="Z28" i="97"/>
  <c r="AB21" i="97"/>
  <c r="AC166" i="97"/>
  <c r="AE138" i="97"/>
  <c r="T194" i="97"/>
  <c r="AD48" i="97"/>
  <c r="W95" i="97"/>
  <c r="X31" i="97"/>
  <c r="AA74" i="97"/>
  <c r="U91" i="97"/>
  <c r="T261" i="97"/>
  <c r="V25" i="97"/>
  <c r="AB84" i="97"/>
  <c r="AB57" i="97"/>
  <c r="AC151" i="97"/>
  <c r="AC63" i="97"/>
  <c r="U135" i="97"/>
  <c r="AD75" i="97"/>
  <c r="X35" i="97"/>
  <c r="U94" i="97"/>
  <c r="AC58" i="97"/>
  <c r="AD18" i="97"/>
  <c r="AC10" i="97"/>
  <c r="V24" i="97"/>
  <c r="V16" i="97"/>
  <c r="AB65" i="97"/>
  <c r="Y132" i="97"/>
  <c r="AA118" i="97"/>
  <c r="AE23" i="97"/>
  <c r="Y96" i="97"/>
  <c r="AD175" i="97"/>
  <c r="Z68" i="97"/>
  <c r="Z133" i="97"/>
  <c r="T120" i="97"/>
  <c r="AA26" i="97"/>
  <c r="T100" i="97"/>
  <c r="W177" i="97"/>
  <c r="U78" i="97"/>
  <c r="AA134" i="97"/>
  <c r="Y121" i="97"/>
  <c r="X29" i="97"/>
  <c r="AA102" i="97"/>
  <c r="AD178" i="97"/>
  <c r="Y79" i="97"/>
  <c r="AB135" i="97"/>
  <c r="U123" i="97"/>
  <c r="T32" i="97"/>
  <c r="AE104" i="97"/>
  <c r="V26" i="97"/>
  <c r="U61" i="97"/>
  <c r="AE30" i="97"/>
  <c r="Y167" i="97"/>
  <c r="AC53" i="97"/>
  <c r="AD162" i="97"/>
  <c r="AE199" i="97"/>
  <c r="X136" i="97"/>
  <c r="AA260" i="97"/>
  <c r="AA153" i="97"/>
  <c r="Z111" i="97"/>
  <c r="U85" i="97"/>
  <c r="AC161" i="97"/>
  <c r="AB144" i="97"/>
  <c r="AC275" i="97"/>
  <c r="U200" i="97"/>
  <c r="AA36" i="97"/>
  <c r="T29" i="97"/>
  <c r="AA139" i="97"/>
  <c r="Y93" i="97"/>
  <c r="Z260" i="97"/>
  <c r="U95" i="97"/>
  <c r="Y58" i="97"/>
  <c r="AB22" i="97"/>
  <c r="W131" i="97"/>
  <c r="AC12" i="97"/>
  <c r="AD103" i="97"/>
  <c r="Y70" i="97"/>
  <c r="AA28" i="97"/>
  <c r="T117" i="97"/>
  <c r="T85" i="97"/>
  <c r="Y139" i="97"/>
  <c r="Z189" i="97"/>
  <c r="AB44" i="97"/>
  <c r="V42" i="97"/>
  <c r="AE182" i="97"/>
  <c r="AD9" i="97"/>
  <c r="Y210" i="97"/>
  <c r="T66" i="97"/>
  <c r="V20" i="97"/>
  <c r="Y53" i="97"/>
  <c r="AC99" i="97"/>
  <c r="Y111" i="97"/>
  <c r="AD42" i="97"/>
  <c r="X41" i="97"/>
  <c r="T105" i="97"/>
  <c r="Z83" i="97"/>
  <c r="Y36" i="97"/>
  <c r="Z96" i="97"/>
  <c r="V158" i="97"/>
  <c r="T93" i="97"/>
  <c r="V57" i="97"/>
  <c r="AC17" i="97"/>
  <c r="Y9" i="97"/>
  <c r="T36" i="97"/>
  <c r="W31" i="97"/>
  <c r="X40" i="97"/>
  <c r="AC36" i="97"/>
  <c r="Y38" i="97"/>
  <c r="W17" i="97"/>
  <c r="U149" i="97"/>
  <c r="AB66" i="97"/>
  <c r="AC131" i="97"/>
  <c r="W198" i="97"/>
  <c r="T40" i="97"/>
  <c r="Y19" i="97"/>
  <c r="X159" i="97"/>
  <c r="U72" i="97"/>
  <c r="U134" i="97"/>
  <c r="T10" i="97"/>
  <c r="AE41" i="97"/>
  <c r="W21" i="97"/>
  <c r="Z160" i="97"/>
  <c r="Y75" i="97"/>
  <c r="W136" i="97"/>
  <c r="V12" i="97"/>
  <c r="T44" i="97"/>
  <c r="Y23" i="97"/>
  <c r="AB161" i="97"/>
  <c r="AA77" i="97"/>
  <c r="AB138" i="97"/>
  <c r="AA73" i="97"/>
  <c r="AB93" i="97"/>
  <c r="AC78" i="97"/>
  <c r="AB18" i="97"/>
  <c r="AD107" i="97"/>
  <c r="AC199" i="97"/>
  <c r="AA64" i="97"/>
  <c r="V169" i="97"/>
  <c r="AD11" i="97"/>
  <c r="AC179" i="97"/>
  <c r="AA32" i="97"/>
  <c r="AC135" i="97"/>
  <c r="AA189" i="97"/>
  <c r="V177" i="97"/>
  <c r="U63" i="97"/>
  <c r="AB219" i="97"/>
  <c r="AA21" i="97"/>
  <c r="AD19" i="97"/>
  <c r="V79" i="97"/>
  <c r="AB49" i="97"/>
  <c r="Y147" i="97"/>
  <c r="AB50" i="97"/>
  <c r="AA127" i="97"/>
  <c r="AA86" i="97"/>
  <c r="Y50" i="97"/>
  <c r="X133" i="97"/>
  <c r="AA105" i="97"/>
  <c r="T158" i="97"/>
  <c r="Y15" i="97"/>
  <c r="AD60" i="97"/>
  <c r="AC62" i="97"/>
  <c r="Z11" i="97"/>
  <c r="Z36" i="97"/>
  <c r="AA226" i="97"/>
  <c r="V82" i="97"/>
  <c r="T42" i="97"/>
  <c r="W75" i="97"/>
  <c r="W118" i="97"/>
  <c r="W129" i="97"/>
  <c r="Z82" i="97"/>
  <c r="Z57" i="97"/>
  <c r="AB10" i="97"/>
  <c r="W104" i="97"/>
  <c r="W65" i="97"/>
  <c r="X121" i="97"/>
  <c r="AA175" i="97"/>
  <c r="AB16" i="97"/>
  <c r="AC77" i="97"/>
  <c r="AE33" i="97"/>
  <c r="AB28" i="97"/>
  <c r="V52" i="97"/>
  <c r="U11" i="97"/>
  <c r="Z56" i="97"/>
  <c r="T52" i="97"/>
  <c r="Z74" i="97"/>
  <c r="AE53" i="97"/>
  <c r="X181" i="97"/>
  <c r="Z102" i="97"/>
  <c r="U159" i="97"/>
  <c r="X56" i="97"/>
  <c r="AE84" i="97"/>
  <c r="AC55" i="97"/>
  <c r="Z182" i="97"/>
  <c r="T104" i="97"/>
  <c r="Z162" i="97"/>
  <c r="Y57" i="97"/>
  <c r="W86" i="97"/>
  <c r="AE57" i="97"/>
  <c r="AB183" i="97"/>
  <c r="AD105" i="97"/>
  <c r="W164" i="97"/>
  <c r="Z58" i="97"/>
  <c r="AE87" i="97"/>
  <c r="U69" i="97"/>
  <c r="AD184" i="97"/>
  <c r="X107" i="97"/>
  <c r="AD165" i="97"/>
  <c r="AA30" i="97"/>
  <c r="AB123" i="97"/>
  <c r="AD113" i="97"/>
  <c r="X84" i="97"/>
  <c r="AC9" i="97"/>
  <c r="X222" i="97"/>
  <c r="AE46" i="97"/>
  <c r="X201" i="97"/>
  <c r="X81" i="97"/>
  <c r="AA203" i="97"/>
  <c r="W16" i="97"/>
  <c r="Y82" i="97"/>
  <c r="AA210" i="97"/>
  <c r="V53" i="97"/>
  <c r="AD115" i="97"/>
  <c r="T98" i="97"/>
  <c r="AD57" i="97"/>
  <c r="X113" i="97"/>
  <c r="AE170" i="97"/>
  <c r="Y27" i="97"/>
  <c r="X20" i="97"/>
  <c r="AB165" i="97"/>
  <c r="AD137" i="97"/>
  <c r="AE192" i="97"/>
  <c r="AC47" i="97"/>
  <c r="V94" i="97"/>
  <c r="T30" i="97"/>
  <c r="AD70" i="97"/>
  <c r="Z89" i="97"/>
  <c r="AE258" i="97"/>
  <c r="U24" i="97"/>
  <c r="U83" i="97"/>
  <c r="Z55" i="97"/>
  <c r="AB150" i="97"/>
  <c r="W58" i="97"/>
  <c r="AC133" i="97"/>
  <c r="AD89" i="97"/>
  <c r="AA54" i="97"/>
  <c r="AA136" i="97"/>
  <c r="T109" i="97"/>
  <c r="AA161" i="97"/>
  <c r="Z210" i="97"/>
  <c r="T50" i="97"/>
  <c r="AD20" i="97"/>
  <c r="W67" i="97"/>
  <c r="U39" i="97"/>
  <c r="Z84" i="97"/>
  <c r="Y43" i="97"/>
  <c r="AD88" i="97"/>
  <c r="AE48" i="97"/>
  <c r="AB137" i="97"/>
  <c r="AD122" i="97"/>
  <c r="Y223" i="97"/>
  <c r="AD150" i="97"/>
  <c r="Z208" i="97"/>
  <c r="U52" i="97"/>
  <c r="AC138" i="97"/>
  <c r="AE123" i="97"/>
  <c r="Z224" i="97"/>
  <c r="U152" i="97"/>
  <c r="AD209" i="97"/>
  <c r="AA58" i="97"/>
  <c r="AD139" i="97"/>
  <c r="Y131" i="97"/>
  <c r="AA225" i="97"/>
  <c r="Y153" i="97"/>
  <c r="U211" i="97"/>
  <c r="AE62" i="97"/>
  <c r="AE140" i="97"/>
  <c r="Z132" i="97"/>
  <c r="AB226" i="97"/>
  <c r="AC154" i="97"/>
  <c r="Y212" i="97"/>
  <c r="W25" i="97"/>
  <c r="W174" i="97"/>
  <c r="V69" i="97"/>
  <c r="W39" i="97"/>
  <c r="T127" i="97"/>
  <c r="Y102" i="97"/>
  <c r="W134" i="97"/>
  <c r="AD240" i="97"/>
  <c r="T151" i="97"/>
  <c r="Z141" i="97"/>
  <c r="X69" i="97"/>
  <c r="T27" i="97"/>
  <c r="AE115" i="97"/>
  <c r="AB83" i="97"/>
  <c r="U138" i="97"/>
  <c r="X188" i="97"/>
  <c r="AA43" i="97"/>
  <c r="AE40" i="97"/>
  <c r="AD181" i="97"/>
  <c r="T155" i="97"/>
  <c r="X209" i="97"/>
  <c r="AE63" i="97"/>
  <c r="AE18" i="97"/>
  <c r="AE51" i="97"/>
  <c r="U98" i="97"/>
  <c r="W110" i="97"/>
  <c r="AD39" i="97"/>
  <c r="W40" i="97"/>
  <c r="AE102" i="97"/>
  <c r="AC81" i="97"/>
  <c r="AA34" i="97"/>
  <c r="AA94" i="97"/>
  <c r="AD155" i="97"/>
  <c r="Z14" i="97"/>
  <c r="U75" i="97"/>
  <c r="AC152" i="97"/>
  <c r="AE124" i="97"/>
  <c r="U180" i="97"/>
  <c r="AC19" i="97"/>
  <c r="V66" i="97"/>
  <c r="T38" i="97"/>
  <c r="Y83" i="97"/>
  <c r="W55" i="97"/>
  <c r="V9" i="97"/>
  <c r="AA59" i="97"/>
  <c r="V13" i="97"/>
  <c r="X97" i="97"/>
  <c r="W160" i="97"/>
  <c r="W34" i="97"/>
  <c r="AC34" i="97"/>
  <c r="AC168" i="97"/>
  <c r="T229" i="97"/>
  <c r="Y98" i="97"/>
  <c r="X161" i="97"/>
  <c r="W37" i="97"/>
  <c r="Y37" i="97"/>
  <c r="AE169" i="97"/>
  <c r="W230" i="97"/>
  <c r="U9" i="97"/>
  <c r="Y162" i="97"/>
  <c r="AC39" i="97"/>
  <c r="AE39" i="97"/>
  <c r="U171" i="97"/>
  <c r="Y231" i="97"/>
  <c r="AA15" i="97"/>
  <c r="Z163" i="97"/>
  <c r="AC42" i="97"/>
  <c r="AE42" i="97"/>
  <c r="W172" i="97"/>
  <c r="AA232" i="97"/>
  <c r="AA71" i="97"/>
  <c r="AD195" i="97"/>
  <c r="AA108" i="97"/>
  <c r="AD29" i="97"/>
  <c r="T25" i="97"/>
  <c r="AE136" i="97"/>
  <c r="U87" i="97"/>
  <c r="V258" i="97"/>
  <c r="U174" i="97"/>
  <c r="Z178" i="97"/>
  <c r="AA106" i="97"/>
  <c r="AE230" i="97"/>
  <c r="AE121" i="97"/>
  <c r="Z287" i="97"/>
  <c r="AD205" i="97"/>
  <c r="T18" i="97"/>
  <c r="W59" i="97"/>
  <c r="Z85" i="97"/>
  <c r="U49" i="97"/>
  <c r="W132" i="97"/>
  <c r="Y104" i="97"/>
  <c r="AE156" i="97"/>
  <c r="X14" i="97"/>
  <c r="AC59" i="97"/>
  <c r="Y61" i="97"/>
  <c r="AB9" i="97"/>
  <c r="AB34" i="97"/>
  <c r="Z225" i="97"/>
  <c r="U81" i="97"/>
  <c r="AC40" i="97"/>
  <c r="Y72" i="97"/>
  <c r="U117" i="97"/>
  <c r="V128" i="97"/>
  <c r="AD79" i="97"/>
  <c r="Y56" i="97"/>
  <c r="X9" i="97"/>
  <c r="U103" i="97"/>
  <c r="Y63" i="97"/>
  <c r="Z118" i="97"/>
  <c r="Y174" i="97"/>
  <c r="AB30" i="97"/>
  <c r="Z24" i="97"/>
  <c r="AE168" i="97"/>
  <c r="U142" i="97"/>
  <c r="X196" i="97"/>
  <c r="AE35" i="97"/>
  <c r="X82" i="97"/>
  <c r="V54" i="97"/>
  <c r="AA99" i="97"/>
  <c r="Y71" i="97"/>
  <c r="W28" i="97"/>
  <c r="AC75" i="97"/>
  <c r="W35" i="97"/>
  <c r="V10" i="97"/>
  <c r="X26" i="97"/>
  <c r="T19" i="97"/>
  <c r="AA164" i="97"/>
  <c r="AC136" i="97"/>
  <c r="AC191" i="97"/>
  <c r="AB46" i="97"/>
  <c r="U93" i="97"/>
  <c r="AC28" i="97"/>
  <c r="X67" i="97"/>
  <c r="U88" i="97"/>
  <c r="AD257" i="97"/>
  <c r="T23" i="97"/>
  <c r="AD81" i="97"/>
  <c r="AB53" i="97"/>
  <c r="AA149" i="97"/>
  <c r="U56" i="97"/>
  <c r="T132" i="97"/>
  <c r="AC88" i="97"/>
  <c r="T53" i="97"/>
  <c r="Z135" i="97"/>
  <c r="AE107" i="97"/>
  <c r="Y160" i="97"/>
  <c r="AA17" i="97"/>
  <c r="T64" i="97"/>
  <c r="AA65" i="97"/>
  <c r="W15" i="97"/>
  <c r="Z40" i="97"/>
  <c r="AC228" i="97"/>
  <c r="W69" i="97"/>
  <c r="X24" i="97"/>
  <c r="Z86" i="97"/>
  <c r="Z47" i="97"/>
  <c r="X13" i="97"/>
  <c r="AE70" i="97"/>
  <c r="AB17" i="97"/>
  <c r="X76" i="97"/>
  <c r="U57" i="97"/>
  <c r="AE81" i="97"/>
  <c r="AC162" i="97"/>
  <c r="X129" i="97"/>
  <c r="Z48" i="97"/>
  <c r="T281" i="97"/>
  <c r="AC66" i="97"/>
  <c r="AA83" i="97"/>
  <c r="AE163" i="97"/>
  <c r="AC130" i="97"/>
  <c r="V51" i="97"/>
  <c r="U282" i="97"/>
  <c r="V72" i="97"/>
  <c r="X86" i="97"/>
  <c r="T165" i="97"/>
  <c r="U132" i="97"/>
  <c r="AB56" i="97"/>
  <c r="V283" i="97"/>
  <c r="Z73" i="97"/>
  <c r="T37" i="97"/>
  <c r="Y150" i="97"/>
  <c r="U109" i="97"/>
  <c r="Y133" i="97"/>
  <c r="AD28" i="97"/>
  <c r="V80" i="97"/>
  <c r="U53" i="97"/>
  <c r="X68" i="97"/>
  <c r="W188" i="97"/>
  <c r="X22" i="97"/>
  <c r="AD98" i="97"/>
  <c r="W298" i="97"/>
  <c r="AA82" i="97"/>
  <c r="W20" i="97"/>
  <c r="AD133" i="97"/>
  <c r="AC92" i="97"/>
  <c r="Y110" i="97"/>
  <c r="Z93" i="97"/>
  <c r="V257" i="97"/>
  <c r="Y26" i="97"/>
  <c r="W90" i="97"/>
  <c r="AB40" i="97"/>
  <c r="AE93" i="97"/>
  <c r="Y21" i="97"/>
  <c r="U310" i="97"/>
  <c r="Z87" i="97"/>
  <c r="V81" i="97"/>
  <c r="AB42" i="97"/>
  <c r="T164" i="97"/>
  <c r="AB148" i="97"/>
  <c r="AE277" i="97"/>
  <c r="V203" i="97"/>
  <c r="X42" i="97"/>
  <c r="V130" i="97"/>
  <c r="AC49" i="97"/>
  <c r="V172" i="97"/>
  <c r="AB303" i="97"/>
  <c r="U137" i="97"/>
  <c r="Z257" i="97"/>
  <c r="V22" i="97"/>
  <c r="X243" i="97"/>
  <c r="T211" i="97"/>
  <c r="AC87" i="97"/>
  <c r="AB255" i="97"/>
  <c r="AB117" i="97"/>
  <c r="U161" i="97"/>
  <c r="T173" i="97"/>
  <c r="AA222" i="97"/>
  <c r="Y316" i="97"/>
  <c r="AC201" i="97"/>
  <c r="V209" i="97"/>
  <c r="T17" i="97"/>
  <c r="AE15" i="97"/>
  <c r="W201" i="97"/>
  <c r="W251" i="97"/>
  <c r="AA158" i="97"/>
  <c r="AE290" i="97"/>
  <c r="AA156" i="97"/>
  <c r="AE56" i="97"/>
  <c r="AC315" i="97"/>
  <c r="X74" i="97"/>
  <c r="U193" i="97"/>
  <c r="AD262" i="97"/>
  <c r="Y81" i="97"/>
  <c r="X100" i="97"/>
  <c r="V259" i="97"/>
  <c r="AD37" i="97"/>
  <c r="W322" i="97"/>
  <c r="X175" i="97"/>
  <c r="AD152" i="97"/>
  <c r="W48" i="97"/>
  <c r="X126" i="97"/>
  <c r="X215" i="97"/>
  <c r="AE247" i="97"/>
  <c r="AC322" i="97"/>
  <c r="Z214" i="97"/>
  <c r="AA211" i="97"/>
  <c r="W237" i="97"/>
  <c r="Y186" i="97"/>
  <c r="AE272" i="97"/>
  <c r="AE97" i="97"/>
  <c r="Z290" i="97"/>
  <c r="Z158" i="97"/>
  <c r="W291" i="97"/>
  <c r="V142" i="97"/>
  <c r="Z42" i="97"/>
  <c r="Z30" i="97"/>
  <c r="Z175" i="97"/>
  <c r="AD30" i="97"/>
  <c r="X119" i="97"/>
  <c r="Z32" i="97"/>
  <c r="Y85" i="97"/>
  <c r="T49" i="97"/>
  <c r="AE28" i="97"/>
  <c r="Z183" i="97"/>
  <c r="AA130" i="97"/>
  <c r="Y14" i="97"/>
  <c r="AA110" i="97"/>
  <c r="Z113" i="97"/>
  <c r="X153" i="97"/>
  <c r="T34" i="97"/>
  <c r="AD25" i="97"/>
  <c r="AD142" i="97"/>
  <c r="AD68" i="97"/>
  <c r="X102" i="97"/>
  <c r="T139" i="97"/>
  <c r="AC82" i="97"/>
  <c r="AE137" i="97"/>
  <c r="AE88" i="97"/>
  <c r="AA93" i="97"/>
  <c r="AD154" i="97"/>
  <c r="U65" i="97"/>
  <c r="Z95" i="97"/>
  <c r="AE191" i="97"/>
  <c r="Z180" i="97"/>
  <c r="AD72" i="97"/>
  <c r="AD223" i="97"/>
  <c r="AB31" i="97"/>
  <c r="T46" i="97"/>
  <c r="AB136" i="97"/>
  <c r="AC198" i="97"/>
  <c r="AB102" i="97"/>
  <c r="X169" i="97"/>
  <c r="V279" i="97"/>
  <c r="X116" i="97"/>
  <c r="X267" i="97"/>
  <c r="Y240" i="97"/>
  <c r="AD40" i="97"/>
  <c r="V126" i="97"/>
  <c r="AD80" i="97"/>
  <c r="AA193" i="97"/>
  <c r="Z206" i="97"/>
  <c r="V246" i="97"/>
  <c r="AA332" i="97"/>
  <c r="Z233" i="97"/>
  <c r="Y255" i="97"/>
  <c r="AB96" i="97"/>
  <c r="Z90" i="97"/>
  <c r="T243" i="97"/>
  <c r="AB273" i="97"/>
  <c r="U201" i="97"/>
  <c r="Y309" i="97"/>
  <c r="AA191" i="97"/>
  <c r="U136" i="97"/>
  <c r="V68" i="97"/>
  <c r="AC155" i="97"/>
  <c r="Z45" i="97"/>
  <c r="V30" i="97"/>
  <c r="AD91" i="97"/>
  <c r="Z153" i="97"/>
  <c r="AD282" i="97"/>
  <c r="V124" i="97"/>
  <c r="Z31" i="97"/>
  <c r="X80" i="97"/>
  <c r="W103" i="97"/>
  <c r="AC121" i="97"/>
  <c r="W165" i="97"/>
  <c r="AA246" i="97"/>
  <c r="Y269" i="97"/>
  <c r="T28" i="97"/>
  <c r="Y241" i="97"/>
  <c r="T72" i="97"/>
  <c r="Y271" i="97"/>
  <c r="AA247" i="97"/>
  <c r="AC303" i="97"/>
  <c r="V167" i="97"/>
  <c r="AB99" i="97"/>
  <c r="AD62" i="97"/>
  <c r="AB241" i="97"/>
  <c r="Z63" i="97"/>
  <c r="AB151" i="97"/>
  <c r="T45" i="97"/>
  <c r="AD32" i="97"/>
  <c r="Y91" i="97"/>
  <c r="W111" i="97"/>
  <c r="X245" i="97"/>
  <c r="V188" i="97"/>
  <c r="Y55" i="97"/>
  <c r="T152" i="97"/>
  <c r="Z191" i="97"/>
  <c r="V132" i="97"/>
  <c r="Z17" i="97"/>
  <c r="AE73" i="97"/>
  <c r="Y175" i="97"/>
  <c r="X216" i="97"/>
  <c r="U165" i="97"/>
  <c r="AB170" i="97"/>
  <c r="AA123" i="97"/>
  <c r="U84" i="97"/>
  <c r="W123" i="97"/>
  <c r="W141" i="97"/>
  <c r="W179" i="97"/>
  <c r="AE44" i="97"/>
  <c r="AE9" i="97"/>
  <c r="AC212" i="97"/>
  <c r="AE217" i="97"/>
  <c r="V125" i="97"/>
  <c r="Y244" i="97"/>
  <c r="W96" i="97"/>
  <c r="AD99" i="97"/>
  <c r="V71" i="97"/>
  <c r="AE228" i="97"/>
  <c r="T161" i="97"/>
  <c r="AE205" i="97"/>
  <c r="AC297" i="97"/>
  <c r="Y161" i="97"/>
  <c r="X286" i="97"/>
  <c r="W263" i="97"/>
  <c r="AC69" i="97"/>
  <c r="W195" i="97"/>
  <c r="W154" i="97"/>
  <c r="V222" i="97"/>
  <c r="X99" i="97"/>
  <c r="AD272" i="97"/>
  <c r="V101" i="97"/>
  <c r="AE257" i="97"/>
  <c r="AD288" i="97"/>
  <c r="U172" i="97"/>
  <c r="V135" i="97"/>
  <c r="AB275" i="97"/>
  <c r="AA97" i="97"/>
  <c r="AB234" i="97"/>
  <c r="T326" i="97"/>
  <c r="AC222" i="97"/>
  <c r="AD182" i="97"/>
  <c r="AE90" i="97"/>
  <c r="AB213" i="97"/>
  <c r="T76" i="97"/>
  <c r="AB107" i="97"/>
  <c r="U140" i="97"/>
  <c r="T189" i="97"/>
  <c r="X301" i="97"/>
  <c r="Y169" i="97"/>
  <c r="Z157" i="97"/>
  <c r="X146" i="97"/>
  <c r="W44" i="97"/>
  <c r="X110" i="97"/>
  <c r="AC197" i="97"/>
  <c r="V268" i="97"/>
  <c r="V32" i="97"/>
  <c r="W116" i="97"/>
  <c r="AB268" i="97"/>
  <c r="AB154" i="97"/>
  <c r="X127" i="97"/>
  <c r="T278" i="97"/>
  <c r="U326" i="97"/>
  <c r="Z221" i="97"/>
  <c r="T87" i="97"/>
  <c r="AA267" i="97"/>
  <c r="AB91" i="97"/>
  <c r="AB237" i="97"/>
  <c r="U41" i="97"/>
  <c r="U68" i="97"/>
  <c r="W11" i="97"/>
  <c r="X37" i="97"/>
  <c r="V18" i="97"/>
  <c r="Z134" i="97"/>
  <c r="U12" i="97"/>
  <c r="Z98" i="97"/>
  <c r="W27" i="97"/>
  <c r="AA98" i="97"/>
  <c r="AD263" i="97"/>
  <c r="W207" i="97"/>
  <c r="AA10" i="97"/>
  <c r="AD130" i="97"/>
  <c r="U48" i="97"/>
  <c r="AB189" i="97"/>
  <c r="W146" i="97"/>
  <c r="AE58" i="97"/>
  <c r="AB205" i="97"/>
  <c r="U246" i="97"/>
  <c r="AD200" i="97"/>
  <c r="U222" i="97"/>
  <c r="X155" i="97"/>
  <c r="X150" i="97"/>
  <c r="V157" i="97"/>
  <c r="Y204" i="97"/>
  <c r="Z201" i="97"/>
  <c r="AE22" i="97"/>
  <c r="AC103" i="97"/>
  <c r="T35" i="97"/>
  <c r="AC240" i="97"/>
  <c r="AB159" i="97"/>
  <c r="AB260" i="97"/>
  <c r="W81" i="97"/>
  <c r="X145" i="97"/>
  <c r="AA148" i="97"/>
  <c r="T99" i="97"/>
  <c r="AD196" i="97"/>
  <c r="AD232" i="97"/>
  <c r="U315" i="97"/>
  <c r="V199" i="97"/>
  <c r="AD303" i="97"/>
  <c r="X283" i="97"/>
  <c r="Y11" i="97"/>
  <c r="AE12" i="97"/>
  <c r="AA199" i="97"/>
  <c r="U250" i="97"/>
  <c r="AB155" i="97"/>
  <c r="AC289" i="97"/>
  <c r="AC153" i="97"/>
  <c r="AA49" i="97"/>
  <c r="AD313" i="97"/>
  <c r="X63" i="97"/>
  <c r="Z174" i="97"/>
  <c r="AD305" i="97"/>
  <c r="Y141" i="97"/>
  <c r="AD260" i="97"/>
  <c r="AB37" i="97"/>
  <c r="X246" i="97"/>
  <c r="AA215" i="97"/>
  <c r="AC14" i="97"/>
  <c r="AC50" i="97"/>
  <c r="AE120" i="97"/>
  <c r="Y164" i="97"/>
  <c r="X176" i="97"/>
  <c r="T226" i="97"/>
  <c r="AA318" i="97"/>
  <c r="Y206" i="97"/>
  <c r="W216" i="97"/>
  <c r="U102" i="97"/>
  <c r="AC18" i="97"/>
  <c r="U173" i="97"/>
  <c r="V14" i="97"/>
  <c r="AC48" i="97"/>
  <c r="AB103" i="97"/>
  <c r="AB163" i="97"/>
  <c r="AB288" i="97"/>
  <c r="AB197" i="97"/>
  <c r="Z185" i="97"/>
  <c r="V308" i="97"/>
  <c r="W85" i="97"/>
  <c r="V255" i="97"/>
  <c r="T180" i="97"/>
  <c r="AA39" i="97"/>
  <c r="AE75" i="97"/>
  <c r="AA31" i="97"/>
  <c r="AA92" i="97"/>
  <c r="T88" i="97"/>
  <c r="Y120" i="97"/>
  <c r="V46" i="97"/>
  <c r="AE91" i="97"/>
  <c r="U86" i="97"/>
  <c r="V297" i="97"/>
  <c r="AE79" i="97"/>
  <c r="Z13" i="97"/>
  <c r="Z188" i="97"/>
  <c r="X89" i="97"/>
  <c r="X16" i="97"/>
  <c r="AA55" i="97"/>
  <c r="T73" i="97"/>
  <c r="V237" i="97"/>
  <c r="Z268" i="97"/>
  <c r="Y18" i="97"/>
  <c r="X120" i="97"/>
  <c r="V181" i="97"/>
  <c r="Z197" i="97"/>
  <c r="V179" i="97"/>
  <c r="W244" i="97"/>
  <c r="Z222" i="97"/>
  <c r="Y35" i="97"/>
  <c r="AE151" i="97"/>
  <c r="AA90" i="97"/>
  <c r="V269" i="97"/>
  <c r="T184" i="97"/>
  <c r="Z49" i="97"/>
  <c r="T75" i="97"/>
  <c r="U50" i="97"/>
  <c r="X103" i="97"/>
  <c r="AD143" i="97"/>
  <c r="Z231" i="97"/>
  <c r="T256" i="97"/>
  <c r="X331" i="97"/>
  <c r="W228" i="97"/>
  <c r="AD320" i="97"/>
  <c r="AC300" i="97"/>
  <c r="T95" i="97"/>
  <c r="Z88" i="97"/>
  <c r="AE241" i="97"/>
  <c r="AA272" i="97"/>
  <c r="V196" i="97"/>
  <c r="W308" i="97"/>
  <c r="AB76" i="97"/>
  <c r="X17" i="97"/>
  <c r="W97" i="97"/>
  <c r="AC242" i="97"/>
  <c r="AD123" i="97"/>
  <c r="U186" i="97"/>
  <c r="U27" i="97"/>
  <c r="AD33" i="97"/>
  <c r="AE128" i="97"/>
  <c r="U10" i="97"/>
  <c r="AC108" i="97"/>
  <c r="X112" i="97"/>
  <c r="AE13" i="97"/>
  <c r="AA121" i="97"/>
  <c r="U59" i="97"/>
  <c r="T102" i="97"/>
  <c r="AC83" i="97"/>
  <c r="AD220" i="97"/>
  <c r="T24" i="97"/>
  <c r="AE86" i="97"/>
  <c r="X156" i="97"/>
  <c r="AC89" i="97"/>
  <c r="T233" i="97"/>
  <c r="U203" i="97"/>
  <c r="AD276" i="97"/>
  <c r="W243" i="97"/>
  <c r="U19" i="97"/>
  <c r="AA198" i="97"/>
  <c r="AB124" i="97"/>
  <c r="AB289" i="97"/>
  <c r="AB208" i="97"/>
  <c r="AC27" i="97"/>
  <c r="AB43" i="97"/>
  <c r="U116" i="97"/>
  <c r="X47" i="97"/>
  <c r="AB182" i="97"/>
  <c r="AC254" i="97"/>
  <c r="AA68" i="97"/>
  <c r="AD83" i="97"/>
  <c r="X254" i="97"/>
  <c r="U14" i="97"/>
  <c r="T319" i="97"/>
  <c r="T171" i="97"/>
  <c r="Y148" i="97"/>
  <c r="AB69" i="97"/>
  <c r="V39" i="97"/>
  <c r="U107" i="97"/>
  <c r="AB20" i="97"/>
  <c r="U44" i="97"/>
  <c r="X70" i="97"/>
  <c r="AB72" i="97"/>
  <c r="T187" i="97"/>
  <c r="X54" i="97"/>
  <c r="Z150" i="97"/>
  <c r="Y190" i="97"/>
  <c r="AD27" i="97"/>
  <c r="V102" i="97"/>
  <c r="W30" i="97"/>
  <c r="AE125" i="97"/>
  <c r="AB134" i="97"/>
  <c r="AB274" i="97"/>
  <c r="V60" i="97"/>
  <c r="T156" i="97"/>
  <c r="AB180" i="97"/>
  <c r="U34" i="97"/>
  <c r="V29" i="97"/>
  <c r="X52" i="97"/>
  <c r="AD67" i="97"/>
  <c r="Z259" i="97"/>
  <c r="T63" i="97"/>
  <c r="U234" i="97"/>
  <c r="X158" i="97"/>
  <c r="V311" i="97"/>
  <c r="V229" i="97"/>
  <c r="T89" i="97"/>
  <c r="AB54" i="97"/>
  <c r="W41" i="97"/>
  <c r="AE144" i="97"/>
  <c r="AA37" i="97"/>
  <c r="Y16" i="97"/>
  <c r="AD64" i="97"/>
  <c r="Y144" i="97"/>
  <c r="X279" i="97"/>
  <c r="W109" i="97"/>
  <c r="V335" i="97"/>
  <c r="AC180" i="97"/>
  <c r="AB80" i="97"/>
  <c r="T78" i="97"/>
  <c r="AA154" i="97"/>
  <c r="W142" i="97"/>
  <c r="Y89" i="97"/>
  <c r="W12" i="97"/>
  <c r="AD55" i="97"/>
  <c r="V206" i="97"/>
  <c r="W9" i="97"/>
  <c r="Y129" i="97"/>
  <c r="X32" i="97"/>
  <c r="AD186" i="97"/>
  <c r="W102" i="97"/>
  <c r="AB188" i="97"/>
  <c r="AE153" i="97"/>
  <c r="AC79" i="97"/>
  <c r="U58" i="97"/>
  <c r="T48" i="97"/>
  <c r="T178" i="97"/>
  <c r="X226" i="97"/>
  <c r="AD17" i="97"/>
  <c r="Y113" i="97"/>
  <c r="W140" i="97"/>
  <c r="Z122" i="97"/>
  <c r="AC44" i="97"/>
  <c r="W63" i="97"/>
  <c r="AE31" i="97"/>
  <c r="X180" i="97"/>
  <c r="V97" i="97"/>
  <c r="Z245" i="97"/>
  <c r="Z128" i="97"/>
  <c r="AE25" i="97"/>
  <c r="T65" i="97"/>
  <c r="T205" i="97"/>
  <c r="AE43" i="97"/>
  <c r="V100" i="97"/>
  <c r="T133" i="97"/>
  <c r="AA181" i="97"/>
  <c r="AE297" i="97"/>
  <c r="AE161" i="97"/>
  <c r="AA142" i="97"/>
  <c r="AC137" i="97"/>
  <c r="AD199" i="97"/>
  <c r="AA107" i="97"/>
  <c r="V171" i="97"/>
  <c r="X280" i="97"/>
  <c r="X23" i="97"/>
  <c r="AA50" i="97"/>
  <c r="AA62" i="97"/>
  <c r="X98" i="97"/>
  <c r="AD177" i="97"/>
  <c r="AD13" i="97"/>
  <c r="U51" i="97"/>
  <c r="AE96" i="97"/>
  <c r="Z77" i="97"/>
  <c r="AC114" i="97"/>
  <c r="X187" i="97"/>
  <c r="Z120" i="97"/>
  <c r="AB247" i="97"/>
  <c r="T135" i="97"/>
  <c r="AD248" i="97"/>
  <c r="AD136" i="97"/>
  <c r="V146" i="97"/>
  <c r="AD117" i="97"/>
  <c r="V145" i="97"/>
  <c r="T202" i="97"/>
  <c r="V243" i="97"/>
  <c r="Z61" i="97"/>
  <c r="W166" i="97"/>
  <c r="AD146" i="97"/>
  <c r="AD157" i="97"/>
  <c r="Z22" i="97"/>
  <c r="AE108" i="97"/>
  <c r="W115" i="97"/>
  <c r="Z18" i="97"/>
  <c r="AE142" i="97"/>
  <c r="T265" i="97"/>
  <c r="AB158" i="97"/>
  <c r="T13" i="97"/>
  <c r="AB86" i="97"/>
  <c r="AA254" i="97"/>
  <c r="AA120" i="97"/>
  <c r="Z149" i="97"/>
  <c r="AD101" i="97"/>
  <c r="AA72" i="97"/>
  <c r="AB108" i="97"/>
  <c r="Z67" i="97"/>
  <c r="AB25" i="97"/>
  <c r="T94" i="97"/>
  <c r="W107" i="97"/>
  <c r="V111" i="97"/>
  <c r="AE10" i="97"/>
  <c r="T101" i="97"/>
  <c r="T267" i="97"/>
  <c r="V166" i="97"/>
  <c r="U268" i="97"/>
  <c r="AC147" i="97"/>
  <c r="AE152" i="97"/>
  <c r="X36" i="97"/>
  <c r="Z9" i="97"/>
  <c r="Y13" i="97"/>
  <c r="AD191" i="97"/>
  <c r="AA143" i="97"/>
  <c r="AA69" i="97"/>
  <c r="W53" i="97"/>
  <c r="V149" i="97"/>
  <c r="X189" i="97"/>
  <c r="X25" i="97"/>
  <c r="Y100" i="97"/>
  <c r="X299" i="97"/>
  <c r="AA190" i="97"/>
  <c r="W284" i="97"/>
  <c r="AD170" i="97"/>
  <c r="AA160" i="97"/>
  <c r="AC120" i="97"/>
  <c r="AC57" i="97"/>
  <c r="W215" i="97"/>
  <c r="AC16" i="97"/>
  <c r="X88" i="97"/>
  <c r="AD46" i="97"/>
  <c r="Y112" i="97"/>
  <c r="Y300" i="97"/>
  <c r="AB179" i="97"/>
  <c r="V187" i="97"/>
  <c r="U207" i="97"/>
  <c r="AA168" i="97"/>
  <c r="AB261" i="97"/>
  <c r="W19" i="97"/>
  <c r="Y152" i="97"/>
  <c r="AE193" i="97"/>
  <c r="X199" i="97"/>
  <c r="AB149" i="97"/>
  <c r="AC304" i="97"/>
  <c r="Y135" i="97"/>
  <c r="T230" i="97"/>
  <c r="AD132" i="97"/>
  <c r="AB299" i="97"/>
  <c r="Z136" i="97"/>
  <c r="AA208" i="97"/>
  <c r="AA137" i="97"/>
  <c r="T124" i="97"/>
  <c r="T31" i="97"/>
  <c r="AA258" i="97"/>
  <c r="X18" i="97"/>
  <c r="AD112" i="97"/>
  <c r="W213" i="97"/>
  <c r="U327" i="97"/>
  <c r="Y308" i="97"/>
  <c r="W317" i="97"/>
  <c r="W32" i="97"/>
  <c r="V235" i="97"/>
  <c r="T222" i="97"/>
  <c r="AE188" i="97"/>
  <c r="U259" i="97"/>
  <c r="Y118" i="97"/>
  <c r="AE233" i="97"/>
  <c r="W279" i="97"/>
  <c r="AD222" i="97"/>
  <c r="AE273" i="97"/>
  <c r="Y242" i="97"/>
  <c r="X192" i="97"/>
  <c r="Z129" i="97"/>
  <c r="U260" i="97"/>
  <c r="AB77" i="97"/>
  <c r="AD161" i="97"/>
  <c r="Y270" i="97"/>
  <c r="AD134" i="97"/>
  <c r="AB214" i="97"/>
  <c r="U311" i="97"/>
  <c r="U276" i="97"/>
  <c r="V113" i="97"/>
  <c r="AD274" i="97"/>
  <c r="T290" i="97"/>
  <c r="Y225" i="97"/>
  <c r="X183" i="97"/>
  <c r="U157" i="97"/>
  <c r="X134" i="97"/>
  <c r="U286" i="97"/>
  <c r="W328" i="97"/>
  <c r="W225" i="97"/>
  <c r="AA103" i="97"/>
  <c r="U272" i="97"/>
  <c r="Z106" i="97"/>
  <c r="AD284" i="97"/>
  <c r="T103" i="97"/>
  <c r="AB95" i="97"/>
  <c r="AA259" i="97"/>
  <c r="AE215" i="97"/>
  <c r="AC247" i="97"/>
  <c r="AE207" i="97"/>
  <c r="V278" i="97"/>
  <c r="AC109" i="97"/>
  <c r="AB297" i="97"/>
  <c r="U176" i="97"/>
  <c r="Z298" i="97"/>
  <c r="U196" i="97"/>
  <c r="V191" i="97"/>
  <c r="S4" i="97"/>
  <c r="AD124" i="97"/>
  <c r="T115" i="97"/>
  <c r="V98" i="97"/>
  <c r="Y173" i="97"/>
  <c r="Y44" i="97"/>
  <c r="AD31" i="97"/>
  <c r="W259" i="97"/>
  <c r="X106" i="97"/>
  <c r="V62" i="97"/>
  <c r="AE141" i="97"/>
  <c r="U33" i="97"/>
  <c r="AC269" i="97"/>
  <c r="Y106" i="97"/>
  <c r="Y263" i="97"/>
  <c r="W335" i="97"/>
  <c r="U146" i="97"/>
  <c r="X174" i="97"/>
  <c r="AA212" i="97"/>
  <c r="AE99" i="97"/>
  <c r="AC74" i="97"/>
  <c r="U110" i="97"/>
  <c r="X59" i="97"/>
  <c r="AE227" i="97"/>
  <c r="Y10" i="97"/>
  <c r="AA25" i="97"/>
  <c r="AC90" i="97"/>
  <c r="V198" i="97"/>
  <c r="X231" i="97"/>
  <c r="T232" i="97"/>
  <c r="Z104" i="97"/>
  <c r="AA162" i="97"/>
  <c r="V233" i="97"/>
  <c r="V256" i="97"/>
  <c r="AB177" i="97"/>
  <c r="AB60" i="97"/>
  <c r="Y196" i="97"/>
  <c r="AD233" i="97"/>
  <c r="AE174" i="97"/>
  <c r="AA166" i="97"/>
  <c r="AA116" i="97"/>
  <c r="Y290" i="97"/>
  <c r="AD92" i="97"/>
  <c r="AE165" i="97"/>
  <c r="V108" i="97"/>
  <c r="Z46" i="97"/>
  <c r="U325" i="97"/>
  <c r="Z72" i="97"/>
  <c r="AA122" i="97"/>
  <c r="T61" i="97"/>
  <c r="AB254" i="97"/>
  <c r="Z215" i="97"/>
  <c r="Y280" i="97"/>
  <c r="Y124" i="97"/>
  <c r="X269" i="97"/>
  <c r="AA303" i="97"/>
  <c r="Z254" i="97"/>
  <c r="W303" i="97"/>
  <c r="Z278" i="97"/>
  <c r="AB240" i="97"/>
  <c r="T213" i="97"/>
  <c r="AE328" i="97"/>
  <c r="Z35" i="97"/>
  <c r="AB29" i="97"/>
  <c r="AA115" i="97"/>
  <c r="T199" i="97"/>
  <c r="Y254" i="97"/>
  <c r="T333" i="97"/>
  <c r="V305" i="97"/>
  <c r="Z198" i="97"/>
  <c r="U302" i="97"/>
  <c r="X117" i="97"/>
  <c r="AD316" i="97"/>
  <c r="AD330" i="97"/>
  <c r="AD213" i="97"/>
  <c r="W190" i="97"/>
  <c r="Z310" i="97"/>
  <c r="Z116" i="97"/>
  <c r="Z258" i="97"/>
  <c r="AA188" i="97"/>
  <c r="AE299" i="97"/>
  <c r="AD185" i="97"/>
  <c r="AE237" i="97"/>
  <c r="X265" i="97"/>
  <c r="U216" i="97"/>
  <c r="AC186" i="97"/>
  <c r="T97" i="97"/>
  <c r="X11" i="97"/>
  <c r="AC252" i="97"/>
  <c r="V307" i="97"/>
  <c r="AC187" i="97"/>
  <c r="AD325" i="97"/>
  <c r="AB233" i="97"/>
  <c r="AC324" i="97"/>
  <c r="AE208" i="97"/>
  <c r="Y297" i="97"/>
  <c r="V35" i="97"/>
  <c r="V143" i="97"/>
  <c r="AB191" i="97"/>
  <c r="X57" i="97"/>
  <c r="Z75" i="97"/>
  <c r="AC134" i="97"/>
  <c r="W208" i="97"/>
  <c r="AE244" i="97"/>
  <c r="X185" i="97"/>
  <c r="U31" i="97"/>
  <c r="T149" i="97"/>
  <c r="AC13" i="97"/>
  <c r="X244" i="97"/>
  <c r="AA66" i="97"/>
  <c r="W91" i="97"/>
  <c r="AC25" i="97"/>
  <c r="T236" i="97"/>
  <c r="Y220" i="97"/>
  <c r="X256" i="97"/>
  <c r="Y66" i="97"/>
  <c r="T207" i="97"/>
  <c r="T259" i="97"/>
  <c r="Z280" i="97"/>
  <c r="X213" i="97"/>
  <c r="Y84" i="97"/>
  <c r="W206" i="97"/>
  <c r="T257" i="97"/>
  <c r="AB210" i="97"/>
  <c r="AC203" i="97"/>
  <c r="AE166" i="97"/>
  <c r="AA47" i="97"/>
  <c r="Y142" i="97"/>
  <c r="AE209" i="97"/>
  <c r="AE160" i="97"/>
  <c r="AD127" i="97"/>
  <c r="AD236" i="97"/>
  <c r="AE19" i="97"/>
  <c r="Y176" i="97"/>
  <c r="Z146" i="97"/>
  <c r="AC290" i="97"/>
  <c r="AD149" i="97"/>
  <c r="AB296" i="97"/>
  <c r="V221" i="97"/>
  <c r="T113" i="97"/>
  <c r="Z332" i="97"/>
  <c r="V282" i="97"/>
  <c r="Z329" i="97"/>
  <c r="Y307" i="97"/>
  <c r="U281" i="97"/>
  <c r="Z311" i="97"/>
  <c r="AA8" i="97"/>
  <c r="T129" i="97"/>
  <c r="T83" i="97"/>
  <c r="U184" i="97"/>
  <c r="X241" i="97"/>
  <c r="AC281" i="97"/>
  <c r="Y170" i="97"/>
  <c r="T331" i="97"/>
  <c r="V245" i="97"/>
  <c r="Y328" i="97"/>
  <c r="AE275" i="97"/>
  <c r="Y320" i="97"/>
  <c r="AC32" i="97"/>
  <c r="AE92" i="97"/>
  <c r="Y237" i="97"/>
  <c r="AA12" i="97"/>
  <c r="V174" i="97"/>
  <c r="W290" i="97"/>
  <c r="AD241" i="97"/>
  <c r="X326" i="97"/>
  <c r="V240" i="97"/>
  <c r="AA330" i="97"/>
  <c r="Z335" i="97"/>
  <c r="X144" i="97"/>
  <c r="AD230" i="97"/>
  <c r="W158" i="97"/>
  <c r="T137" i="97"/>
  <c r="W287" i="97"/>
  <c r="X329" i="97"/>
  <c r="U227" i="97"/>
  <c r="U118" i="97"/>
  <c r="X274" i="97"/>
  <c r="T114" i="97"/>
  <c r="AB300" i="97"/>
  <c r="V122" i="97"/>
  <c r="U156" i="97"/>
  <c r="X10" i="97"/>
  <c r="Y253" i="97"/>
  <c r="AE154" i="97"/>
  <c r="T111" i="97"/>
  <c r="V192" i="97"/>
  <c r="Z253" i="97"/>
  <c r="AC148" i="97"/>
  <c r="AD44" i="97"/>
  <c r="W212" i="97"/>
  <c r="AC96" i="97"/>
  <c r="U194" i="97"/>
  <c r="Z246" i="97"/>
  <c r="AC200" i="97"/>
  <c r="AE185" i="97"/>
  <c r="AD228" i="97"/>
  <c r="AE262" i="97"/>
  <c r="AE113" i="97"/>
  <c r="Y127" i="97"/>
  <c r="Y68" i="97"/>
  <c r="Z273" i="97"/>
  <c r="AB244" i="97"/>
  <c r="Z41" i="97"/>
  <c r="V153" i="97"/>
  <c r="AB232" i="97"/>
  <c r="AE298" i="97"/>
  <c r="T299" i="97"/>
  <c r="W242" i="97"/>
  <c r="AE89" i="97"/>
  <c r="Y45" i="97"/>
  <c r="Z25" i="97"/>
  <c r="U104" i="97"/>
  <c r="AD231" i="97"/>
  <c r="AE203" i="97"/>
  <c r="X72" i="97"/>
  <c r="AB175" i="97"/>
  <c r="U236" i="97"/>
  <c r="Z203" i="97"/>
  <c r="Z171" i="97"/>
  <c r="V261" i="97"/>
  <c r="AD22" i="97"/>
  <c r="X92" i="97"/>
  <c r="AB212" i="97"/>
  <c r="U30" i="97"/>
  <c r="W189" i="97"/>
  <c r="V315" i="97"/>
  <c r="AB94" i="97"/>
  <c r="AE167" i="97"/>
  <c r="V112" i="97"/>
  <c r="AD308" i="97"/>
  <c r="Y125" i="97"/>
  <c r="AE334" i="97"/>
  <c r="AB24" i="97"/>
  <c r="Y155" i="97"/>
  <c r="Z234" i="97"/>
  <c r="X104" i="97"/>
  <c r="AB67" i="97"/>
  <c r="Y226" i="97"/>
  <c r="AA281" i="97"/>
  <c r="AA309" i="97"/>
  <c r="V241" i="97"/>
  <c r="AB131" i="97"/>
  <c r="V280" i="97"/>
  <c r="AB128" i="97"/>
  <c r="W114" i="97"/>
  <c r="Z336" i="97"/>
  <c r="W87" i="97"/>
  <c r="U164" i="97"/>
  <c r="AD275" i="97"/>
  <c r="T138" i="97"/>
  <c r="U217" i="97"/>
  <c r="X312" i="97"/>
  <c r="AE279" i="97"/>
  <c r="U119" i="97"/>
  <c r="AA276" i="97"/>
  <c r="AA300" i="97"/>
  <c r="Y234" i="97"/>
  <c r="U210" i="97"/>
  <c r="AB314" i="97"/>
  <c r="AE214" i="97"/>
  <c r="T200" i="97"/>
  <c r="AB311" i="97"/>
  <c r="AD120" i="97"/>
  <c r="T260" i="97"/>
  <c r="W193" i="97"/>
  <c r="AD301" i="97"/>
  <c r="AE190" i="97"/>
  <c r="T246" i="97"/>
  <c r="U271" i="97"/>
  <c r="U285" i="97"/>
  <c r="X167" i="97"/>
  <c r="Z301" i="97"/>
  <c r="T128" i="97"/>
  <c r="AA117" i="97"/>
  <c r="AB121" i="97"/>
  <c r="AE21" i="97"/>
  <c r="AE264" i="97"/>
  <c r="X223" i="97"/>
  <c r="AA67" i="97"/>
  <c r="AC105" i="97"/>
  <c r="AC85" i="97"/>
  <c r="U141" i="97"/>
  <c r="Y156" i="97"/>
  <c r="AA9" i="97"/>
  <c r="AA152" i="97"/>
  <c r="W271" i="97"/>
  <c r="AC128" i="97"/>
  <c r="U206" i="97"/>
  <c r="AE255" i="97"/>
  <c r="W316" i="97"/>
  <c r="V189" i="97"/>
  <c r="AB264" i="97"/>
  <c r="U42" i="97"/>
  <c r="AD108" i="97"/>
  <c r="U105" i="97"/>
  <c r="Z281" i="97"/>
  <c r="AB257" i="97"/>
  <c r="X235" i="97"/>
  <c r="V19" i="97"/>
  <c r="X207" i="97"/>
  <c r="X198" i="97"/>
  <c r="Z236" i="97"/>
  <c r="T206" i="97"/>
  <c r="AE65" i="97"/>
  <c r="AE55" i="97"/>
  <c r="AC31" i="97"/>
  <c r="W29" i="97"/>
  <c r="AD131" i="97"/>
  <c r="AA19" i="97"/>
  <c r="Y331" i="97"/>
  <c r="Z64" i="97"/>
  <c r="U225" i="97"/>
  <c r="AA186" i="97"/>
  <c r="AE330" i="97"/>
  <c r="X193" i="97"/>
  <c r="AB61" i="97"/>
  <c r="AA87" i="97"/>
  <c r="AB133" i="97"/>
  <c r="U66" i="97"/>
  <c r="X238" i="97"/>
  <c r="AE162" i="97"/>
  <c r="AC125" i="97"/>
  <c r="AC72" i="97"/>
  <c r="AD180" i="97"/>
  <c r="W92" i="97"/>
  <c r="U192" i="97"/>
  <c r="Z288" i="97"/>
  <c r="T175" i="97"/>
  <c r="AB127" i="97"/>
  <c r="Z20" i="97"/>
  <c r="Y332" i="97"/>
  <c r="AA220" i="97"/>
  <c r="Z284" i="97"/>
  <c r="T71" i="97"/>
  <c r="AB146" i="97"/>
  <c r="AB162" i="97"/>
  <c r="T300" i="97"/>
  <c r="AB281" i="97"/>
  <c r="AB259" i="97"/>
  <c r="AB114" i="97"/>
  <c r="Y48" i="97"/>
  <c r="Y230" i="97"/>
  <c r="X262" i="97"/>
  <c r="X233" i="97"/>
  <c r="T140" i="97"/>
  <c r="AC21" i="97"/>
  <c r="Z54" i="97"/>
  <c r="X115" i="97"/>
  <c r="Y185" i="97"/>
  <c r="Y123" i="97"/>
  <c r="AB26" i="97"/>
  <c r="Z29" i="97"/>
  <c r="Y189" i="97"/>
  <c r="Z53" i="97"/>
  <c r="AC190" i="97"/>
  <c r="AD156" i="97"/>
  <c r="AD54" i="97"/>
  <c r="Z184" i="97"/>
  <c r="U158" i="97"/>
  <c r="AE220" i="97"/>
  <c r="U307" i="97"/>
  <c r="X205" i="97"/>
  <c r="X173" i="97"/>
  <c r="AC102" i="97"/>
  <c r="AB89" i="97"/>
  <c r="AD244" i="97"/>
  <c r="AE301" i="97"/>
  <c r="AD138" i="97"/>
  <c r="AD190" i="97"/>
  <c r="U195" i="97"/>
  <c r="X317" i="97"/>
  <c r="V300" i="97"/>
  <c r="AC243" i="97"/>
  <c r="V173" i="97"/>
  <c r="AB110" i="97"/>
  <c r="Z252" i="97"/>
  <c r="AB282" i="97"/>
  <c r="AC334" i="97"/>
  <c r="V185" i="97"/>
  <c r="T21" i="97"/>
  <c r="W80" i="97"/>
  <c r="Y97" i="97"/>
  <c r="X208" i="97"/>
  <c r="AC183" i="97"/>
  <c r="T309" i="97"/>
  <c r="AB211" i="97"/>
  <c r="AD207" i="97"/>
  <c r="AA109" i="97"/>
  <c r="U209" i="97"/>
  <c r="Z124" i="97"/>
  <c r="AD247" i="97"/>
  <c r="AD322" i="97"/>
  <c r="AB252" i="97"/>
  <c r="Z37" i="97"/>
  <c r="X94" i="97"/>
  <c r="W147" i="97"/>
  <c r="AC268" i="97"/>
  <c r="U320" i="97"/>
  <c r="AD96" i="97"/>
  <c r="T43" i="97"/>
  <c r="AC223" i="97"/>
  <c r="Z333" i="97"/>
  <c r="Z317" i="97"/>
  <c r="X266" i="97"/>
  <c r="AA78" i="97"/>
  <c r="Z159" i="97"/>
  <c r="AC274" i="97"/>
  <c r="V301" i="97"/>
  <c r="Z108" i="97"/>
  <c r="Z217" i="97"/>
  <c r="Z121" i="97"/>
  <c r="V34" i="97"/>
  <c r="Y181" i="97"/>
  <c r="AA172" i="97"/>
  <c r="Z38" i="97"/>
  <c r="AA112" i="97"/>
  <c r="Z15" i="97"/>
  <c r="Z209" i="97"/>
  <c r="AC261" i="97"/>
  <c r="AC178" i="97"/>
  <c r="AD90" i="97"/>
  <c r="T15" i="97"/>
  <c r="AD34" i="97"/>
  <c r="U187" i="97"/>
  <c r="Z271" i="97"/>
  <c r="W315" i="97"/>
  <c r="AE286" i="97"/>
  <c r="AB100" i="97"/>
  <c r="V139" i="97"/>
  <c r="V184" i="97"/>
  <c r="AA287" i="97"/>
  <c r="W336" i="97"/>
  <c r="AC150" i="97"/>
  <c r="X73" i="97"/>
  <c r="AB172" i="97"/>
  <c r="AC95" i="97"/>
  <c r="AB333" i="97"/>
  <c r="AB285" i="97"/>
  <c r="W145" i="97"/>
  <c r="AD109" i="97"/>
  <c r="W100" i="97"/>
  <c r="Y318" i="97"/>
  <c r="AE158" i="97"/>
  <c r="W245" i="97"/>
  <c r="AB15" i="97"/>
  <c r="U64" i="97"/>
  <c r="T110" i="97"/>
  <c r="AA57" i="97"/>
  <c r="Z10" i="97"/>
  <c r="AE122" i="97"/>
  <c r="AA216" i="97"/>
  <c r="AD153" i="97"/>
  <c r="Z107" i="97"/>
  <c r="AA16" i="97"/>
  <c r="W221" i="97"/>
  <c r="V31" i="97"/>
  <c r="AC127" i="97"/>
  <c r="AE11" i="97"/>
  <c r="Y154" i="97"/>
  <c r="U242" i="97"/>
  <c r="AA239" i="97"/>
  <c r="V61" i="97"/>
  <c r="AA180" i="97"/>
  <c r="V40" i="97"/>
  <c r="AD86" i="97"/>
  <c r="AA171" i="97"/>
  <c r="AD73" i="97"/>
  <c r="X147" i="97"/>
  <c r="V116" i="97"/>
  <c r="AA51" i="97"/>
  <c r="AD119" i="97"/>
  <c r="AE71" i="97"/>
  <c r="U150" i="97"/>
  <c r="U213" i="97"/>
  <c r="Z237" i="97"/>
  <c r="V304" i="97"/>
  <c r="T116" i="97"/>
  <c r="AE157" i="97"/>
  <c r="AA24" i="97"/>
  <c r="AA46" i="97"/>
  <c r="Y329" i="97"/>
  <c r="X314" i="97"/>
  <c r="Z300" i="97"/>
  <c r="U249" i="97"/>
  <c r="AD336" i="97"/>
  <c r="AB82" i="97"/>
  <c r="U199" i="97"/>
  <c r="V327" i="97"/>
  <c r="AC325" i="97"/>
  <c r="V163" i="97"/>
  <c r="T237" i="97"/>
  <c r="V232" i="97"/>
  <c r="AC333" i="97"/>
  <c r="X87" i="97"/>
  <c r="Y151" i="97"/>
  <c r="T306" i="97"/>
  <c r="AE295" i="97"/>
  <c r="V50" i="97"/>
  <c r="AC331" i="97"/>
  <c r="T275" i="97"/>
  <c r="AE248" i="97"/>
  <c r="V131" i="97"/>
  <c r="U296" i="97"/>
  <c r="AA141" i="97"/>
  <c r="AB332" i="97"/>
  <c r="Y264" i="97"/>
  <c r="AC250" i="97"/>
  <c r="V288" i="97"/>
  <c r="U241" i="97"/>
  <c r="AE249" i="97"/>
  <c r="AA91" i="97"/>
  <c r="W250" i="97"/>
  <c r="X141" i="97"/>
  <c r="W181" i="97"/>
  <c r="X252" i="97"/>
  <c r="W294" i="97"/>
  <c r="U197" i="97"/>
  <c r="X323" i="97"/>
  <c r="AC317" i="97"/>
  <c r="V262" i="97"/>
  <c r="AC160" i="97"/>
  <c r="W255" i="97"/>
  <c r="AE195" i="97"/>
  <c r="AE146" i="97"/>
  <c r="V85" i="97"/>
  <c r="V136" i="97"/>
  <c r="AA217" i="97"/>
  <c r="X178" i="97"/>
  <c r="AB204" i="97"/>
  <c r="AE281" i="97"/>
  <c r="Z103" i="97"/>
  <c r="AB92" i="97"/>
  <c r="AD65" i="97"/>
  <c r="U37" i="97"/>
  <c r="AD254" i="97"/>
  <c r="AE322" i="97"/>
  <c r="AD197" i="97"/>
  <c r="X172" i="97"/>
  <c r="AE314" i="97"/>
  <c r="T273" i="97"/>
  <c r="T201" i="97"/>
  <c r="AA147" i="97"/>
  <c r="X304" i="97"/>
  <c r="Z205" i="97"/>
  <c r="V48" i="97"/>
  <c r="V250" i="97"/>
  <c r="AC236" i="97"/>
  <c r="U329" i="97"/>
  <c r="Z305" i="97"/>
  <c r="AE187" i="97"/>
  <c r="AC260" i="97"/>
  <c r="Z299" i="97"/>
  <c r="X318" i="97"/>
  <c r="AC309" i="97"/>
  <c r="AB228" i="97"/>
  <c r="AB167" i="97"/>
  <c r="AA104" i="97"/>
  <c r="AD192" i="97"/>
  <c r="X242" i="97"/>
  <c r="AD208" i="97"/>
  <c r="Z232" i="97"/>
  <c r="U96" i="97"/>
  <c r="V234" i="97"/>
  <c r="T69" i="97"/>
  <c r="Y305" i="97"/>
  <c r="AD277" i="97"/>
  <c r="AE183" i="97"/>
  <c r="AD147" i="97"/>
  <c r="V147" i="97"/>
  <c r="X71" i="97"/>
  <c r="AB269" i="97"/>
  <c r="Y248" i="97"/>
  <c r="AD221" i="97"/>
  <c r="AE14" i="97"/>
  <c r="AC33" i="97"/>
  <c r="AC262" i="97"/>
  <c r="V76" i="97"/>
  <c r="Y95" i="97"/>
  <c r="AC163" i="97"/>
  <c r="Z154" i="97"/>
  <c r="Z186" i="97"/>
  <c r="W98" i="97"/>
  <c r="U265" i="97"/>
  <c r="X261" i="97"/>
  <c r="AE147" i="97"/>
  <c r="X171" i="97"/>
  <c r="AD125" i="97"/>
  <c r="AD145" i="97"/>
  <c r="T96" i="97"/>
  <c r="Z19" i="97"/>
  <c r="AB326" i="97"/>
  <c r="Z328" i="97"/>
  <c r="V285" i="97"/>
  <c r="AE173" i="97"/>
  <c r="AB126" i="97"/>
  <c r="W112" i="97"/>
  <c r="W124" i="97"/>
  <c r="T224" i="97"/>
  <c r="T196" i="97"/>
  <c r="AA315" i="97"/>
  <c r="Y267" i="97"/>
  <c r="AC71" i="97"/>
  <c r="Z200" i="97"/>
  <c r="W256" i="97"/>
  <c r="Z327" i="97"/>
  <c r="AE171" i="97"/>
  <c r="AD135" i="97"/>
  <c r="X240" i="97"/>
  <c r="V254" i="97"/>
  <c r="AB106" i="97"/>
  <c r="AB129" i="97"/>
  <c r="V210" i="97"/>
  <c r="W128" i="97"/>
  <c r="Z244" i="97"/>
  <c r="AC283" i="97"/>
  <c r="Z114" i="97"/>
  <c r="U324" i="97"/>
  <c r="Y42" i="97"/>
  <c r="V134" i="97"/>
  <c r="AB143" i="97"/>
  <c r="AD202" i="97"/>
  <c r="AC169" i="97"/>
  <c r="T54" i="97"/>
  <c r="AB321" i="97"/>
  <c r="Y233" i="97"/>
  <c r="AE94" i="97"/>
  <c r="W47" i="97"/>
  <c r="V291" i="97"/>
  <c r="W219" i="97"/>
  <c r="W121" i="97"/>
  <c r="W299" i="97"/>
  <c r="V251" i="97"/>
  <c r="W210" i="97"/>
  <c r="AB277" i="97"/>
  <c r="V287" i="97"/>
  <c r="X260" i="97"/>
  <c r="AA173" i="97"/>
  <c r="AD35" i="97"/>
  <c r="U18" i="97"/>
  <c r="U169" i="97"/>
  <c r="AC149" i="97"/>
  <c r="AE64" i="97"/>
  <c r="AE148" i="97"/>
  <c r="T148" i="97"/>
  <c r="AC279" i="97"/>
  <c r="AC259" i="97"/>
  <c r="AA237" i="97"/>
  <c r="Z243" i="97"/>
  <c r="W285" i="97"/>
  <c r="AC181" i="97"/>
  <c r="AA85" i="97"/>
  <c r="U111" i="97"/>
  <c r="X77" i="97"/>
  <c r="AA111" i="97"/>
  <c r="V292" i="97"/>
  <c r="T167" i="97"/>
  <c r="W119" i="97"/>
  <c r="AB73" i="97"/>
  <c r="AA288" i="97"/>
  <c r="W77" i="97"/>
  <c r="U145" i="97"/>
  <c r="AA201" i="97"/>
  <c r="V207" i="97"/>
  <c r="V224" i="97"/>
  <c r="AD151" i="97"/>
  <c r="AA334" i="97"/>
  <c r="X292" i="97"/>
  <c r="T217" i="97"/>
  <c r="U212" i="97"/>
  <c r="AC93" i="97"/>
  <c r="Y197" i="97"/>
  <c r="AB174" i="97"/>
  <c r="U221" i="97"/>
  <c r="U122" i="97"/>
  <c r="AB215" i="97"/>
  <c r="V114" i="97"/>
  <c r="AE234" i="97"/>
  <c r="W191" i="97"/>
  <c r="AB171" i="97"/>
  <c r="Y205" i="97"/>
  <c r="AD269" i="97"/>
  <c r="AB243" i="97"/>
  <c r="AA165" i="97"/>
  <c r="Z261" i="97"/>
  <c r="T182" i="97"/>
  <c r="Z130" i="97"/>
  <c r="AE282" i="97"/>
  <c r="T130" i="97"/>
  <c r="X227" i="97"/>
  <c r="Y200" i="97"/>
  <c r="T320" i="97"/>
  <c r="AA289" i="97"/>
  <c r="X131" i="97"/>
  <c r="Z193" i="97"/>
  <c r="W254" i="97"/>
  <c r="Y184" i="97"/>
  <c r="AD281" i="97"/>
  <c r="AA314" i="97"/>
  <c r="AD280" i="97"/>
  <c r="AD249" i="97"/>
  <c r="AA95" i="97"/>
  <c r="Y201" i="97"/>
  <c r="U219" i="97"/>
  <c r="AE240" i="97"/>
  <c r="X21" i="97"/>
  <c r="AD148" i="97"/>
  <c r="V70" i="97"/>
  <c r="W264" i="97"/>
  <c r="X197" i="97"/>
  <c r="U163" i="97"/>
  <c r="X321" i="97"/>
  <c r="X295" i="97"/>
  <c r="V277" i="97"/>
  <c r="AC8" i="97"/>
  <c r="AD144" i="97"/>
  <c r="AA271" i="97"/>
  <c r="V334" i="97"/>
  <c r="AB329" i="97"/>
  <c r="Y304" i="97"/>
  <c r="U288" i="97"/>
  <c r="AC287" i="97"/>
  <c r="Z264" i="97"/>
  <c r="X270" i="97"/>
  <c r="AD38" i="97"/>
  <c r="V44" i="97"/>
  <c r="T249" i="97"/>
  <c r="W235" i="97"/>
  <c r="AA327" i="97"/>
  <c r="AE303" i="97"/>
  <c r="AC164" i="97"/>
  <c r="AC146" i="97"/>
  <c r="AD97" i="97"/>
  <c r="T55" i="97"/>
  <c r="T123" i="97"/>
  <c r="Z285" i="97"/>
  <c r="V56" i="97"/>
  <c r="AA60" i="97"/>
  <c r="X328" i="97"/>
  <c r="V253" i="97"/>
  <c r="T228" i="97"/>
  <c r="AA27" i="97"/>
  <c r="W8" i="97"/>
  <c r="Y310" i="97"/>
  <c r="Y294" i="97"/>
  <c r="AE333" i="97"/>
  <c r="U304" i="97"/>
  <c r="AC170" i="97"/>
  <c r="V186" i="97"/>
  <c r="V182" i="97"/>
  <c r="V202" i="97"/>
  <c r="AD183" i="97"/>
  <c r="U306" i="97"/>
  <c r="W10" i="97"/>
  <c r="Z249" i="97"/>
  <c r="W117" i="97"/>
  <c r="AD252" i="97"/>
  <c r="AB74" i="97"/>
  <c r="T59" i="97"/>
  <c r="AA244" i="97"/>
  <c r="AE114" i="97"/>
  <c r="AB119" i="97"/>
  <c r="AC165" i="97"/>
  <c r="X296" i="97"/>
  <c r="U254" i="97"/>
  <c r="T312" i="97"/>
  <c r="AE59" i="97"/>
  <c r="AE292" i="97"/>
  <c r="Y249" i="97"/>
  <c r="Z330" i="97"/>
  <c r="AB258" i="97"/>
  <c r="V298" i="97"/>
  <c r="AB284" i="97"/>
  <c r="AE287" i="97"/>
  <c r="AD43" i="97"/>
  <c r="U251" i="97"/>
  <c r="AA205" i="97"/>
  <c r="AC310" i="97"/>
  <c r="W209" i="97"/>
  <c r="AA202" i="97"/>
  <c r="AD246" i="97"/>
  <c r="Y178" i="97"/>
  <c r="AD45" i="97"/>
  <c r="AA133" i="97"/>
  <c r="AA238" i="97"/>
  <c r="AE283" i="97"/>
  <c r="Y228" i="97"/>
  <c r="AC308" i="97"/>
  <c r="X51" i="97"/>
  <c r="T334" i="97"/>
  <c r="AB328" i="97"/>
  <c r="Y46" i="97"/>
  <c r="AC239" i="97"/>
  <c r="AD116" i="97"/>
  <c r="AB238" i="97"/>
  <c r="U120" i="97"/>
  <c r="U214" i="97"/>
  <c r="Z166" i="97"/>
  <c r="X293" i="97"/>
  <c r="Z269" i="97"/>
  <c r="T221" i="97"/>
  <c r="AC185" i="97"/>
  <c r="AA187" i="97"/>
  <c r="Y107" i="97"/>
  <c r="AD47" i="97"/>
  <c r="AB246" i="97"/>
  <c r="AD321" i="97"/>
  <c r="V193" i="97"/>
  <c r="T168" i="97"/>
  <c r="T310" i="97"/>
  <c r="AE265" i="97"/>
  <c r="W93" i="97"/>
  <c r="Y217" i="97"/>
  <c r="AE254" i="97"/>
  <c r="W265" i="97"/>
  <c r="V45" i="97"/>
  <c r="V109" i="97"/>
  <c r="T291" i="97"/>
  <c r="X162" i="97"/>
  <c r="W113" i="97"/>
  <c r="X157" i="97"/>
  <c r="AD251" i="97"/>
  <c r="X149" i="97"/>
  <c r="AA151" i="97"/>
  <c r="Z196" i="97"/>
  <c r="AD253" i="97"/>
  <c r="Z26" i="97"/>
  <c r="Z218" i="97"/>
  <c r="T154" i="97"/>
  <c r="AC299" i="97"/>
  <c r="U284" i="97"/>
  <c r="T315" i="97"/>
  <c r="AB139" i="97"/>
  <c r="V204" i="97"/>
  <c r="X15" i="97"/>
  <c r="V89" i="97"/>
  <c r="AA40" i="97"/>
  <c r="AE321" i="97"/>
  <c r="V119" i="97"/>
  <c r="U274" i="97"/>
  <c r="Z139" i="97"/>
  <c r="Y275" i="97"/>
  <c r="T22" i="97"/>
  <c r="X85" i="97"/>
  <c r="AE269" i="97"/>
  <c r="AB160" i="97"/>
  <c r="AB335" i="97"/>
  <c r="AD238" i="97"/>
  <c r="T323" i="97"/>
  <c r="Z173" i="97"/>
  <c r="AC225" i="97"/>
  <c r="W26" i="97"/>
  <c r="U115" i="97"/>
  <c r="AD283" i="97"/>
  <c r="W101" i="97"/>
  <c r="Y292" i="97"/>
  <c r="AA324" i="97"/>
  <c r="AD59" i="97"/>
  <c r="AA81" i="97"/>
  <c r="U130" i="97"/>
  <c r="T295" i="97"/>
  <c r="AE250" i="97"/>
  <c r="AA331" i="97"/>
  <c r="Y261" i="97"/>
  <c r="X248" i="97"/>
  <c r="AA286" i="97"/>
  <c r="W292" i="97"/>
  <c r="V212" i="97"/>
  <c r="Y136" i="97"/>
  <c r="X30" i="97"/>
  <c r="AE312" i="97"/>
  <c r="AC265" i="97"/>
  <c r="X334" i="97"/>
  <c r="U168" i="97"/>
  <c r="AD309" i="97"/>
  <c r="X284" i="97"/>
  <c r="T143" i="97"/>
  <c r="AA35" i="97"/>
  <c r="V165" i="97"/>
  <c r="U22" i="97"/>
  <c r="U179" i="97"/>
  <c r="AB253" i="97"/>
  <c r="AC30" i="97"/>
  <c r="Y92" i="97"/>
  <c r="U153" i="97"/>
  <c r="W60" i="97"/>
  <c r="Y22" i="97"/>
  <c r="AE83" i="97"/>
  <c r="AB104" i="97"/>
  <c r="AA197" i="97"/>
  <c r="T292" i="97"/>
  <c r="X50" i="97"/>
  <c r="T20" i="97"/>
  <c r="Y288" i="97"/>
  <c r="Z27" i="97"/>
  <c r="AD126" i="97"/>
  <c r="AE284" i="97"/>
  <c r="T106" i="97"/>
  <c r="AC221" i="97"/>
  <c r="V313" i="97"/>
  <c r="V117" i="97"/>
  <c r="V190" i="97"/>
  <c r="X309" i="97"/>
  <c r="Z179" i="97"/>
  <c r="Z322" i="97"/>
  <c r="U309" i="97"/>
  <c r="W261" i="97"/>
  <c r="X257" i="97"/>
  <c r="Z105" i="97"/>
  <c r="AC117" i="97"/>
  <c r="AB203" i="97"/>
  <c r="AD104" i="97"/>
  <c r="U294" i="97"/>
  <c r="T282" i="97"/>
  <c r="X93" i="97"/>
  <c r="X320" i="97"/>
  <c r="U256" i="97"/>
  <c r="U248" i="97"/>
  <c r="AE129" i="97"/>
  <c r="AC335" i="97"/>
  <c r="Y291" i="97"/>
  <c r="Y143" i="97"/>
  <c r="AD224" i="97"/>
  <c r="X151" i="97"/>
  <c r="AE243" i="97"/>
  <c r="V249" i="97"/>
  <c r="Y209" i="97"/>
  <c r="W130" i="97"/>
  <c r="Z331" i="97"/>
  <c r="AA274" i="97"/>
  <c r="U113" i="97"/>
  <c r="V156" i="97"/>
  <c r="U270" i="97"/>
  <c r="AB157" i="97"/>
  <c r="AA310" i="97"/>
  <c r="X61" i="97"/>
  <c r="AE119" i="97"/>
  <c r="AE305" i="97"/>
  <c r="T81" i="97"/>
  <c r="W196" i="97"/>
  <c r="V324" i="97"/>
  <c r="AB194" i="97"/>
  <c r="X322" i="97"/>
  <c r="Y258" i="97"/>
  <c r="AA119" i="97"/>
  <c r="Z238" i="97"/>
  <c r="AC336" i="97"/>
  <c r="AB224" i="97"/>
  <c r="AB97" i="97"/>
  <c r="Z23" i="97"/>
  <c r="AB109" i="97"/>
  <c r="T332" i="97"/>
  <c r="Z119" i="97"/>
  <c r="T192" i="97"/>
  <c r="AE242" i="97"/>
  <c r="AE181" i="97"/>
  <c r="W324" i="97"/>
  <c r="AB312" i="97"/>
  <c r="U275" i="97"/>
  <c r="AB242" i="97"/>
  <c r="T285" i="97"/>
  <c r="AD140" i="97"/>
  <c r="Y187" i="97"/>
  <c r="Y138" i="97"/>
  <c r="Z313" i="97"/>
  <c r="AA206" i="97"/>
  <c r="Z270" i="97"/>
  <c r="Z286" i="97"/>
  <c r="W84" i="97"/>
  <c r="AC205" i="97"/>
  <c r="T90" i="97"/>
  <c r="Y207" i="97"/>
  <c r="V164" i="97"/>
  <c r="AE109" i="97"/>
  <c r="AC288" i="97"/>
  <c r="AB202" i="97"/>
  <c r="Z194" i="97"/>
  <c r="W23" i="97"/>
  <c r="Y172" i="97"/>
  <c r="V201" i="97"/>
  <c r="X62" i="97"/>
  <c r="AE239" i="97"/>
  <c r="Z117" i="97"/>
  <c r="V155" i="97"/>
  <c r="AA279" i="97"/>
  <c r="W332" i="97"/>
  <c r="U126" i="97"/>
  <c r="Z272" i="97"/>
  <c r="AD304" i="97"/>
  <c r="AB262" i="97"/>
  <c r="AB184" i="97"/>
  <c r="AD159" i="97"/>
  <c r="W186" i="97"/>
  <c r="AB8" i="97"/>
  <c r="AB120" i="97"/>
  <c r="AB239" i="97"/>
  <c r="AC282" i="97"/>
  <c r="AD226" i="97"/>
  <c r="AD306" i="97"/>
  <c r="U36" i="97"/>
  <c r="W183" i="97"/>
  <c r="V325" i="97"/>
  <c r="Z144" i="97"/>
  <c r="AD94" i="97"/>
  <c r="Z230" i="97"/>
  <c r="X194" i="97"/>
  <c r="V43" i="97"/>
  <c r="T112" i="97"/>
  <c r="W226" i="97"/>
  <c r="U151" i="97"/>
  <c r="U235" i="97"/>
  <c r="U147" i="97"/>
  <c r="X164" i="97"/>
  <c r="W307" i="97"/>
  <c r="V244" i="97"/>
  <c r="X224" i="97"/>
  <c r="AA13" i="97"/>
  <c r="AE131" i="97"/>
  <c r="W233" i="97"/>
  <c r="AA170" i="97"/>
  <c r="AD234" i="97"/>
  <c r="U202" i="97"/>
  <c r="W214" i="97"/>
  <c r="W99" i="97"/>
  <c r="AD85" i="97"/>
  <c r="W222" i="97"/>
  <c r="AC129" i="97"/>
  <c r="AA333" i="97"/>
  <c r="AC101" i="97"/>
  <c r="T239" i="97"/>
  <c r="AC217" i="97"/>
  <c r="Y268" i="97"/>
  <c r="U139" i="97"/>
  <c r="Z127" i="97"/>
  <c r="AA273" i="97"/>
  <c r="AC311" i="97"/>
  <c r="X264" i="97"/>
  <c r="AD332" i="97"/>
  <c r="X163" i="97"/>
  <c r="W197" i="97"/>
  <c r="U273" i="97"/>
  <c r="Y198" i="97"/>
  <c r="Y245" i="97"/>
  <c r="AB186" i="97"/>
  <c r="AD261" i="97"/>
  <c r="U47" i="97"/>
  <c r="AC208" i="97"/>
  <c r="T324" i="97"/>
  <c r="AC276" i="97"/>
  <c r="V248" i="97"/>
  <c r="W36" i="97"/>
  <c r="W211" i="97"/>
  <c r="Y78" i="97"/>
  <c r="AC233" i="97"/>
  <c r="X218" i="97"/>
  <c r="AC70" i="97"/>
  <c r="AC218" i="97"/>
  <c r="W73" i="97"/>
  <c r="V162" i="97"/>
  <c r="X236" i="97"/>
  <c r="T303" i="97"/>
  <c r="W312" i="97"/>
  <c r="AB271" i="97"/>
  <c r="AE126" i="97"/>
  <c r="T235" i="97"/>
  <c r="AB141" i="97"/>
  <c r="AD291" i="97"/>
  <c r="X212" i="97"/>
  <c r="V319" i="97"/>
  <c r="AE319" i="97"/>
  <c r="W170" i="97"/>
  <c r="Z109" i="97"/>
  <c r="AC213" i="97"/>
  <c r="V236" i="97"/>
  <c r="AD239" i="97"/>
  <c r="AB105" i="97"/>
  <c r="V103" i="97"/>
  <c r="AB302" i="97"/>
  <c r="Z266" i="97"/>
  <c r="V274" i="97"/>
  <c r="Y321" i="97"/>
  <c r="AC116" i="97"/>
  <c r="V106" i="97"/>
  <c r="T304" i="97"/>
  <c r="AE34" i="97"/>
  <c r="V37" i="97"/>
  <c r="AB292" i="97"/>
  <c r="T212" i="97"/>
  <c r="X142" i="97"/>
  <c r="W144" i="97"/>
  <c r="Z12" i="97"/>
  <c r="U20" i="97"/>
  <c r="Z318" i="97"/>
  <c r="AB235" i="97"/>
  <c r="W326" i="97"/>
  <c r="Z207" i="97"/>
  <c r="AB325" i="97"/>
  <c r="Y252" i="97"/>
  <c r="W161" i="97"/>
  <c r="AB317" i="97"/>
  <c r="U318" i="97"/>
  <c r="W277" i="97"/>
  <c r="AA155" i="97"/>
  <c r="AE326" i="97"/>
  <c r="AC207" i="97"/>
  <c r="V127" i="97"/>
  <c r="W286" i="97"/>
  <c r="U185" i="97"/>
  <c r="U183" i="97"/>
  <c r="W150" i="97"/>
  <c r="Y323" i="97"/>
  <c r="Z169" i="97"/>
  <c r="Y211" i="97"/>
  <c r="W169" i="97"/>
  <c r="T118" i="97"/>
  <c r="V239" i="97"/>
  <c r="W260" i="97"/>
  <c r="T174" i="97"/>
  <c r="AE259" i="97"/>
  <c r="X289" i="97"/>
  <c r="U323" i="97"/>
  <c r="Y272" i="97"/>
  <c r="U292" i="97"/>
  <c r="W223" i="97"/>
  <c r="AB267" i="97"/>
  <c r="X200" i="97"/>
  <c r="Z289" i="97"/>
  <c r="AC211" i="97"/>
  <c r="U263" i="97"/>
  <c r="AB249" i="97"/>
  <c r="AB55" i="97"/>
  <c r="V41" i="97"/>
  <c r="Z147" i="97"/>
  <c r="W168" i="97"/>
  <c r="V197" i="97"/>
  <c r="AD118" i="97"/>
  <c r="X203" i="97"/>
  <c r="AE291" i="97"/>
  <c r="AD121" i="97"/>
  <c r="AD242" i="97"/>
  <c r="V208" i="97"/>
  <c r="X148" i="97"/>
  <c r="W66" i="97"/>
  <c r="Y73" i="97"/>
  <c r="AC234" i="97"/>
  <c r="AA316" i="97"/>
  <c r="AB207" i="97"/>
  <c r="V216" i="97"/>
  <c r="AD297" i="97"/>
  <c r="W152" i="97"/>
  <c r="T159" i="97"/>
  <c r="X53" i="97"/>
  <c r="AC271" i="97"/>
  <c r="AE226" i="97"/>
  <c r="AA265" i="97"/>
  <c r="V225" i="97"/>
  <c r="X324" i="97"/>
  <c r="Z176" i="97"/>
  <c r="T307" i="97"/>
  <c r="AD194" i="97"/>
  <c r="Y87" i="97"/>
  <c r="U21" i="97"/>
  <c r="Z227" i="97"/>
  <c r="AA157" i="97"/>
  <c r="Z131" i="97"/>
  <c r="AA41" i="97"/>
  <c r="X287" i="97"/>
  <c r="Z126" i="97"/>
  <c r="AD111" i="97"/>
  <c r="W272" i="97"/>
  <c r="Z202" i="97"/>
  <c r="AC232" i="97"/>
  <c r="U205" i="97"/>
  <c r="AB75" i="97"/>
  <c r="AC182" i="97"/>
  <c r="X253" i="97"/>
  <c r="AC52" i="97"/>
  <c r="AA284" i="97"/>
  <c r="AA248" i="97"/>
  <c r="AA219" i="97"/>
  <c r="AB111" i="97"/>
  <c r="U131" i="97"/>
  <c r="X211" i="97"/>
  <c r="AC327" i="97"/>
  <c r="X210" i="97"/>
  <c r="AB79" i="97"/>
  <c r="AC280" i="97"/>
  <c r="V230" i="97"/>
  <c r="AA80" i="97"/>
  <c r="AC255" i="97"/>
  <c r="Y333" i="97"/>
  <c r="Y285" i="97"/>
  <c r="W24" i="97"/>
  <c r="AD87" i="97"/>
  <c r="T262" i="97"/>
  <c r="U280" i="97"/>
  <c r="X258" i="97"/>
  <c r="T264" i="97"/>
  <c r="X19" i="97"/>
  <c r="Z255" i="97"/>
  <c r="X333" i="97"/>
  <c r="AE304" i="97"/>
  <c r="V99" i="97"/>
  <c r="AD214" i="97"/>
  <c r="AC172" i="97"/>
  <c r="AE135" i="97"/>
  <c r="W94" i="97"/>
  <c r="AC244" i="97"/>
  <c r="X319" i="97"/>
  <c r="Y311" i="97"/>
  <c r="T218" i="97"/>
  <c r="U26" i="97"/>
  <c r="U23" i="97"/>
  <c r="T214" i="97"/>
  <c r="AB153" i="97"/>
  <c r="T272" i="97"/>
  <c r="AE118" i="97"/>
  <c r="T254" i="97"/>
  <c r="Y232" i="97"/>
  <c r="V220" i="97"/>
  <c r="T238" i="97"/>
  <c r="T153" i="97"/>
  <c r="AE149" i="97"/>
  <c r="AA234" i="97"/>
  <c r="AE293" i="97"/>
  <c r="X140" i="97"/>
  <c r="T269" i="97"/>
  <c r="W270" i="97"/>
  <c r="W327" i="97"/>
  <c r="W276" i="97"/>
  <c r="W266" i="97"/>
  <c r="AA252" i="97"/>
  <c r="T122" i="97"/>
  <c r="Z142" i="97"/>
  <c r="AA200" i="97"/>
  <c r="U257" i="97"/>
  <c r="T209" i="97"/>
  <c r="U291" i="97"/>
  <c r="V55" i="97"/>
  <c r="U266" i="97"/>
  <c r="V275" i="97"/>
  <c r="W309" i="97"/>
  <c r="Y199" i="97"/>
  <c r="T266" i="97"/>
  <c r="AD335" i="97"/>
  <c r="Y283" i="97"/>
  <c r="V316" i="97"/>
  <c r="Z304" i="97"/>
  <c r="X8" i="97"/>
  <c r="U232" i="97"/>
  <c r="W240" i="97"/>
  <c r="U155" i="97"/>
  <c r="T107" i="97"/>
  <c r="W167" i="97"/>
  <c r="AB169" i="97"/>
  <c r="W241" i="97"/>
  <c r="T253" i="97"/>
  <c r="AC230" i="97"/>
  <c r="AE267" i="97"/>
  <c r="U215" i="97"/>
  <c r="AC226" i="97"/>
  <c r="Z303" i="97"/>
  <c r="AD268" i="97"/>
  <c r="AA233" i="97"/>
  <c r="T215" i="97"/>
  <c r="U297" i="97"/>
  <c r="X179" i="97"/>
  <c r="AD287" i="97"/>
  <c r="AC248" i="97"/>
  <c r="Z235" i="97"/>
  <c r="Z91" i="97"/>
  <c r="Z320" i="97"/>
  <c r="AC174" i="97"/>
  <c r="AB199" i="97"/>
  <c r="AB266" i="97"/>
  <c r="X229" i="97"/>
  <c r="AE164" i="97"/>
  <c r="V263" i="97"/>
  <c r="U298" i="97"/>
  <c r="W278" i="97"/>
  <c r="V286" i="97"/>
  <c r="T121" i="97"/>
  <c r="Y194" i="97"/>
  <c r="T62" i="97"/>
  <c r="Y168" i="97"/>
  <c r="T245" i="97"/>
  <c r="X91" i="97"/>
  <c r="AB70" i="97"/>
  <c r="AE252" i="97"/>
  <c r="AB293" i="97"/>
  <c r="W329" i="97"/>
  <c r="AB221" i="97"/>
  <c r="AB115" i="97"/>
  <c r="AC320" i="97"/>
  <c r="AD198" i="97"/>
  <c r="V294" i="97"/>
  <c r="W325" i="97"/>
  <c r="T231" i="97"/>
  <c r="V91" i="97"/>
  <c r="Z274" i="97"/>
  <c r="AC141" i="97"/>
  <c r="T270" i="97"/>
  <c r="Z199" i="97"/>
  <c r="T8" i="97"/>
  <c r="AE332" i="97"/>
  <c r="AD292" i="97"/>
  <c r="U154" i="97"/>
  <c r="AB280" i="97"/>
  <c r="AD203" i="97"/>
  <c r="V217" i="97"/>
  <c r="AD245" i="97"/>
  <c r="W218" i="97"/>
  <c r="W318" i="97"/>
  <c r="T335" i="97"/>
  <c r="U229" i="97"/>
  <c r="AC305" i="97"/>
  <c r="AC319" i="97"/>
  <c r="Y130" i="97"/>
  <c r="X135" i="97"/>
  <c r="W139" i="97"/>
  <c r="Y229" i="97"/>
  <c r="AD102" i="97"/>
  <c r="AC107" i="97"/>
  <c r="V78" i="97"/>
  <c r="W258" i="97"/>
  <c r="AE235" i="97"/>
  <c r="T195" i="97"/>
  <c r="V170" i="97"/>
  <c r="AA177" i="97"/>
  <c r="AC94" i="97"/>
  <c r="U334" i="97"/>
  <c r="V281" i="97"/>
  <c r="U45" i="97"/>
  <c r="AA176" i="97"/>
  <c r="AC64" i="97"/>
  <c r="AC313" i="97"/>
  <c r="AA100" i="97"/>
  <c r="Z168" i="97"/>
  <c r="T12" i="97"/>
  <c r="U54" i="97"/>
  <c r="T251" i="97"/>
  <c r="T296" i="97"/>
  <c r="AD193" i="97"/>
  <c r="AE285" i="97"/>
  <c r="AB315" i="97"/>
  <c r="AD176" i="97"/>
  <c r="U300" i="97"/>
  <c r="X247" i="97"/>
  <c r="AC245" i="97"/>
  <c r="AA313" i="97"/>
  <c r="AB178" i="97"/>
  <c r="AC298" i="97"/>
  <c r="AB330" i="97"/>
  <c r="AC157" i="97"/>
  <c r="V151" i="97"/>
  <c r="Z312" i="97"/>
  <c r="X306" i="97"/>
  <c r="U228" i="97"/>
  <c r="AA293" i="97"/>
  <c r="X285" i="97"/>
  <c r="AC286" i="97"/>
  <c r="AC159" i="97"/>
  <c r="V276" i="97"/>
  <c r="Z334" i="97"/>
  <c r="V152" i="97"/>
  <c r="T163" i="97"/>
  <c r="AA304" i="97"/>
  <c r="AC215" i="97"/>
  <c r="U279" i="97"/>
  <c r="Y259" i="97"/>
  <c r="AD163" i="97"/>
  <c r="AC332" i="97"/>
  <c r="Y126" i="97"/>
  <c r="AB68" i="97"/>
  <c r="X48" i="97"/>
  <c r="V320" i="97"/>
  <c r="AB323" i="97"/>
  <c r="AE110" i="97"/>
  <c r="AD63" i="97"/>
  <c r="AE278" i="97"/>
  <c r="AB118" i="97"/>
  <c r="X302" i="97"/>
  <c r="Y157" i="97"/>
  <c r="AA294" i="97"/>
  <c r="AD314" i="97"/>
  <c r="AE331" i="97"/>
  <c r="Z181" i="97"/>
  <c r="V104" i="97"/>
  <c r="W162" i="97"/>
  <c r="W296" i="97"/>
  <c r="AA270" i="97"/>
  <c r="T223" i="97"/>
  <c r="W79" i="97"/>
  <c r="AD237" i="97"/>
  <c r="U220" i="97"/>
  <c r="AE177" i="97"/>
  <c r="V312" i="97"/>
  <c r="AD21" i="97"/>
  <c r="Y192" i="97"/>
  <c r="AD227" i="97"/>
  <c r="AE223" i="97"/>
  <c r="V226" i="97"/>
  <c r="Y322" i="97"/>
  <c r="AA169" i="97"/>
  <c r="U333" i="97"/>
  <c r="X250" i="97"/>
  <c r="T208" i="97"/>
  <c r="V318" i="97"/>
  <c r="AA320" i="97"/>
  <c r="U208" i="97"/>
  <c r="AB319" i="97"/>
  <c r="AB263" i="97"/>
  <c r="AC56" i="97"/>
  <c r="Z151" i="97"/>
  <c r="W137" i="97"/>
  <c r="AD258" i="97"/>
  <c r="Y335" i="97"/>
  <c r="Y299" i="97"/>
  <c r="U166" i="97"/>
  <c r="AB52" i="97"/>
  <c r="AD323" i="97"/>
  <c r="X276" i="97"/>
  <c r="U255" i="97"/>
  <c r="AB307" i="97"/>
  <c r="AB318" i="97"/>
  <c r="AD302" i="97"/>
  <c r="AB206" i="97"/>
  <c r="Z297" i="97"/>
  <c r="AE54" i="97"/>
  <c r="AE308" i="97"/>
  <c r="AC314" i="97"/>
  <c r="Z295" i="97"/>
  <c r="U89" i="97"/>
  <c r="X66" i="97"/>
  <c r="AC263" i="97"/>
  <c r="U269" i="97"/>
  <c r="AC210" i="97"/>
  <c r="AE300" i="97"/>
  <c r="AC124" i="97"/>
  <c r="V74" i="97"/>
  <c r="X39" i="97"/>
  <c r="Y247" i="97"/>
  <c r="AE98" i="97"/>
  <c r="U223" i="97"/>
  <c r="AA229" i="97"/>
  <c r="U32" i="97"/>
  <c r="U175" i="97"/>
  <c r="Y114" i="97"/>
  <c r="Y166" i="97"/>
  <c r="Z226" i="97"/>
  <c r="AE327" i="97"/>
  <c r="AB248" i="97"/>
  <c r="Y159" i="97"/>
  <c r="Z223" i="97"/>
  <c r="Y34" i="97"/>
  <c r="T147" i="97"/>
  <c r="AD289" i="97"/>
  <c r="T305" i="97"/>
  <c r="U245" i="97"/>
  <c r="U313" i="97"/>
  <c r="AA179" i="97"/>
  <c r="Y115" i="97"/>
  <c r="AA144" i="97"/>
  <c r="V296" i="97"/>
  <c r="X291" i="97"/>
  <c r="AA243" i="97"/>
  <c r="W224" i="97"/>
  <c r="Y239" i="97"/>
  <c r="X263" i="97"/>
  <c r="AA253" i="97"/>
  <c r="U240" i="97"/>
  <c r="AB132" i="97"/>
  <c r="U330" i="97"/>
  <c r="W330" i="97"/>
  <c r="Y8" i="97"/>
  <c r="X177" i="97"/>
  <c r="X182" i="97"/>
  <c r="AB276" i="97"/>
  <c r="Y324" i="97"/>
  <c r="T177" i="97"/>
  <c r="AB145" i="97"/>
  <c r="Y116" i="97"/>
  <c r="AD164" i="97"/>
  <c r="AB313" i="97"/>
  <c r="W204" i="97"/>
  <c r="V161" i="97"/>
  <c r="V238" i="97"/>
  <c r="W171" i="97"/>
  <c r="U231" i="97"/>
  <c r="AE318" i="97"/>
  <c r="U293" i="97"/>
  <c r="AD293" i="97"/>
  <c r="U332" i="97"/>
  <c r="X33" i="97"/>
  <c r="V194" i="97"/>
  <c r="W269" i="97"/>
  <c r="AA224" i="97"/>
  <c r="X78" i="97"/>
  <c r="U247" i="97"/>
  <c r="U331" i="97"/>
  <c r="AA114" i="97"/>
  <c r="T288" i="97"/>
  <c r="AD129" i="97"/>
  <c r="Y216" i="97"/>
  <c r="AB316" i="97"/>
  <c r="V314" i="97"/>
  <c r="AE224" i="97"/>
  <c r="W205" i="97"/>
  <c r="T58" i="97"/>
  <c r="AC237" i="97"/>
  <c r="V123" i="97"/>
  <c r="X170" i="97"/>
  <c r="V264" i="97"/>
  <c r="X206" i="97"/>
  <c r="AA317" i="97"/>
  <c r="Y140" i="97"/>
  <c r="AB291" i="97"/>
  <c r="AD84" i="97"/>
  <c r="AE204" i="97"/>
  <c r="AD266" i="97"/>
  <c r="W274" i="97"/>
  <c r="V159" i="97"/>
  <c r="V321" i="97"/>
  <c r="AC110" i="97"/>
  <c r="U287" i="97"/>
  <c r="X75" i="97"/>
  <c r="AB256" i="97"/>
  <c r="AD326" i="97"/>
  <c r="AE117" i="97"/>
  <c r="T244" i="97"/>
  <c r="AB200" i="97"/>
  <c r="U35" i="97"/>
  <c r="AC257" i="97"/>
  <c r="AB125" i="97"/>
  <c r="AA323" i="97"/>
  <c r="Y222" i="97"/>
  <c r="U112" i="97"/>
  <c r="Z177" i="97"/>
  <c r="Z195" i="97"/>
  <c r="AD311" i="97"/>
  <c r="Z170" i="97"/>
  <c r="AB283" i="97"/>
  <c r="AD56" i="97"/>
  <c r="Y293" i="97"/>
  <c r="AC11" i="97"/>
  <c r="AE231" i="97"/>
  <c r="AA18" i="97"/>
  <c r="AB27" i="97"/>
  <c r="AD8" i="97"/>
  <c r="Z241" i="97"/>
  <c r="X191" i="97"/>
  <c r="Y327" i="97"/>
  <c r="AC167" i="97"/>
  <c r="V92" i="97"/>
  <c r="Y236" i="97"/>
  <c r="Y306" i="97"/>
  <c r="Z265" i="97"/>
  <c r="AE266" i="97"/>
  <c r="AD141" i="97"/>
  <c r="AB309" i="97"/>
  <c r="U328" i="97"/>
  <c r="T188" i="97"/>
  <c r="AD264" i="97"/>
  <c r="X255" i="97"/>
  <c r="V83" i="97"/>
  <c r="AE270" i="97"/>
  <c r="U92" i="97"/>
  <c r="Y69" i="97"/>
  <c r="Y251" i="97"/>
  <c r="Z294" i="97"/>
  <c r="AC258" i="97"/>
  <c r="AD285" i="97"/>
  <c r="AE221" i="97"/>
  <c r="W293" i="97"/>
  <c r="AC229" i="97"/>
  <c r="Z8" i="97"/>
  <c r="W227" i="97"/>
  <c r="U267" i="97"/>
  <c r="AE175" i="97"/>
  <c r="AA174" i="97"/>
  <c r="Y214" i="97"/>
  <c r="AE294" i="97"/>
  <c r="W185" i="97"/>
  <c r="AD225" i="97"/>
  <c r="Z192" i="97"/>
  <c r="Y219" i="97"/>
  <c r="U278" i="97"/>
  <c r="W297" i="97"/>
  <c r="AE189" i="97"/>
  <c r="T146" i="97"/>
  <c r="AA204" i="97"/>
  <c r="AD259" i="97"/>
  <c r="W126" i="97"/>
  <c r="AE17" i="97"/>
  <c r="AB181" i="97"/>
  <c r="W262" i="97"/>
  <c r="AE155" i="97"/>
  <c r="U289" i="97"/>
  <c r="U178" i="97"/>
  <c r="AA185" i="97"/>
  <c r="Y137" i="97"/>
  <c r="AA306" i="97"/>
  <c r="AA89" i="97"/>
  <c r="T284" i="97"/>
  <c r="AC206" i="97"/>
  <c r="U43" i="97"/>
  <c r="U97" i="97"/>
  <c r="Y193" i="97"/>
  <c r="V17" i="97"/>
  <c r="AC246" i="97"/>
  <c r="T14" i="97"/>
  <c r="AD235" i="97"/>
  <c r="AE310" i="97"/>
  <c r="V306" i="97"/>
  <c r="AE106" i="97"/>
  <c r="X122" i="97"/>
  <c r="Y279" i="97"/>
  <c r="Y180" i="97"/>
  <c r="X160" i="97"/>
  <c r="AC38" i="97"/>
  <c r="AC249" i="97"/>
  <c r="U226" i="97"/>
  <c r="AA335" i="97"/>
  <c r="Z52" i="97"/>
  <c r="AD206" i="97"/>
  <c r="V289" i="97"/>
  <c r="T136" i="97"/>
  <c r="Y108" i="97"/>
  <c r="U301" i="97"/>
  <c r="AA296" i="97"/>
  <c r="V38" i="97"/>
  <c r="Y171" i="97"/>
  <c r="X281" i="97"/>
  <c r="T328" i="97"/>
  <c r="T74" i="97"/>
  <c r="W176" i="97"/>
  <c r="T241" i="97"/>
  <c r="Z277" i="97"/>
  <c r="AE68" i="97"/>
  <c r="U114" i="97"/>
  <c r="AD334" i="97"/>
  <c r="AB301" i="97"/>
  <c r="AE329" i="97"/>
  <c r="AC91" i="97"/>
  <c r="AB295" i="97"/>
  <c r="W22" i="97"/>
  <c r="AB90" i="97"/>
  <c r="AB217" i="97"/>
  <c r="AB166" i="97"/>
  <c r="V267" i="97"/>
  <c r="AE112" i="97"/>
  <c r="AE276" i="97"/>
  <c r="AD329" i="97"/>
  <c r="Z256" i="97"/>
  <c r="U290" i="97"/>
  <c r="W157" i="97"/>
  <c r="Y25" i="97"/>
  <c r="V328" i="97"/>
  <c r="AE232" i="97"/>
  <c r="Z101" i="97"/>
  <c r="X294" i="97"/>
  <c r="U74" i="97"/>
  <c r="AE246" i="97"/>
  <c r="AE320" i="97"/>
  <c r="U312" i="97"/>
  <c r="X152" i="97"/>
  <c r="AD76" i="97"/>
  <c r="AE172" i="97"/>
  <c r="Y208" i="97"/>
  <c r="T294" i="97"/>
  <c r="V302" i="97"/>
  <c r="W229" i="97"/>
  <c r="X202" i="97"/>
  <c r="AD128" i="97"/>
  <c r="AC112" i="97"/>
  <c r="AE311" i="97"/>
  <c r="AA242" i="97"/>
  <c r="AC145" i="97"/>
  <c r="AA167" i="97"/>
  <c r="AD255" i="97"/>
  <c r="U46" i="97"/>
  <c r="V59" i="97"/>
  <c r="Z138" i="97"/>
  <c r="T276" i="97"/>
  <c r="X336" i="97"/>
  <c r="AA235" i="97"/>
  <c r="AB272" i="97"/>
  <c r="U258" i="97"/>
  <c r="V326" i="97"/>
  <c r="Z267" i="97"/>
  <c r="W151" i="97"/>
  <c r="Y317" i="97"/>
  <c r="AB327" i="97"/>
  <c r="U299" i="97"/>
  <c r="Z308" i="97"/>
  <c r="X214" i="97"/>
  <c r="AE274" i="97"/>
  <c r="V331" i="97"/>
  <c r="AA126" i="97"/>
  <c r="AE336" i="97"/>
  <c r="W202" i="97"/>
  <c r="AB320" i="97"/>
  <c r="T67" i="97"/>
  <c r="AE260" i="97"/>
  <c r="AA75" i="97"/>
  <c r="AE159" i="97"/>
  <c r="AD307" i="97"/>
  <c r="AB222" i="97"/>
  <c r="AA328" i="97"/>
  <c r="W268" i="97"/>
  <c r="AD53" i="97"/>
  <c r="W78" i="97"/>
  <c r="AB156" i="97"/>
  <c r="V88" i="97"/>
  <c r="AB164" i="97"/>
  <c r="Z263" i="97"/>
  <c r="W248" i="97"/>
  <c r="AC189" i="97"/>
  <c r="AE69" i="97"/>
  <c r="AB245" i="97"/>
  <c r="AC73" i="97"/>
  <c r="Z164" i="97"/>
  <c r="AC196" i="97"/>
  <c r="AC321" i="97"/>
  <c r="AB229" i="97"/>
  <c r="X307" i="97"/>
  <c r="AD219" i="97"/>
  <c r="U308" i="97"/>
  <c r="AB216" i="97"/>
  <c r="AD158" i="97"/>
  <c r="AA308" i="97"/>
  <c r="AA312" i="97"/>
  <c r="AC291" i="97"/>
  <c r="X46" i="97"/>
  <c r="AA266" i="97"/>
  <c r="AD331" i="97"/>
  <c r="Z262" i="97"/>
  <c r="X310" i="97"/>
  <c r="AA277" i="97"/>
  <c r="X124" i="97"/>
  <c r="Z44" i="97"/>
  <c r="W143" i="97"/>
  <c r="AB51" i="97"/>
  <c r="X234" i="97"/>
  <c r="AD188" i="97"/>
  <c r="T198" i="97"/>
  <c r="V133" i="97"/>
  <c r="X268" i="97"/>
  <c r="W253" i="97"/>
  <c r="AA128" i="97"/>
  <c r="U190" i="97"/>
  <c r="AD179" i="97"/>
  <c r="AC278" i="97"/>
  <c r="T279" i="97"/>
  <c r="U62" i="97"/>
  <c r="AA302" i="97"/>
  <c r="AB225" i="97"/>
  <c r="U170" i="97"/>
  <c r="Z316" i="97"/>
  <c r="AC306" i="97"/>
  <c r="Y149" i="97"/>
  <c r="V295" i="97"/>
  <c r="AD41" i="97"/>
  <c r="Y145" i="97"/>
  <c r="U148" i="97"/>
  <c r="AD310" i="97"/>
  <c r="AD82" i="97"/>
  <c r="AC171" i="97"/>
  <c r="V154" i="97"/>
  <c r="W192" i="97"/>
  <c r="W74" i="97"/>
  <c r="X275" i="97"/>
  <c r="AE316" i="97"/>
  <c r="AE210" i="97"/>
  <c r="Y203" i="97"/>
  <c r="AE335" i="97"/>
  <c r="AA283" i="97"/>
  <c r="AA295" i="97"/>
  <c r="AA182" i="97"/>
  <c r="Y302" i="97"/>
  <c r="W217" i="97"/>
  <c r="AB251" i="97"/>
  <c r="X225" i="97"/>
  <c r="T240" i="97"/>
  <c r="AA52" i="97"/>
  <c r="AA268" i="97"/>
  <c r="W105" i="97"/>
  <c r="U224" i="97"/>
  <c r="Y246" i="97"/>
  <c r="AB209" i="97"/>
  <c r="AE256" i="97"/>
  <c r="AE101" i="97"/>
  <c r="AB278" i="97"/>
  <c r="AE219" i="97"/>
  <c r="AD78" i="97"/>
  <c r="Y109" i="97"/>
  <c r="W89" i="97"/>
  <c r="AC253" i="97"/>
  <c r="U15" i="97"/>
  <c r="Z156" i="97"/>
  <c r="AB306" i="97"/>
  <c r="AA79" i="97"/>
  <c r="AE218" i="97"/>
  <c r="W313" i="97"/>
  <c r="V77" i="97"/>
  <c r="AA249" i="97"/>
  <c r="V148" i="97"/>
  <c r="AC98" i="97"/>
  <c r="Z229" i="97"/>
  <c r="AA183" i="97"/>
  <c r="U253" i="97"/>
  <c r="AC316" i="97"/>
  <c r="V33" i="97"/>
  <c r="T176" i="97"/>
  <c r="AC26" i="97"/>
  <c r="V231" i="97"/>
  <c r="U188" i="97"/>
  <c r="AB304" i="97"/>
  <c r="Z190" i="97"/>
  <c r="AD324" i="97"/>
  <c r="AD298" i="97"/>
  <c r="W331" i="97"/>
  <c r="AD173" i="97"/>
  <c r="W57" i="97"/>
  <c r="AC273" i="97"/>
  <c r="W82" i="97"/>
  <c r="W182" i="97"/>
  <c r="U100" i="97"/>
  <c r="X272" i="97"/>
  <c r="W267" i="97"/>
  <c r="AA250" i="97"/>
  <c r="AD312" i="97"/>
  <c r="U55" i="97"/>
  <c r="AB290" i="97"/>
  <c r="W273" i="97"/>
  <c r="W252" i="97"/>
  <c r="V247" i="97"/>
  <c r="AB305" i="97"/>
  <c r="V160" i="97"/>
  <c r="AA132" i="97"/>
  <c r="AC144" i="97"/>
  <c r="AC118" i="97"/>
  <c r="AA163" i="97"/>
  <c r="T47" i="97"/>
  <c r="W334" i="97"/>
  <c r="Y221" i="97"/>
  <c r="Z94" i="97"/>
  <c r="AD278" i="97"/>
  <c r="AA245" i="97"/>
  <c r="W238" i="97"/>
  <c r="AA125" i="97"/>
  <c r="AE309" i="97"/>
  <c r="AA326" i="97"/>
  <c r="W50" i="97"/>
  <c r="U237" i="97"/>
  <c r="T286" i="97"/>
  <c r="T327" i="97"/>
  <c r="U162" i="97"/>
  <c r="W282" i="97"/>
  <c r="T41" i="97"/>
  <c r="X232" i="97"/>
  <c r="Y303" i="97"/>
  <c r="AB63" i="97"/>
  <c r="W135" i="97"/>
  <c r="U101" i="97"/>
  <c r="Y281" i="97"/>
  <c r="AE296" i="97"/>
  <c r="AB81" i="97"/>
  <c r="AE145" i="97"/>
  <c r="AD296" i="97"/>
  <c r="X184" i="97"/>
  <c r="X58" i="97"/>
  <c r="AD290" i="97"/>
  <c r="Z125" i="97"/>
  <c r="T280" i="97"/>
  <c r="AA298" i="97"/>
  <c r="AA311" i="97"/>
  <c r="W175" i="97"/>
  <c r="AE288" i="97"/>
  <c r="AE186" i="97"/>
  <c r="T322" i="97"/>
  <c r="Y67" i="97"/>
  <c r="AE130" i="97"/>
  <c r="Z212" i="97"/>
  <c r="T248" i="97"/>
  <c r="AB142" i="97"/>
  <c r="AC224" i="97"/>
  <c r="T330" i="97"/>
  <c r="T160" i="97"/>
  <c r="Y215" i="97"/>
  <c r="Z302" i="97"/>
  <c r="U70" i="97"/>
  <c r="T210" i="97"/>
  <c r="AC188" i="97"/>
  <c r="AB270" i="97"/>
  <c r="W51" i="97"/>
  <c r="T289" i="97"/>
  <c r="T314" i="97"/>
  <c r="AB334" i="97"/>
  <c r="AD317" i="97"/>
  <c r="AA336" i="97"/>
  <c r="Y12" i="97"/>
  <c r="AA297" i="97"/>
  <c r="W333" i="97"/>
  <c r="Y179" i="97"/>
  <c r="X190" i="97"/>
  <c r="V211" i="97"/>
  <c r="AC175" i="97"/>
  <c r="X220" i="97"/>
  <c r="AA194" i="97"/>
  <c r="X143" i="97"/>
  <c r="X239" i="97"/>
  <c r="AE280" i="97"/>
  <c r="AC195" i="97"/>
  <c r="X101" i="97"/>
  <c r="Z81" i="97"/>
  <c r="AA256" i="97"/>
  <c r="T301" i="97"/>
  <c r="AA230" i="97"/>
  <c r="V272" i="97"/>
  <c r="V223" i="97"/>
  <c r="AE323" i="97"/>
  <c r="AE289" i="97"/>
  <c r="V266" i="97"/>
  <c r="X165" i="97"/>
  <c r="AB147" i="97"/>
  <c r="T316" i="97"/>
  <c r="AB196" i="97"/>
  <c r="AE134" i="97"/>
  <c r="AA221" i="97"/>
  <c r="AE8" i="97"/>
  <c r="Y60" i="97"/>
  <c r="T329" i="97"/>
  <c r="Z140" i="97"/>
  <c r="T313" i="97"/>
  <c r="AB231" i="97"/>
  <c r="T250" i="97"/>
  <c r="AE16" i="97"/>
  <c r="Y265" i="97"/>
  <c r="AA241" i="97"/>
  <c r="Y213" i="97"/>
  <c r="AA278" i="97"/>
  <c r="Y273" i="97"/>
  <c r="W304" i="97"/>
  <c r="V36" i="97"/>
  <c r="AD204" i="97"/>
  <c r="X298" i="97"/>
  <c r="U121" i="97"/>
  <c r="AE261" i="97"/>
  <c r="Z242" i="97"/>
  <c r="AA301" i="97"/>
  <c r="AD23" i="97"/>
  <c r="AA257" i="97"/>
  <c r="X60" i="97"/>
  <c r="W155" i="97"/>
  <c r="V215" i="97"/>
  <c r="X139" i="97"/>
  <c r="T263" i="97"/>
  <c r="U303" i="97"/>
  <c r="AA129" i="97"/>
  <c r="Y287" i="97"/>
  <c r="AD189" i="97"/>
  <c r="AB187" i="97"/>
  <c r="U283" i="97"/>
  <c r="Z324" i="97"/>
  <c r="AE238" i="97"/>
  <c r="AC328" i="97"/>
  <c r="T193" i="97"/>
  <c r="AC173" i="97"/>
  <c r="Y277" i="97"/>
  <c r="Z143" i="97"/>
  <c r="V273" i="97"/>
  <c r="T308" i="97"/>
  <c r="Z247" i="97"/>
  <c r="AB250" i="97"/>
  <c r="AC115" i="97"/>
  <c r="AA282" i="97"/>
  <c r="Y90" i="97"/>
  <c r="Y295" i="97"/>
  <c r="U28" i="97"/>
  <c r="AB236" i="97"/>
  <c r="X308" i="97"/>
  <c r="AD16" i="97"/>
  <c r="AE197" i="97"/>
  <c r="T274" i="97"/>
  <c r="AA23" i="97"/>
  <c r="AB279" i="97"/>
  <c r="AA307" i="97"/>
  <c r="AB218" i="97"/>
  <c r="Y284" i="97"/>
  <c r="X45" i="97"/>
  <c r="AA22" i="97"/>
  <c r="AE105" i="97"/>
  <c r="X195" i="97"/>
  <c r="U261" i="97"/>
  <c r="U335" i="97"/>
  <c r="AB201" i="97"/>
  <c r="AD250" i="97"/>
  <c r="T220" i="97"/>
  <c r="U316" i="97"/>
  <c r="AC132" i="97"/>
  <c r="AE307" i="97"/>
  <c r="Z321" i="97"/>
  <c r="Y296" i="97"/>
  <c r="AC24" i="97"/>
  <c r="Y158" i="97"/>
  <c r="U319" i="97"/>
  <c r="Z323" i="97"/>
  <c r="Y202" i="97"/>
  <c r="AC307" i="97"/>
  <c r="AB230" i="97"/>
  <c r="AB173" i="97"/>
  <c r="T317" i="97"/>
  <c r="V310" i="97"/>
  <c r="AB265" i="97"/>
  <c r="AA213" i="97"/>
  <c r="T145" i="97"/>
  <c r="W306" i="97"/>
  <c r="AC68" i="97"/>
  <c r="Y52" i="97"/>
  <c r="AC294" i="97"/>
  <c r="AD168" i="97"/>
  <c r="AA227" i="97"/>
  <c r="V176" i="97"/>
  <c r="X271" i="97"/>
  <c r="T318" i="97"/>
  <c r="W320" i="97"/>
  <c r="U230" i="97"/>
  <c r="AB336" i="97"/>
  <c r="V168" i="97"/>
  <c r="Y103" i="97"/>
  <c r="AD160" i="97"/>
  <c r="T227" i="97"/>
  <c r="Z33" i="97"/>
  <c r="U124" i="97"/>
  <c r="Y163" i="97"/>
  <c r="AA255" i="97"/>
  <c r="AE324" i="97"/>
  <c r="AB101" i="97"/>
  <c r="Z250" i="97"/>
  <c r="AC326" i="97"/>
  <c r="T325" i="97"/>
  <c r="U182" i="97"/>
  <c r="X138" i="97"/>
  <c r="AB185" i="97"/>
  <c r="AD319" i="97"/>
  <c r="V141" i="97"/>
  <c r="W300" i="97"/>
  <c r="AD270" i="97"/>
  <c r="AA262" i="97"/>
  <c r="AA305" i="97"/>
  <c r="U336" i="97"/>
  <c r="W203" i="97"/>
  <c r="AC156" i="97"/>
  <c r="AD187" i="97"/>
  <c r="AE317" i="97"/>
  <c r="AA322" i="97"/>
  <c r="V63" i="97"/>
  <c r="Y334" i="97"/>
  <c r="U233" i="97"/>
  <c r="AE225" i="97"/>
  <c r="Y117" i="97"/>
  <c r="U82" i="97"/>
  <c r="U167" i="97"/>
  <c r="AC192" i="97"/>
  <c r="X325" i="97"/>
  <c r="Z145" i="97"/>
  <c r="W302" i="97"/>
  <c r="AC193" i="97"/>
  <c r="AA196" i="97"/>
  <c r="Z293" i="97"/>
  <c r="AA63" i="97"/>
  <c r="AB14" i="97"/>
  <c r="V8" i="97"/>
  <c r="AC285" i="97"/>
  <c r="W88" i="97"/>
  <c r="U29" i="97"/>
  <c r="T150" i="97"/>
  <c r="AD300" i="97"/>
  <c r="AA269" i="97"/>
  <c r="V265" i="97"/>
  <c r="U160" i="97"/>
  <c r="AC46" i="97"/>
  <c r="AA290" i="97"/>
  <c r="X273" i="97"/>
  <c r="V330" i="97"/>
  <c r="T298" i="97"/>
  <c r="T144" i="97"/>
  <c r="Z161" i="97"/>
  <c r="T336" i="97"/>
  <c r="AC35" i="97"/>
  <c r="AE82" i="97"/>
  <c r="AE194" i="97"/>
  <c r="AC111" i="97"/>
  <c r="U244" i="97"/>
  <c r="Y31" i="97"/>
  <c r="Y301" i="97"/>
  <c r="AA228" i="97"/>
  <c r="W305" i="97"/>
  <c r="V290" i="97"/>
  <c r="X168" i="97"/>
  <c r="AA236" i="97"/>
  <c r="AC238" i="97"/>
  <c r="AD295" i="97"/>
  <c r="AD318" i="97"/>
  <c r="AA285" i="97"/>
  <c r="U76" i="97"/>
  <c r="AC22" i="97"/>
  <c r="AA264" i="97"/>
  <c r="X327" i="97"/>
  <c r="V336" i="97"/>
  <c r="AE85" i="97"/>
  <c r="AB48" i="97"/>
  <c r="Z219" i="97"/>
  <c r="W200" i="97"/>
  <c r="AE36" i="97"/>
  <c r="X332" i="97"/>
  <c r="AC231" i="97"/>
  <c r="AD110" i="97"/>
  <c r="AB220" i="97"/>
  <c r="AE325" i="97"/>
  <c r="W321" i="97"/>
  <c r="W295" i="97"/>
  <c r="W178" i="97"/>
  <c r="W33" i="97"/>
  <c r="Y54" i="97"/>
  <c r="Y289" i="97"/>
  <c r="Z319" i="97"/>
  <c r="AC318" i="97"/>
  <c r="AE72" i="97"/>
  <c r="X330" i="97"/>
  <c r="AB33" i="97"/>
  <c r="T131" i="97"/>
  <c r="AA325" i="97"/>
  <c r="AC267" i="97"/>
  <c r="AD294" i="97"/>
  <c r="AA214" i="97"/>
  <c r="T39" i="97"/>
  <c r="AD299" i="97"/>
  <c r="AD315" i="97"/>
  <c r="W314" i="97"/>
  <c r="Y33" i="97"/>
  <c r="V200" i="97"/>
  <c r="Y243" i="97"/>
  <c r="AB294" i="97"/>
  <c r="AB140" i="97"/>
  <c r="T162" i="97"/>
  <c r="X277" i="97"/>
  <c r="AA319" i="97"/>
  <c r="V303" i="97"/>
  <c r="Y313" i="97"/>
  <c r="Z79" i="97"/>
  <c r="T57" i="97"/>
  <c r="Y278" i="97"/>
  <c r="W257" i="97"/>
  <c r="AA124" i="97"/>
  <c r="W184" i="97"/>
  <c r="AD265" i="97"/>
  <c r="AD328" i="97"/>
  <c r="T258" i="97"/>
  <c r="W239" i="97"/>
  <c r="AB287" i="97"/>
  <c r="U239" i="97"/>
  <c r="AC209" i="97"/>
  <c r="AE66" i="97"/>
  <c r="Z314" i="97"/>
  <c r="AC119" i="97"/>
  <c r="AD218" i="97"/>
  <c r="AA321" i="97"/>
  <c r="T197" i="97"/>
  <c r="Y218" i="97"/>
  <c r="X64" i="97"/>
  <c r="Z283" i="97"/>
  <c r="AA131" i="97"/>
  <c r="V73" i="97"/>
  <c r="AE251" i="97"/>
  <c r="T190" i="97"/>
  <c r="AC266" i="97"/>
  <c r="T216" i="97"/>
  <c r="AC295" i="97"/>
  <c r="AD286" i="97"/>
  <c r="Y330" i="97"/>
  <c r="T134" i="97"/>
  <c r="AB98" i="97"/>
  <c r="Z307" i="97"/>
  <c r="AC277" i="97"/>
  <c r="AE180" i="97"/>
  <c r="Z326" i="97"/>
  <c r="AC177" i="97"/>
  <c r="AB64" i="97"/>
  <c r="V270" i="97"/>
  <c r="V329" i="97"/>
  <c r="V322" i="97"/>
  <c r="T166" i="97"/>
  <c r="U106" i="97"/>
  <c r="V47" i="97"/>
  <c r="AC194" i="97"/>
  <c r="W247" i="97"/>
  <c r="T268" i="97"/>
  <c r="T234" i="97"/>
  <c r="W289" i="97"/>
  <c r="Z62" i="97"/>
  <c r="AE127" i="97"/>
  <c r="U317" i="97"/>
  <c r="U77" i="97"/>
  <c r="AD201" i="97"/>
  <c r="AD333" i="97"/>
  <c r="U133" i="97"/>
  <c r="Y319" i="97"/>
  <c r="V309" i="97"/>
  <c r="AE202" i="97"/>
  <c r="AE253" i="97"/>
  <c r="AE313" i="97"/>
  <c r="AA195" i="97"/>
  <c r="V175" i="97"/>
  <c r="Y165" i="97"/>
  <c r="AD172" i="97"/>
  <c r="Z306" i="97"/>
  <c r="Z187" i="97"/>
  <c r="AC216" i="97"/>
  <c r="U181" i="97"/>
  <c r="W301" i="97"/>
  <c r="V178" i="97"/>
  <c r="W163" i="97"/>
  <c r="V140" i="97"/>
  <c r="V323" i="97"/>
  <c r="W275" i="97"/>
  <c r="U73" i="97"/>
  <c r="AB193" i="97"/>
  <c r="X228" i="97"/>
  <c r="V137" i="97"/>
  <c r="AD166" i="97"/>
  <c r="AB331" i="97"/>
  <c r="U99" i="97"/>
  <c r="AE222" i="97"/>
  <c r="Z248" i="97"/>
  <c r="Y282" i="97"/>
  <c r="X278" i="97"/>
  <c r="W234" i="97"/>
  <c r="U264" i="97"/>
  <c r="AC284" i="97"/>
  <c r="AE60" i="97"/>
  <c r="T157" i="97"/>
  <c r="AA209" i="97"/>
  <c r="W52" i="97"/>
  <c r="U305" i="97"/>
  <c r="W231" i="97"/>
  <c r="T181" i="97"/>
  <c r="AA145" i="97"/>
  <c r="V228" i="97"/>
  <c r="X315" i="97"/>
  <c r="T179" i="97"/>
  <c r="AA231" i="97"/>
  <c r="AE50" i="97"/>
  <c r="AB286" i="97"/>
  <c r="X297" i="97"/>
  <c r="AD217" i="97"/>
  <c r="X290" i="97"/>
  <c r="AA53" i="97"/>
  <c r="AE198" i="97"/>
  <c r="T287" i="97"/>
  <c r="U314" i="97"/>
  <c r="X303" i="97"/>
  <c r="AC329" i="97"/>
  <c r="AC312" i="97"/>
  <c r="AB195" i="97"/>
  <c r="V242" i="97"/>
  <c r="V284" i="97"/>
  <c r="AE302" i="97"/>
  <c r="AB85" i="97"/>
  <c r="V271" i="97"/>
  <c r="Z325" i="97"/>
  <c r="AC80" i="97"/>
  <c r="V180" i="97"/>
  <c r="AD267" i="97"/>
  <c r="Z213" i="97"/>
  <c r="X335" i="97"/>
  <c r="AE229" i="97"/>
  <c r="Y266" i="97"/>
  <c r="T86" i="97"/>
  <c r="T252" i="97"/>
  <c r="AA299" i="97"/>
  <c r="AA14" i="97"/>
  <c r="AB322" i="97"/>
  <c r="AB308" i="97"/>
  <c r="AC301" i="97"/>
  <c r="T169" i="97"/>
  <c r="W236" i="97"/>
  <c r="V213" i="97"/>
  <c r="X114" i="97"/>
  <c r="AC139" i="97"/>
  <c r="AE206" i="97"/>
  <c r="AE52" i="97"/>
  <c r="T293" i="97"/>
  <c r="AC293" i="97"/>
  <c r="U321" i="97"/>
  <c r="AD279" i="97"/>
  <c r="X316" i="97"/>
  <c r="AA140" i="97"/>
  <c r="V150" i="97"/>
  <c r="X44" i="97"/>
  <c r="W319" i="97"/>
  <c r="Y182" i="97"/>
  <c r="Z60" i="97"/>
  <c r="V252" i="97"/>
  <c r="V332" i="97"/>
  <c r="U322" i="97"/>
  <c r="AA275" i="97"/>
  <c r="W14" i="97"/>
  <c r="Z97" i="97"/>
  <c r="W70" i="97"/>
  <c r="AC220" i="97"/>
  <c r="Z240" i="97"/>
  <c r="Y315" i="97"/>
  <c r="T26" i="97"/>
  <c r="AA223" i="97"/>
  <c r="X249" i="97"/>
  <c r="AE179" i="97"/>
  <c r="Z276" i="97"/>
  <c r="AE24" i="97"/>
  <c r="AE268" i="97"/>
  <c r="AE212" i="97"/>
  <c r="AB198" i="97"/>
  <c r="AE132" i="97"/>
  <c r="AE245" i="97"/>
  <c r="AC219" i="97"/>
  <c r="W283" i="97"/>
  <c r="T302" i="97"/>
  <c r="W232" i="97"/>
  <c r="T255" i="97"/>
  <c r="AD174" i="97"/>
  <c r="Y51" i="97"/>
  <c r="U17" i="97"/>
  <c r="AA291" i="97"/>
  <c r="AA159" i="97"/>
  <c r="X186" i="97"/>
  <c r="AD256" i="97"/>
  <c r="Z165" i="97"/>
  <c r="Z251" i="97"/>
  <c r="Y191" i="97"/>
  <c r="Y256" i="97"/>
  <c r="T125" i="97"/>
  <c r="V93" i="97"/>
  <c r="W280" i="97"/>
  <c r="W180" i="97"/>
  <c r="AC41" i="97"/>
  <c r="Y274" i="97"/>
  <c r="Z137" i="97"/>
  <c r="Y312" i="97"/>
  <c r="Z220" i="97"/>
  <c r="W288" i="97"/>
  <c r="V28" i="97"/>
  <c r="AD212" i="97"/>
  <c r="Y276" i="97"/>
  <c r="AC176" i="97"/>
  <c r="X217" i="97"/>
  <c r="U277" i="97"/>
  <c r="V183" i="97"/>
  <c r="AA263" i="97"/>
  <c r="AA184" i="97"/>
  <c r="AC270" i="97"/>
  <c r="X108" i="97"/>
  <c r="Y250" i="97"/>
  <c r="X230" i="97"/>
  <c r="AC323" i="97"/>
  <c r="Y257" i="97"/>
  <c r="T271" i="97"/>
  <c r="T311" i="97"/>
  <c r="T84" i="97"/>
  <c r="W323" i="97"/>
  <c r="U198" i="97"/>
  <c r="AE143" i="97"/>
  <c r="Y235" i="97"/>
  <c r="Z228" i="97"/>
  <c r="W38" i="97"/>
  <c r="T170" i="97"/>
  <c r="AE213" i="97"/>
  <c r="W281" i="97"/>
  <c r="AC264" i="97"/>
  <c r="U191" i="97"/>
  <c r="W71" i="97"/>
  <c r="Y262" i="97"/>
  <c r="W133" i="97"/>
  <c r="Z70" i="97"/>
  <c r="AD216" i="97"/>
  <c r="Y195" i="97"/>
  <c r="U129" i="97"/>
  <c r="AC296" i="97"/>
  <c r="Y298" i="97"/>
  <c r="AE95" i="97"/>
  <c r="AE111" i="97"/>
  <c r="AA138" i="97"/>
  <c r="W310" i="97"/>
  <c r="AA280" i="97"/>
  <c r="U238" i="97"/>
  <c r="AC204" i="97"/>
  <c r="X204" i="97"/>
  <c r="AD211" i="97"/>
  <c r="AC330" i="97"/>
  <c r="AE133" i="97"/>
  <c r="AC302" i="97"/>
  <c r="X300" i="97"/>
  <c r="AB71" i="97"/>
  <c r="AD327" i="97"/>
  <c r="X219" i="97"/>
  <c r="X288" i="97"/>
  <c r="Y325" i="97"/>
  <c r="Y49" i="97"/>
  <c r="AB324" i="97"/>
  <c r="V58" i="97"/>
  <c r="AE271" i="97"/>
  <c r="AA146" i="97"/>
  <c r="V317" i="97"/>
  <c r="W194" i="97"/>
  <c r="T277" i="97"/>
  <c r="AE236" i="97"/>
  <c r="AA101" i="97"/>
  <c r="Z279" i="97"/>
  <c r="V105" i="97"/>
  <c r="X128" i="97"/>
  <c r="U108" i="97"/>
  <c r="AC29" i="97"/>
  <c r="V218" i="97"/>
  <c r="AB192" i="97"/>
  <c r="Z282" i="97"/>
  <c r="AA251" i="97"/>
  <c r="Y227" i="97"/>
  <c r="AA207" i="97"/>
  <c r="Z291" i="97"/>
  <c r="V293" i="97"/>
  <c r="AC241" i="97"/>
  <c r="Z309" i="97"/>
  <c r="X123" i="97"/>
  <c r="AB298" i="97"/>
  <c r="Y326" i="97"/>
  <c r="AA56" i="97"/>
  <c r="Z115" i="97"/>
  <c r="T297" i="97"/>
  <c r="Z275" i="97"/>
  <c r="W249" i="97"/>
  <c r="AA218" i="97"/>
  <c r="X311" i="97"/>
  <c r="T191" i="97"/>
  <c r="AB19" i="97"/>
  <c r="AB41" i="97"/>
  <c r="W311" i="97"/>
  <c r="T321" i="97"/>
  <c r="U189" i="97"/>
  <c r="W246" i="97"/>
  <c r="AA292" i="97"/>
  <c r="AC142" i="97"/>
  <c r="Y183" i="97"/>
  <c r="V260" i="97"/>
  <c r="Z216" i="97"/>
  <c r="V333" i="97"/>
  <c r="AE263" i="97"/>
  <c r="AC251" i="97"/>
  <c r="AA329" i="97"/>
  <c r="AC292" i="97"/>
  <c r="AE211" i="97"/>
  <c r="AD50" i="97"/>
  <c r="W199" i="97"/>
  <c r="U252" i="97"/>
  <c r="W62" i="97"/>
  <c r="U177" i="97"/>
  <c r="AC272" i="97"/>
  <c r="AD171" i="97"/>
  <c r="AE315" i="97"/>
  <c r="W148" i="97"/>
  <c r="Y336" i="97"/>
  <c r="Z292" i="97"/>
  <c r="U295" i="97"/>
  <c r="V227" i="97"/>
  <c r="X305" i="97"/>
  <c r="V299" i="97"/>
  <c r="AC158" i="97"/>
  <c r="X282" i="97"/>
  <c r="AD273" i="97"/>
  <c r="V214" i="97"/>
  <c r="T283" i="97"/>
  <c r="AC143" i="97"/>
  <c r="AB310" i="97"/>
  <c r="Z155" i="97"/>
  <c r="AC235" i="97"/>
  <c r="U8" i="97"/>
  <c r="Z296" i="97"/>
  <c r="AE27" i="97"/>
  <c r="Z123" i="97"/>
  <c r="AD210" i="97"/>
  <c r="AC37" i="97"/>
  <c r="AD271" i="97"/>
  <c r="AB12" i="97"/>
  <c r="W21" i="60" l="1"/>
  <c r="S22" i="97"/>
  <c r="AG22" i="97" s="1" a="1"/>
  <c r="AG22" i="97" s="1"/>
  <c r="S277" i="97"/>
  <c r="AG277" i="97" s="1" a="1"/>
  <c r="AG277" i="97" s="1"/>
  <c r="S25" i="97"/>
  <c r="AG25" i="97" s="1" a="1"/>
  <c r="AG25" i="97" s="1"/>
  <c r="S62" i="97"/>
  <c r="AG62" i="97" s="1" a="1"/>
  <c r="AG62" i="97" s="1"/>
  <c r="S320" i="97"/>
  <c r="AG320" i="97" s="1" a="1"/>
  <c r="AG320" i="97" s="1"/>
  <c r="S270" i="97"/>
  <c r="AG270" i="97" s="1" a="1"/>
  <c r="AG270" i="97" s="1"/>
  <c r="S145" i="97"/>
  <c r="AG145" i="97" s="1" a="1"/>
  <c r="AG145" i="97" s="1"/>
  <c r="S66" i="97"/>
  <c r="AG66" i="97" s="1" a="1"/>
  <c r="AG66" i="97" s="1"/>
  <c r="S151" i="97"/>
  <c r="AG151" i="97" s="1" a="1"/>
  <c r="AG151" i="97" s="1"/>
  <c r="S192" i="97"/>
  <c r="AG192" i="97" s="1" a="1"/>
  <c r="AG192" i="97" s="1"/>
  <c r="S115" i="97"/>
  <c r="AG115" i="97" s="1" a="1"/>
  <c r="AG115" i="97" s="1"/>
  <c r="S98" i="97"/>
  <c r="AG98" i="97" s="1" a="1"/>
  <c r="AG98" i="97" s="1"/>
  <c r="S157" i="97"/>
  <c r="AG157" i="97" s="1" a="1"/>
  <c r="AG157" i="97" s="1"/>
  <c r="S237" i="97"/>
  <c r="AG237" i="97" s="1" a="1"/>
  <c r="AG237" i="97" s="1"/>
  <c r="S24" i="97"/>
  <c r="AG24" i="97" s="1" a="1"/>
  <c r="AG24" i="97" s="1"/>
  <c r="S315" i="97"/>
  <c r="AG315" i="97" s="1" a="1"/>
  <c r="AG315" i="97" s="1"/>
  <c r="S297" i="97"/>
  <c r="AG297" i="97" s="1" a="1"/>
  <c r="AG297" i="97" s="1"/>
  <c r="S165" i="97"/>
  <c r="AG165" i="97" s="1" a="1"/>
  <c r="AG165" i="97" s="1"/>
  <c r="S40" i="97"/>
  <c r="AG40" i="97" s="1" a="1"/>
  <c r="AG40" i="97" s="1"/>
  <c r="S205" i="97"/>
  <c r="AG205" i="97" s="1" a="1"/>
  <c r="AG205" i="97" s="1"/>
  <c r="S176" i="97"/>
  <c r="AG176" i="97" s="1" a="1"/>
  <c r="AG176" i="97" s="1"/>
  <c r="S261" i="97"/>
  <c r="AG261" i="97" s="1" a="1"/>
  <c r="AG261" i="97" s="1"/>
  <c r="S32" i="97"/>
  <c r="AG32" i="97" s="1" a="1"/>
  <c r="AG32" i="97" s="1"/>
  <c r="S73" i="97"/>
  <c r="AG73" i="97" s="1" a="1"/>
  <c r="AG73" i="97" s="1"/>
  <c r="S80" i="97"/>
  <c r="AG80" i="97" s="1" a="1"/>
  <c r="AG80" i="97" s="1"/>
  <c r="S194" i="97"/>
  <c r="AG194" i="97" s="1" a="1"/>
  <c r="AG194" i="97" s="1"/>
  <c r="S228" i="97"/>
  <c r="AG228" i="97" s="1" a="1"/>
  <c r="AG228" i="97" s="1"/>
  <c r="S102" i="97"/>
  <c r="AG102" i="97" s="1" a="1"/>
  <c r="AG102" i="97" s="1"/>
  <c r="S308" i="97"/>
  <c r="AG308" i="97" s="1" a="1"/>
  <c r="AG308" i="97" s="1"/>
  <c r="S82" i="97"/>
  <c r="AG82" i="97" s="1" a="1"/>
  <c r="AG82" i="97" s="1"/>
  <c r="S306" i="97"/>
  <c r="AG306" i="97" s="1" a="1"/>
  <c r="AG306" i="97" s="1"/>
  <c r="S146" i="97"/>
  <c r="AG146" i="97" s="1" a="1"/>
  <c r="AG146" i="97" s="1"/>
  <c r="S273" i="97"/>
  <c r="AG273" i="97" s="1" a="1"/>
  <c r="AG273" i="97" s="1"/>
  <c r="S181" i="97"/>
  <c r="AG181" i="97" s="1" a="1"/>
  <c r="AG181" i="97" s="1"/>
  <c r="S138" i="97"/>
  <c r="AG138" i="97" s="1" a="1"/>
  <c r="AG138" i="97" s="1"/>
  <c r="S125" i="97"/>
  <c r="AG125" i="97" s="1" a="1"/>
  <c r="AG125" i="97" s="1"/>
  <c r="S328" i="97"/>
  <c r="AG328" i="97" s="1" a="1"/>
  <c r="AG328" i="97" s="1"/>
  <c r="S67" i="97"/>
  <c r="AG67" i="97" s="1" a="1"/>
  <c r="AG67" i="97" s="1"/>
  <c r="S166" i="97"/>
  <c r="AG166" i="97" s="1" a="1"/>
  <c r="AG166" i="97" s="1"/>
  <c r="S90" i="97"/>
  <c r="AG90" i="97" s="1" a="1"/>
  <c r="AG90" i="97" s="1"/>
  <c r="S153" i="97"/>
  <c r="AG153" i="97" s="1" a="1"/>
  <c r="AG153" i="97" s="1"/>
  <c r="S239" i="97"/>
  <c r="AG239" i="97" s="1" a="1"/>
  <c r="AG239" i="97" s="1"/>
  <c r="S309" i="97"/>
  <c r="AG309" i="97" s="1" a="1"/>
  <c r="AG309" i="97" s="1"/>
  <c r="S262" i="97"/>
  <c r="AG262" i="97" s="1" a="1"/>
  <c r="AG262" i="97" s="1"/>
  <c r="S304" i="97"/>
  <c r="AG304" i="97" s="1" a="1"/>
  <c r="AG304" i="97" s="1"/>
  <c r="S72" i="97"/>
  <c r="AG72" i="97" s="1" a="1"/>
  <c r="AG72" i="97" s="1"/>
  <c r="S170" i="97"/>
  <c r="AG170" i="97" s="1" a="1"/>
  <c r="AG170" i="97" s="1"/>
  <c r="S183" i="97"/>
  <c r="AG183" i="97" s="1" a="1"/>
  <c r="AG183" i="97" s="1"/>
  <c r="S56" i="97"/>
  <c r="AG56" i="97" s="1" a="1"/>
  <c r="AG56" i="97" s="1"/>
  <c r="S288" i="97"/>
  <c r="AG288" i="97" s="1" a="1"/>
  <c r="AG288" i="97" s="1"/>
  <c r="S64" i="97"/>
  <c r="AG64" i="97" s="1" a="1"/>
  <c r="AG64" i="97" s="1"/>
  <c r="S33" i="97"/>
  <c r="AG33" i="97" s="1" a="1"/>
  <c r="AG33" i="97" s="1"/>
  <c r="S27" i="97"/>
  <c r="AG27" i="97" s="1" a="1"/>
  <c r="AG27" i="97" s="1"/>
  <c r="S12" i="97"/>
  <c r="AG12" i="97" s="1" a="1"/>
  <c r="AG12" i="97" s="1"/>
  <c r="S104" i="97"/>
  <c r="AG104" i="97" s="1" a="1"/>
  <c r="AG104" i="97" s="1"/>
  <c r="S160" i="97"/>
  <c r="AG160" i="97" s="1" a="1"/>
  <c r="AG160" i="97" s="1"/>
  <c r="S319" i="97"/>
  <c r="AG319" i="97" s="1" a="1"/>
  <c r="AG319" i="97" s="1"/>
  <c r="S265" i="97"/>
  <c r="AG265" i="97" s="1" a="1"/>
  <c r="AG265" i="97" s="1"/>
  <c r="S300" i="97"/>
  <c r="AG300" i="97" s="1" a="1"/>
  <c r="AG300" i="97" s="1"/>
  <c r="S264" i="97"/>
  <c r="AG264" i="97" s="1" a="1"/>
  <c r="AG264" i="97" s="1"/>
  <c r="S53" i="97"/>
  <c r="AG53" i="97" s="1" a="1"/>
  <c r="AG53" i="97" s="1"/>
  <c r="S121" i="97"/>
  <c r="AG121" i="97" s="1" a="1"/>
  <c r="AG121" i="97" s="1"/>
  <c r="S152" i="97"/>
  <c r="AG152" i="97" s="1" a="1"/>
  <c r="AG152" i="97" s="1"/>
  <c r="S117" i="97"/>
  <c r="AG117" i="97" s="1" a="1"/>
  <c r="AG117" i="97" s="1"/>
  <c r="S244" i="97"/>
  <c r="AG244" i="97" s="1" a="1"/>
  <c r="AG244" i="97" s="1"/>
  <c r="S324" i="97"/>
  <c r="AG324" i="97" s="1" a="1"/>
  <c r="AG324" i="97" s="1"/>
  <c r="S202" i="97"/>
  <c r="AG202" i="97" s="1" a="1"/>
  <c r="AG202" i="97" s="1"/>
  <c r="S283" i="97"/>
  <c r="AG283" i="97" s="1" a="1"/>
  <c r="AG283" i="97" s="1"/>
  <c r="S263" i="97"/>
  <c r="AG263" i="97" s="1" a="1"/>
  <c r="AG263" i="97" s="1"/>
  <c r="S207" i="97"/>
  <c r="AG207" i="97" s="1" a="1"/>
  <c r="AG207" i="97" s="1"/>
  <c r="S112" i="97"/>
  <c r="AG112" i="97" s="1" a="1"/>
  <c r="AG112" i="97" s="1"/>
  <c r="S311" i="97"/>
  <c r="AG311" i="97" s="1" a="1"/>
  <c r="AG311" i="97" s="1"/>
  <c r="S230" i="97"/>
  <c r="AG230" i="97" s="1" a="1"/>
  <c r="AG230" i="97" s="1"/>
  <c r="S269" i="97"/>
  <c r="AG269" i="97" s="1" a="1"/>
  <c r="AG269" i="97" s="1"/>
  <c r="S250" i="97"/>
  <c r="AG250" i="97" s="1" a="1"/>
  <c r="AG250" i="97" s="1"/>
  <c r="S123" i="97"/>
  <c r="AG123" i="97" s="1" a="1"/>
  <c r="AG123" i="97" s="1"/>
  <c r="S79" i="97"/>
  <c r="AG79" i="97" s="1" a="1"/>
  <c r="AG79" i="97" s="1"/>
  <c r="S314" i="97"/>
  <c r="AG314" i="97" s="1" a="1"/>
  <c r="AG314" i="97" s="1"/>
  <c r="S266" i="97"/>
  <c r="AG266" i="97" s="1" a="1"/>
  <c r="AG266" i="97" s="1"/>
  <c r="S243" i="97"/>
  <c r="AG243" i="97" s="1" a="1"/>
  <c r="AG243" i="97" s="1"/>
  <c r="S180" i="97"/>
  <c r="AG180" i="97" s="1" a="1"/>
  <c r="AG180" i="97" s="1"/>
  <c r="S305" i="97"/>
  <c r="AG305" i="97" s="1" a="1"/>
  <c r="AG305" i="97" s="1"/>
  <c r="S113" i="97"/>
  <c r="AG113" i="97" s="1" a="1"/>
  <c r="AG113" i="97" s="1"/>
  <c r="S111" i="97"/>
  <c r="AG111" i="97" s="1" a="1"/>
  <c r="AG111" i="97" s="1"/>
  <c r="S58" i="97"/>
  <c r="AG58" i="97" s="1" a="1"/>
  <c r="AG58" i="97" s="1"/>
  <c r="S162" i="97"/>
  <c r="AG162" i="97" s="1" a="1"/>
  <c r="AG162" i="97" s="1"/>
  <c r="S326" i="97"/>
  <c r="AG326" i="97" s="1" a="1"/>
  <c r="AG326" i="97" s="1"/>
  <c r="S236" i="97"/>
  <c r="AG236" i="97" s="1" a="1"/>
  <c r="AG236" i="97" s="1"/>
  <c r="S105" i="97"/>
  <c r="AG105" i="97" s="1" a="1"/>
  <c r="AG105" i="97" s="1"/>
  <c r="S292" i="97"/>
  <c r="AG292" i="97" s="1" a="1"/>
  <c r="AG292" i="97" s="1"/>
  <c r="S51" i="97"/>
  <c r="AG51" i="97" s="1" a="1"/>
  <c r="AG51" i="97" s="1"/>
  <c r="S133" i="97"/>
  <c r="AG133" i="97" s="1" a="1"/>
  <c r="AG133" i="97" s="1"/>
  <c r="S14" i="97"/>
  <c r="AG14" i="97" s="1" a="1"/>
  <c r="AG14" i="97" s="1"/>
  <c r="S17" i="97"/>
  <c r="AG17" i="97" s="1" a="1"/>
  <c r="AG17" i="97" s="1"/>
  <c r="S23" i="97"/>
  <c r="AG23" i="97" s="1" a="1"/>
  <c r="AG23" i="97" s="1"/>
  <c r="S316" i="97"/>
  <c r="AG316" i="97" s="1" a="1"/>
  <c r="AG316" i="97" s="1"/>
  <c r="S140" i="97"/>
  <c r="AG140" i="97" s="1" a="1"/>
  <c r="AG140" i="97" s="1"/>
  <c r="S76" i="97"/>
  <c r="AG76" i="97" s="1" a="1"/>
  <c r="AG76" i="97" s="1"/>
  <c r="S186" i="97"/>
  <c r="AG186" i="97" s="1" a="1"/>
  <c r="AG186" i="97" s="1"/>
  <c r="S217" i="97"/>
  <c r="AG217" i="97" s="1" a="1"/>
  <c r="AG217" i="97" s="1"/>
  <c r="S47" i="97"/>
  <c r="AG47" i="97" s="1" a="1"/>
  <c r="AG47" i="97" s="1"/>
  <c r="S336" i="97"/>
  <c r="AG336" i="97" s="1" a="1"/>
  <c r="AG336" i="97" s="1"/>
  <c r="S57" i="97"/>
  <c r="AG57" i="97" s="1" a="1"/>
  <c r="AG57" i="97" s="1"/>
  <c r="S48" i="97"/>
  <c r="AG48" i="97" s="1" a="1"/>
  <c r="AG48" i="97" s="1"/>
  <c r="S313" i="97"/>
  <c r="AG313" i="97" s="1" a="1"/>
  <c r="AG313" i="97" s="1"/>
  <c r="S94" i="97"/>
  <c r="AG94" i="97" s="1" a="1"/>
  <c r="AG94" i="97" s="1"/>
  <c r="S234" i="97"/>
  <c r="AG234" i="97" s="1" a="1"/>
  <c r="AG234" i="97" s="1"/>
  <c r="S126" i="97"/>
  <c r="AG126" i="97" s="1" a="1"/>
  <c r="AG126" i="97" s="1"/>
  <c r="S141" i="97"/>
  <c r="AG141" i="97" s="1" a="1"/>
  <c r="AG141" i="97" s="1"/>
  <c r="S278" i="97"/>
  <c r="AG278" i="97" s="1" a="1"/>
  <c r="AG278" i="97" s="1"/>
  <c r="S131" i="97"/>
  <c r="AG131" i="97" s="1" a="1"/>
  <c r="AG131" i="97" s="1"/>
  <c r="S116" i="97"/>
  <c r="AG116" i="97" s="1" a="1"/>
  <c r="AG116" i="97" s="1"/>
  <c r="S100" i="97"/>
  <c r="AG100" i="97" s="1" a="1"/>
  <c r="AG100" i="97" s="1"/>
  <c r="S41" i="97"/>
  <c r="AG41" i="97" s="1" a="1"/>
  <c r="AG41" i="97" s="1"/>
  <c r="S281" i="97"/>
  <c r="AG281" i="97" s="1" a="1"/>
  <c r="AG281" i="97" s="1"/>
  <c r="S216" i="97"/>
  <c r="AG216" i="97" s="1" a="1"/>
  <c r="AG216" i="97" s="1"/>
  <c r="S139" i="97"/>
  <c r="AG139" i="97" s="1" a="1"/>
  <c r="AG139" i="97" s="1"/>
  <c r="S247" i="97"/>
  <c r="AG247" i="97" s="1" a="1"/>
  <c r="AG247" i="97" s="1"/>
  <c r="S215" i="97"/>
  <c r="AG215" i="97" s="1" a="1"/>
  <c r="AG215" i="97" s="1"/>
  <c r="S185" i="97"/>
  <c r="AG185" i="97" s="1" a="1"/>
  <c r="AG185" i="97" s="1"/>
  <c r="S175" i="97"/>
  <c r="AG175" i="97" s="1" a="1"/>
  <c r="AG175" i="97" s="1"/>
  <c r="S189" i="97"/>
  <c r="AG189" i="97" s="1" a="1"/>
  <c r="AG189" i="97" s="1"/>
  <c r="S225" i="97"/>
  <c r="AG225" i="97" s="1" a="1"/>
  <c r="AG225" i="97" s="1"/>
  <c r="S171" i="97"/>
  <c r="AG171" i="97" s="1" a="1"/>
  <c r="AG171" i="97" s="1"/>
  <c r="S258" i="97"/>
  <c r="AG258" i="97" s="1" a="1"/>
  <c r="AG258" i="97" s="1"/>
  <c r="S201" i="97"/>
  <c r="AG201" i="97" s="1" a="1"/>
  <c r="AG201" i="97" s="1"/>
  <c r="S301" i="97"/>
  <c r="AG301" i="97" s="1" a="1"/>
  <c r="AG301" i="97" s="1"/>
  <c r="S242" i="97"/>
  <c r="AG242" i="97" s="1" a="1"/>
  <c r="AG242" i="97" s="1"/>
  <c r="S30" i="97"/>
  <c r="AG30" i="97" s="1" a="1"/>
  <c r="AG30" i="97" s="1"/>
  <c r="S37" i="97"/>
  <c r="AG37" i="97" s="1" a="1"/>
  <c r="AG37" i="97" s="1"/>
  <c r="S169" i="97"/>
  <c r="AG169" i="97" s="1" a="1"/>
  <c r="AG169" i="97" s="1"/>
  <c r="S81" i="97"/>
  <c r="AG81" i="97" s="1" a="1"/>
  <c r="AG81" i="97" s="1"/>
  <c r="S167" i="97"/>
  <c r="AG167" i="97" s="1" a="1"/>
  <c r="AG167" i="97" s="1"/>
  <c r="S335" i="97"/>
  <c r="AG335" i="97" s="1" a="1"/>
  <c r="AG335" i="97" s="1"/>
  <c r="S229" i="97"/>
  <c r="AG229" i="97" s="1" a="1"/>
  <c r="AG229" i="97" s="1"/>
  <c r="S124" i="97"/>
  <c r="AG124" i="97" s="1" a="1"/>
  <c r="AG124" i="97" s="1"/>
  <c r="S200" i="97"/>
  <c r="AG200" i="97" s="1" a="1"/>
  <c r="AG200" i="97" s="1"/>
  <c r="S327" i="97"/>
  <c r="AG327" i="97" s="1" a="1"/>
  <c r="AG327" i="97" s="1"/>
  <c r="S71" i="97"/>
  <c r="AG71" i="97" s="1" a="1"/>
  <c r="AG71" i="97" s="1"/>
  <c r="S173" i="97"/>
  <c r="AG173" i="97" s="1" a="1"/>
  <c r="AG173" i="97" s="1"/>
  <c r="S233" i="97"/>
  <c r="AG233" i="97" s="1" a="1"/>
  <c r="AG233" i="97" s="1"/>
  <c r="S187" i="97"/>
  <c r="AG187" i="97" s="1" a="1"/>
  <c r="AG187" i="97" s="1"/>
  <c r="S317" i="97"/>
  <c r="AG317" i="97" s="1" a="1"/>
  <c r="AG317" i="97" s="1"/>
  <c r="S69" i="97"/>
  <c r="AG69" i="97" s="1" a="1"/>
  <c r="AG69" i="97" s="1"/>
  <c r="S267" i="97"/>
  <c r="AG267" i="97" s="1" a="1"/>
  <c r="AG267" i="97" s="1"/>
  <c r="S295" i="97"/>
  <c r="AG295" i="97" s="1" a="1"/>
  <c r="AG295" i="97" s="1"/>
  <c r="S310" i="97"/>
  <c r="AG310" i="97" s="1" a="1"/>
  <c r="AG310" i="97" s="1"/>
  <c r="S144" i="97"/>
  <c r="AG144" i="97" s="1" a="1"/>
  <c r="AG144" i="97" s="1"/>
  <c r="S65" i="97"/>
  <c r="AG65" i="97" s="1" a="1"/>
  <c r="AG65" i="97" s="1"/>
  <c r="S182" i="97"/>
  <c r="AG182" i="97" s="1" a="1"/>
  <c r="AG182" i="97" s="1"/>
  <c r="S179" i="97"/>
  <c r="AG179" i="97" s="1" a="1"/>
  <c r="AG179" i="97" s="1"/>
  <c r="S293" i="97"/>
  <c r="AG293" i="97" s="1" a="1"/>
  <c r="AG293" i="97" s="1"/>
  <c r="S107" i="97"/>
  <c r="AG107" i="97" s="1" a="1"/>
  <c r="AG107" i="97" s="1"/>
  <c r="S83" i="97"/>
  <c r="AG83" i="97" s="1" a="1"/>
  <c r="AG83" i="97" s="1"/>
  <c r="S35" i="97"/>
  <c r="AG35" i="97" s="1" a="1"/>
  <c r="AG35" i="97" s="1"/>
  <c r="S280" i="97"/>
  <c r="AG280" i="97" s="1" a="1"/>
  <c r="AG280" i="97" s="1"/>
  <c r="S103" i="97"/>
  <c r="AG103" i="97" s="1" a="1"/>
  <c r="AG103" i="97" s="1"/>
  <c r="S8" i="97"/>
  <c r="AG8" i="97" s="1" a="1"/>
  <c r="AG8" i="97" s="1"/>
  <c r="S38" i="97"/>
  <c r="AG38" i="97" s="1" a="1"/>
  <c r="AG38" i="97" s="1"/>
  <c r="S91" i="97"/>
  <c r="AG91" i="97" s="1" a="1"/>
  <c r="AG91" i="97" s="1"/>
  <c r="S174" i="97"/>
  <c r="AG174" i="97" s="1" a="1"/>
  <c r="AG174" i="97" s="1"/>
  <c r="S213" i="97"/>
  <c r="AG213" i="97" s="1" a="1"/>
  <c r="AG213" i="97" s="1"/>
  <c r="S110" i="97"/>
  <c r="AG110" i="97" s="1" a="1"/>
  <c r="AG110" i="97" s="1"/>
  <c r="S74" i="97"/>
  <c r="AG74" i="97" s="1" a="1"/>
  <c r="AG74" i="97" s="1"/>
  <c r="S254" i="97"/>
  <c r="AG254" i="97" s="1" a="1"/>
  <c r="AG254" i="97" s="1"/>
  <c r="S222" i="97"/>
  <c r="AG222" i="97" s="1" a="1"/>
  <c r="AG222" i="97" s="1"/>
  <c r="S13" i="97"/>
  <c r="AG13" i="97" s="1" a="1"/>
  <c r="AG13" i="97" s="1"/>
  <c r="S212" i="97"/>
  <c r="AG212" i="97" s="1" a="1"/>
  <c r="AG212" i="97" s="1"/>
  <c r="S85" i="97"/>
  <c r="AG85" i="97" s="1" a="1"/>
  <c r="AG85" i="97" s="1"/>
  <c r="S287" i="97"/>
  <c r="AG287" i="97" s="1" a="1"/>
  <c r="AG287" i="97" s="1"/>
  <c r="S119" i="97"/>
  <c r="AG119" i="97" s="1" a="1"/>
  <c r="AG119" i="97" s="1"/>
  <c r="S44" i="97"/>
  <c r="AG44" i="97" s="1" a="1"/>
  <c r="AG44" i="97" s="1"/>
  <c r="S78" i="97"/>
  <c r="AG78" i="97" s="1" a="1"/>
  <c r="AG78" i="97" s="1"/>
  <c r="S332" i="97"/>
  <c r="AG332" i="97" s="1" a="1"/>
  <c r="AG332" i="97" s="1"/>
  <c r="S195" i="97"/>
  <c r="AG195" i="97" s="1" a="1"/>
  <c r="AG195" i="97" s="1"/>
  <c r="S223" i="97"/>
  <c r="AG223" i="97" s="1" a="1"/>
  <c r="AG223" i="97" s="1"/>
  <c r="S248" i="97"/>
  <c r="AG248" i="97" s="1" a="1"/>
  <c r="AG248" i="97" s="1"/>
  <c r="S210" i="97"/>
  <c r="AG210" i="97" s="1" a="1"/>
  <c r="AG210" i="97" s="1"/>
  <c r="S148" i="97"/>
  <c r="AG148" i="97" s="1" a="1"/>
  <c r="AG148" i="97" s="1"/>
  <c r="S209" i="97"/>
  <c r="AG209" i="97" s="1" a="1"/>
  <c r="AG209" i="97" s="1"/>
  <c r="S214" i="97"/>
  <c r="AG214" i="97" s="1" a="1"/>
  <c r="AG214" i="97" s="1"/>
  <c r="S312" i="97"/>
  <c r="AG312" i="97" s="1" a="1"/>
  <c r="AG312" i="97" s="1"/>
  <c r="S256" i="97"/>
  <c r="AG256" i="97" s="1" a="1"/>
  <c r="AG256" i="97" s="1"/>
  <c r="S240" i="97"/>
  <c r="AG240" i="97" s="1" a="1"/>
  <c r="AG240" i="97" s="1"/>
  <c r="S63" i="97"/>
  <c r="AG63" i="97" s="1" a="1"/>
  <c r="AG63" i="97" s="1"/>
  <c r="S253" i="97"/>
  <c r="AG253" i="97" s="1" a="1"/>
  <c r="AG253" i="97" s="1"/>
  <c r="S196" i="97"/>
  <c r="AG196" i="97" s="1" a="1"/>
  <c r="AG196" i="97" s="1"/>
  <c r="S89" i="97"/>
  <c r="AG89" i="97" s="1" a="1"/>
  <c r="AG89" i="97" s="1"/>
  <c r="S279" i="97"/>
  <c r="AG279" i="97" s="1" a="1"/>
  <c r="AG279" i="97" s="1"/>
  <c r="S220" i="97"/>
  <c r="AG220" i="97" s="1" a="1"/>
  <c r="AG220" i="97" s="1"/>
  <c r="S323" i="97"/>
  <c r="AG323" i="97" s="1" a="1"/>
  <c r="AG323" i="97" s="1"/>
  <c r="S291" i="97"/>
  <c r="AG291" i="97" s="1" a="1"/>
  <c r="AG291" i="97" s="1"/>
  <c r="S238" i="97"/>
  <c r="AG238" i="97" s="1" a="1"/>
  <c r="AG238" i="97" s="1"/>
  <c r="S235" i="97"/>
  <c r="AG235" i="97" s="1" a="1"/>
  <c r="AG235" i="97" s="1"/>
  <c r="S333" i="97"/>
  <c r="AG333" i="97" s="1" a="1"/>
  <c r="AG333" i="97" s="1"/>
  <c r="S149" i="97"/>
  <c r="AG149" i="97" s="1" a="1"/>
  <c r="AG149" i="97" s="1"/>
  <c r="S28" i="97"/>
  <c r="AG28" i="97" s="1" a="1"/>
  <c r="AG28" i="97" s="1"/>
  <c r="S249" i="97"/>
  <c r="AG249" i="97" s="1" a="1"/>
  <c r="AG249" i="97" s="1"/>
  <c r="S184" i="97"/>
  <c r="AG184" i="97" s="1" a="1"/>
  <c r="AG184" i="97" s="1"/>
  <c r="S155" i="97"/>
  <c r="AG155" i="97" s="1" a="1"/>
  <c r="AG155" i="97" s="1"/>
  <c r="S59" i="97"/>
  <c r="AG59" i="97" s="1" a="1"/>
  <c r="AG59" i="97" s="1"/>
  <c r="S128" i="97"/>
  <c r="AG128" i="97" s="1" a="1"/>
  <c r="AG128" i="97" s="1"/>
  <c r="S52" i="97"/>
  <c r="AG52" i="97" s="1" a="1"/>
  <c r="AG52" i="97" s="1"/>
  <c r="S42" i="97"/>
  <c r="AG42" i="97" s="1" a="1"/>
  <c r="AG42" i="97" s="1"/>
  <c r="S268" i="97"/>
  <c r="AG268" i="97" s="1" a="1"/>
  <c r="AG268" i="97" s="1"/>
  <c r="S218" i="97"/>
  <c r="AG218" i="97" s="1" a="1"/>
  <c r="AG218" i="97" s="1"/>
  <c r="S43" i="97"/>
  <c r="AG43" i="97" s="1" a="1"/>
  <c r="AG43" i="97" s="1"/>
  <c r="S211" i="97"/>
  <c r="AG211" i="97" s="1" a="1"/>
  <c r="AG211" i="97" s="1"/>
  <c r="S302" i="97"/>
  <c r="AG302" i="97" s="1" a="1"/>
  <c r="AG302" i="97" s="1"/>
  <c r="S96" i="97"/>
  <c r="AG96" i="97" s="1" a="1"/>
  <c r="AG96" i="97" s="1"/>
  <c r="S334" i="97"/>
  <c r="AG334" i="97" s="1" a="1"/>
  <c r="AG334" i="97" s="1"/>
  <c r="S93" i="97"/>
  <c r="AG93" i="97" s="1" a="1"/>
  <c r="AG93" i="97" s="1"/>
  <c r="S161" i="97"/>
  <c r="AG161" i="97" s="1" a="1"/>
  <c r="AG161" i="97" s="1"/>
  <c r="S87" i="97"/>
  <c r="AG87" i="97" s="1" a="1"/>
  <c r="AG87" i="97" s="1"/>
  <c r="S322" i="97"/>
  <c r="AG322" i="97" s="1" a="1"/>
  <c r="AG322" i="97" s="1"/>
  <c r="S296" i="97"/>
  <c r="AG296" i="97" s="1" a="1"/>
  <c r="AG296" i="97" s="1"/>
  <c r="S20" i="97"/>
  <c r="AG20" i="97" s="1" a="1"/>
  <c r="AG20" i="97" s="1"/>
  <c r="S95" i="97"/>
  <c r="AG95" i="97" s="1" a="1"/>
  <c r="AG95" i="97" s="1"/>
  <c r="S318" i="97"/>
  <c r="AG318" i="97" s="1" a="1"/>
  <c r="AG318" i="97" s="1"/>
  <c r="S188" i="97"/>
  <c r="AG188" i="97" s="1" a="1"/>
  <c r="AG188" i="97" s="1"/>
  <c r="S84" i="97"/>
  <c r="AG84" i="97" s="1" a="1"/>
  <c r="AG84" i="97" s="1"/>
  <c r="S101" i="97"/>
  <c r="AG101" i="97" s="1" a="1"/>
  <c r="AG101" i="97" s="1"/>
  <c r="S75" i="97"/>
  <c r="AG75" i="97" s="1" a="1"/>
  <c r="AG75" i="97" s="1"/>
  <c r="S272" i="97"/>
  <c r="AG272" i="97" s="1" a="1"/>
  <c r="AG272" i="97" s="1"/>
  <c r="S55" i="97"/>
  <c r="AG55" i="97" s="1" a="1"/>
  <c r="AG55" i="97" s="1"/>
  <c r="S147" i="97"/>
  <c r="AG147" i="97" s="1" a="1"/>
  <c r="AG147" i="97" s="1"/>
  <c r="S50" i="97"/>
  <c r="AG50" i="97" s="1" a="1"/>
  <c r="AG50" i="97" s="1"/>
  <c r="S330" i="97"/>
  <c r="AG330" i="97" s="1" a="1"/>
  <c r="AG330" i="97" s="1"/>
  <c r="S34" i="97"/>
  <c r="AG34" i="97" s="1" a="1"/>
  <c r="AG34" i="97" s="1"/>
  <c r="S275" i="97"/>
  <c r="AG275" i="97" s="1" a="1"/>
  <c r="AG275" i="97" s="1"/>
  <c r="S303" i="97"/>
  <c r="AG303" i="97" s="1" a="1"/>
  <c r="AG303" i="97" s="1"/>
  <c r="S274" i="97"/>
  <c r="AG274" i="97" s="1" a="1"/>
  <c r="AG274" i="97" s="1"/>
  <c r="S221" i="97"/>
  <c r="AG221" i="97" s="1" a="1"/>
  <c r="AG221" i="97" s="1"/>
  <c r="S168" i="97"/>
  <c r="AG168" i="97" s="1" a="1"/>
  <c r="AG168" i="97" s="1"/>
  <c r="S224" i="97"/>
  <c r="AG224" i="97" s="1" a="1"/>
  <c r="AG224" i="97" s="1"/>
  <c r="S246" i="97"/>
  <c r="AG246" i="97" s="1" a="1"/>
  <c r="AG246" i="97" s="1"/>
  <c r="S190" i="97"/>
  <c r="AG190" i="97" s="1" a="1"/>
  <c r="AG190" i="97" s="1"/>
  <c r="S227" i="97"/>
  <c r="AG227" i="97" s="1" a="1"/>
  <c r="AG227" i="97" s="1"/>
  <c r="S241" i="97"/>
  <c r="AG241" i="97" s="1" a="1"/>
  <c r="AG241" i="97" s="1"/>
  <c r="S127" i="97"/>
  <c r="AG127" i="97" s="1" a="1"/>
  <c r="AG127" i="97" s="1"/>
  <c r="S106" i="97"/>
  <c r="AG106" i="97" s="1" a="1"/>
  <c r="AG106" i="97" s="1"/>
  <c r="S197" i="97"/>
  <c r="AG197" i="97" s="1" a="1"/>
  <c r="AG197" i="97" s="1"/>
  <c r="S86" i="97"/>
  <c r="AG86" i="97" s="1" a="1"/>
  <c r="AG86" i="97" s="1"/>
  <c r="S177" i="97"/>
  <c r="AG177" i="97" s="1" a="1"/>
  <c r="AG177" i="97" s="1"/>
  <c r="S18" i="97"/>
  <c r="AG18" i="97" s="1" a="1"/>
  <c r="AG18" i="97" s="1"/>
  <c r="S99" i="97"/>
  <c r="AG99" i="97" s="1" a="1"/>
  <c r="AG99" i="97" s="1"/>
  <c r="S130" i="97"/>
  <c r="AG130" i="97" s="1" a="1"/>
  <c r="AG130" i="97" s="1"/>
  <c r="S282" i="97"/>
  <c r="AG282" i="97" s="1" a="1"/>
  <c r="AG282" i="97" s="1"/>
  <c r="S97" i="97"/>
  <c r="AG97" i="97" s="1" a="1"/>
  <c r="AG97" i="97" s="1"/>
  <c r="S164" i="97"/>
  <c r="AG164" i="97" s="1" a="1"/>
  <c r="AG164" i="97" s="1"/>
  <c r="S206" i="97"/>
  <c r="AG206" i="97" s="1" a="1"/>
  <c r="AG206" i="97" s="1"/>
  <c r="S331" i="97"/>
  <c r="AG331" i="97" s="1" a="1"/>
  <c r="AG331" i="97" s="1"/>
  <c r="S232" i="97"/>
  <c r="AG232" i="97" s="1" a="1"/>
  <c r="AG232" i="97" s="1"/>
  <c r="S156" i="97"/>
  <c r="AG156" i="97" s="1" a="1"/>
  <c r="AG156" i="97" s="1"/>
  <c r="S11" i="97"/>
  <c r="AG11" i="97" s="1" a="1"/>
  <c r="AG11" i="97" s="1"/>
  <c r="S298" i="97"/>
  <c r="AG298" i="97" s="1" a="1"/>
  <c r="AG298" i="97" s="1"/>
  <c r="S61" i="97"/>
  <c r="AG61" i="97" s="1" a="1"/>
  <c r="AG61" i="97" s="1"/>
  <c r="S46" i="97"/>
  <c r="AG46" i="97" s="1" a="1"/>
  <c r="AG46" i="97" s="1"/>
  <c r="S114" i="97"/>
  <c r="AG114" i="97" s="1" a="1"/>
  <c r="AG114" i="97" s="1"/>
  <c r="S219" i="97"/>
  <c r="AG219" i="97" s="1" a="1"/>
  <c r="AG219" i="97" s="1"/>
  <c r="S255" i="97"/>
  <c r="AG255" i="97" s="1" a="1"/>
  <c r="AG255" i="97" s="1"/>
  <c r="S208" i="97"/>
  <c r="AG208" i="97" s="1" a="1"/>
  <c r="AG208" i="97" s="1"/>
  <c r="S129" i="97"/>
  <c r="AG129" i="97" s="1" a="1"/>
  <c r="AG129" i="97" s="1"/>
  <c r="S271" i="97"/>
  <c r="AG271" i="97" s="1" a="1"/>
  <c r="AG271" i="97" s="1"/>
  <c r="S226" i="97"/>
  <c r="AG226" i="97" s="1" a="1"/>
  <c r="AG226" i="97" s="1"/>
  <c r="S109" i="97"/>
  <c r="AG109" i="97" s="1" a="1"/>
  <c r="AG109" i="97" s="1"/>
  <c r="S321" i="97"/>
  <c r="AG321" i="97" s="1" a="1"/>
  <c r="AG321" i="97" s="1"/>
  <c r="S198" i="97"/>
  <c r="AG198" i="97" s="1" a="1"/>
  <c r="AG198" i="97" s="1"/>
  <c r="S26" i="97"/>
  <c r="AG26" i="97" s="1" a="1"/>
  <c r="AG26" i="97" s="1"/>
  <c r="S231" i="97"/>
  <c r="AG231" i="97" s="1" a="1"/>
  <c r="AG231" i="97" s="1"/>
  <c r="S285" i="97"/>
  <c r="AG285" i="97" s="1" a="1"/>
  <c r="AG285" i="97" s="1"/>
  <c r="S49" i="97"/>
  <c r="AG49" i="97" s="1" a="1"/>
  <c r="AG49" i="97" s="1"/>
  <c r="S135" i="97"/>
  <c r="AG135" i="97" s="1" a="1"/>
  <c r="AG135" i="97" s="1"/>
  <c r="S204" i="97"/>
  <c r="AG204" i="97" s="1" a="1"/>
  <c r="AG204" i="97" s="1"/>
  <c r="S172" i="97"/>
  <c r="AG172" i="97" s="1" a="1"/>
  <c r="AG172" i="97" s="1"/>
  <c r="S252" i="97"/>
  <c r="AG252" i="97" s="1" a="1"/>
  <c r="AG252" i="97" s="1"/>
  <c r="S245" i="97"/>
  <c r="AG245" i="97" s="1" a="1"/>
  <c r="AG245" i="97" s="1"/>
  <c r="S68" i="97"/>
  <c r="AG68" i="97" s="1" a="1"/>
  <c r="AG68" i="97" s="1"/>
  <c r="S137" i="97"/>
  <c r="AG137" i="97" s="1" a="1"/>
  <c r="AG137" i="97" s="1"/>
  <c r="S276" i="97"/>
  <c r="AG276" i="97" s="1" a="1"/>
  <c r="AG276" i="97" s="1"/>
  <c r="S15" i="97"/>
  <c r="AG15" i="97" s="1" a="1"/>
  <c r="AG15" i="97" s="1"/>
  <c r="S19" i="97"/>
  <c r="AG19" i="97" s="1" a="1"/>
  <c r="AG19" i="97" s="1"/>
  <c r="S203" i="97"/>
  <c r="AG203" i="97" s="1" a="1"/>
  <c r="AG203" i="97" s="1"/>
  <c r="S10" i="97"/>
  <c r="AG10" i="97" s="1" a="1"/>
  <c r="AG10" i="97" s="1"/>
  <c r="S286" i="97"/>
  <c r="AG286" i="97" s="1" a="1"/>
  <c r="AG286" i="97" s="1"/>
  <c r="S136" i="97"/>
  <c r="AG136" i="97" s="1" a="1"/>
  <c r="AG136" i="97" s="1"/>
  <c r="S191" i="97"/>
  <c r="AG191" i="97" s="1" a="1"/>
  <c r="AG191" i="97" s="1"/>
  <c r="S36" i="97"/>
  <c r="AG36" i="97" s="1" a="1"/>
  <c r="AG36" i="97" s="1"/>
  <c r="S284" i="97"/>
  <c r="AG284" i="97" s="1" a="1"/>
  <c r="AG284" i="97" s="1"/>
  <c r="S178" i="97"/>
  <c r="AG178" i="97" s="1" a="1"/>
  <c r="AG178" i="97" s="1"/>
  <c r="S134" i="97"/>
  <c r="AG134" i="97" s="1" a="1"/>
  <c r="AG134" i="97" s="1"/>
  <c r="S299" i="97"/>
  <c r="AG299" i="97" s="1" a="1"/>
  <c r="AG299" i="97" s="1"/>
  <c r="S108" i="97"/>
  <c r="AG108" i="97" s="1" a="1"/>
  <c r="AG108" i="97" s="1"/>
  <c r="S307" i="97"/>
  <c r="AG307" i="97" s="1" a="1"/>
  <c r="AG307" i="97" s="1"/>
  <c r="S150" i="97"/>
  <c r="AG150" i="97" s="1" a="1"/>
  <c r="AG150" i="97" s="1"/>
  <c r="S199" i="97"/>
  <c r="AG199" i="97" s="1" a="1"/>
  <c r="AG199" i="97" s="1"/>
  <c r="S9" i="97"/>
  <c r="AG9" i="97" s="1" a="1"/>
  <c r="AG9" i="97" s="1"/>
  <c r="S325" i="97"/>
  <c r="AG325" i="97" s="1" a="1"/>
  <c r="AG325" i="97" s="1"/>
  <c r="S45" i="97"/>
  <c r="AG45" i="97" s="1" a="1"/>
  <c r="AG45" i="97" s="1"/>
  <c r="S122" i="97"/>
  <c r="AG122" i="97" s="1" a="1"/>
  <c r="AG122" i="97" s="1"/>
  <c r="S193" i="97"/>
  <c r="AG193" i="97" s="1" a="1"/>
  <c r="AG193" i="97" s="1"/>
  <c r="S92" i="97"/>
  <c r="AG92" i="97" s="1" a="1"/>
  <c r="AG92" i="97" s="1"/>
  <c r="S289" i="97"/>
  <c r="AG289" i="97" s="1" a="1"/>
  <c r="AG289" i="97" s="1"/>
  <c r="S88" i="97"/>
  <c r="AG88" i="97" s="1" a="1"/>
  <c r="AG88" i="97" s="1"/>
  <c r="S132" i="97"/>
  <c r="AG132" i="97" s="1" a="1"/>
  <c r="AG132" i="97" s="1"/>
  <c r="S70" i="97"/>
  <c r="AG70" i="97" s="1" a="1"/>
  <c r="AG70" i="97" s="1"/>
  <c r="S158" i="97"/>
  <c r="AG158" i="97" s="1" a="1"/>
  <c r="AG158" i="97" s="1"/>
  <c r="S77" i="97"/>
  <c r="AG77" i="97" s="1" a="1"/>
  <c r="AG77" i="97" s="1"/>
  <c r="S142" i="97"/>
  <c r="AG142" i="97" s="1" a="1"/>
  <c r="AG142" i="97" s="1"/>
  <c r="S120" i="97"/>
  <c r="AG120" i="97" s="1" a="1"/>
  <c r="AG120" i="97" s="1"/>
  <c r="S39" i="97"/>
  <c r="AG39" i="97" s="1" a="1"/>
  <c r="AG39" i="97" s="1"/>
  <c r="S118" i="97"/>
  <c r="AG118" i="97" s="1" a="1"/>
  <c r="AG118" i="97" s="1"/>
  <c r="S60" i="97"/>
  <c r="AG60" i="97" s="1" a="1"/>
  <c r="AG60" i="97" s="1"/>
  <c r="S159" i="97"/>
  <c r="AG159" i="97" s="1" a="1"/>
  <c r="AG159" i="97" s="1"/>
  <c r="S163" i="97"/>
  <c r="AG163" i="97" s="1" a="1"/>
  <c r="AG163" i="97" s="1"/>
  <c r="S290" i="97"/>
  <c r="AG290" i="97" s="1" a="1"/>
  <c r="AG290" i="97" s="1"/>
  <c r="S251" i="97"/>
  <c r="AG251" i="97" s="1" a="1"/>
  <c r="AG251" i="97" s="1"/>
  <c r="S16" i="97"/>
  <c r="AG16" i="97" s="1" a="1"/>
  <c r="AG16" i="97" s="1"/>
  <c r="S294" i="97"/>
  <c r="AG294" i="97" s="1" a="1"/>
  <c r="AG294" i="97" s="1"/>
  <c r="S21" i="97"/>
  <c r="AG21" i="97" s="1" a="1"/>
  <c r="AG21" i="97" s="1"/>
  <c r="S257" i="97"/>
  <c r="AG257" i="97" s="1" a="1"/>
  <c r="AG257" i="97" s="1"/>
  <c r="S31" i="97"/>
  <c r="AG31" i="97" s="1" a="1"/>
  <c r="AG31" i="97" s="1"/>
  <c r="S29" i="97"/>
  <c r="AG29" i="97" s="1" a="1"/>
  <c r="AG29" i="97" s="1"/>
  <c r="S154" i="97"/>
  <c r="AG154" i="97" s="1" a="1"/>
  <c r="AG154" i="97" s="1"/>
  <c r="S260" i="97"/>
  <c r="AG260" i="97" s="1" a="1"/>
  <c r="AG260" i="97" s="1"/>
  <c r="S259" i="97"/>
  <c r="AG259" i="97" s="1" a="1"/>
  <c r="AG259" i="97" s="1"/>
  <c r="S329" i="97"/>
  <c r="AG329" i="97" s="1" a="1"/>
  <c r="AG329" i="97" s="1"/>
  <c r="S143" i="97"/>
  <c r="AG143" i="97" s="1" a="1"/>
  <c r="AG143" i="97" s="1"/>
  <c r="S54" i="97"/>
  <c r="AG54" i="97" s="1" a="1"/>
  <c r="AG54" i="97" s="1"/>
  <c r="AH5"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AD1" authorId="0" shapeId="0" xr:uid="{81BF9902-6F5D-394F-A7DF-554E48CB1921}">
      <text>
        <r>
          <rPr>
            <b/>
            <sz val="10"/>
            <color rgb="FF000000"/>
            <rFont val="Tahoma"/>
            <family val="2"/>
          </rPr>
          <t>Alan Shepherd:</t>
        </r>
        <r>
          <rPr>
            <sz val="10"/>
            <color rgb="FF000000"/>
            <rFont val="Tahoma"/>
            <family val="2"/>
          </rPr>
          <t xml:space="preserve">
</t>
        </r>
        <r>
          <rPr>
            <sz val="10"/>
            <color rgb="FF000000"/>
            <rFont val="Aptos Narrow"/>
          </rPr>
          <t xml:space="preserve">These  cells are used for the drop-down list to select the comma type in the temerament sheets.
</t>
        </r>
      </text>
    </comment>
    <comment ref="AD2" authorId="0" shapeId="0" xr:uid="{6EFD12BB-6E93-9F49-A349-490408299935}">
      <text>
        <r>
          <rPr>
            <b/>
            <sz val="10"/>
            <color rgb="FF000000"/>
            <rFont val="Tahoma"/>
            <family val="2"/>
          </rPr>
          <t>Alan Shepherd:</t>
        </r>
        <r>
          <rPr>
            <sz val="10"/>
            <color rgb="FF000000"/>
            <rFont val="Tahoma"/>
            <family val="2"/>
          </rPr>
          <t xml:space="preserve">
</t>
        </r>
        <r>
          <rPr>
            <sz val="10"/>
            <color rgb="FF000000"/>
            <rFont val="Tahoma"/>
            <family val="2"/>
          </rPr>
          <t>These cells are used for the drop-down list to select the comma type in the temerament sheets.</t>
        </r>
      </text>
    </comment>
    <comment ref="AD3" authorId="0" shapeId="0" xr:uid="{D70AC36B-DDAB-1B48-B4B3-A4B5B01A101A}">
      <text>
        <r>
          <rPr>
            <b/>
            <sz val="10"/>
            <color rgb="FF000000"/>
            <rFont val="Tahoma"/>
            <family val="2"/>
          </rPr>
          <t>Alan Shepherd:</t>
        </r>
        <r>
          <rPr>
            <sz val="10"/>
            <color rgb="FF000000"/>
            <rFont val="Tahoma"/>
            <family val="2"/>
          </rPr>
          <t xml:space="preserve">
</t>
        </r>
        <r>
          <rPr>
            <sz val="10"/>
            <color rgb="FF000000"/>
            <rFont val="Aptos Narrow"/>
          </rPr>
          <t>These cells are used for the drop-down list to select the comma type in the temerament sheets.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9799A38C-C9AA-184B-A56F-3481D5C268AB}">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FF72925B-9752-E14C-AE5A-092D4938658B}">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830653C3-E09E-644F-8AAE-6A7EF02FC0D5}">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6C634AE3-A052-5C43-A69C-8D46EA69C33E}">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5E6B30E8-E8DB-7342-964F-3B3305BC0415}">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6229CE80-1E2F-244F-9587-AEF5F11A9F27}">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F832EB21-254E-AB4E-84C9-F0207E41155F}">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E7" authorId="0" shapeId="0" xr:uid="{69C6E2BB-2220-614D-B0B3-19A65C089959}">
      <text>
        <r>
          <rPr>
            <b/>
            <sz val="10"/>
            <color rgb="FF000000"/>
            <rFont val="Tahoma"/>
            <family val="2"/>
          </rPr>
          <t>Alan Shepherd:</t>
        </r>
        <r>
          <rPr>
            <sz val="10"/>
            <color rgb="FF000000"/>
            <rFont val="Tahoma"/>
            <family val="2"/>
          </rPr>
          <t xml:space="preserve">
</t>
        </r>
        <r>
          <rPr>
            <sz val="10"/>
            <color rgb="FF000000"/>
            <rFont val="Tahoma"/>
            <family val="2"/>
          </rPr>
          <t xml:space="preserve">These match: 
</t>
        </r>
        <r>
          <rPr>
            <sz val="10"/>
            <color rgb="FF000000"/>
            <rFont val="Tahoma"/>
            <family val="2"/>
          </rPr>
          <t xml:space="preserve"> - the upper table on Werckmeister p.77 when C is set to 120 
</t>
        </r>
        <r>
          <rPr>
            <sz val="10"/>
            <color rgb="FF000000"/>
            <rFont val="Tahoma"/>
            <family val="2"/>
          </rPr>
          <t xml:space="preserve"> - the corrected lower table when C is set to 10800
</t>
        </r>
        <r>
          <rPr>
            <sz val="10"/>
            <color rgb="FF000000"/>
            <rFont val="Tahoma"/>
            <family val="2"/>
          </rPr>
          <t xml:space="preserve"> - the lengths on the "Kupferstich"</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B4549CBE-03D5-F341-A545-B82CEF36CC02}">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2C48ADA2-C708-FE40-860C-7A761AD37EEA}">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R7" authorId="0" shapeId="0" xr:uid="{9A4CD037-D03D-B842-8043-4F56C7EE3372}">
      <text>
        <r>
          <rPr>
            <b/>
            <sz val="10"/>
            <color rgb="FF000000"/>
            <rFont val="Tahoma"/>
            <family val="2"/>
          </rPr>
          <t>Alan Shepherd:</t>
        </r>
        <r>
          <rPr>
            <sz val="10"/>
            <color rgb="FF000000"/>
            <rFont val="Tahoma"/>
            <family val="2"/>
          </rPr>
          <t xml:space="preserve">
</t>
        </r>
        <r>
          <rPr>
            <sz val="10"/>
            <color rgb="FF000000"/>
            <rFont val="Tahoma"/>
            <family val="2"/>
          </rPr>
          <t>This gets the offset for the HLOOKUP from the row number.</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3E96426D-E812-9340-826C-B3AADB623FEF}">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40C1D995-EA96-0645-89D2-5AEB7F1B74BC}">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9A151FE9-06B1-1B4E-A407-C2C414058BB8}">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507B1BC0-5D48-8A43-81F2-CD4207D969DC}">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54E8BD79-F249-204B-8429-8CD9C1E12CF3}">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242912A2-D38C-814B-A66C-CE0FA89AA145}">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27A81C2C-278E-7541-B4DB-A9A670203601}">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H8" authorId="0" shapeId="0" xr:uid="{665E2383-8EF8-2246-9B32-8B1C7DD90757}">
      <text>
        <r>
          <rPr>
            <b/>
            <sz val="10"/>
            <color rgb="FF000000"/>
            <rFont val="Tahoma"/>
            <family val="2"/>
          </rPr>
          <t>Alan Shepherd:</t>
        </r>
        <r>
          <rPr>
            <sz val="10"/>
            <color rgb="FF000000"/>
            <rFont val="Tahoma"/>
            <family val="2"/>
          </rPr>
          <t xml:space="preserve">
</t>
        </r>
        <r>
          <rPr>
            <sz val="10"/>
            <color rgb="FF000000"/>
            <rFont val="Tahoma"/>
            <family val="2"/>
          </rPr>
          <t>Resulting difference in cents between strings of pair</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9098CDC8-4FB2-574B-9406-FD7D5CE2A660}">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F0BE8317-D8D3-2A4A-903E-1A87F4E4963C}">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H8" authorId="0" shapeId="0" xr:uid="{71F869D3-827E-4B41-A37F-E61AF8C3D917}">
      <text>
        <r>
          <rPr>
            <b/>
            <sz val="10"/>
            <color rgb="FF000000"/>
            <rFont val="Tahoma"/>
            <family val="2"/>
          </rPr>
          <t>Alan Shepherd:</t>
        </r>
        <r>
          <rPr>
            <sz val="10"/>
            <color rgb="FF000000"/>
            <rFont val="Tahoma"/>
            <family val="2"/>
          </rPr>
          <t xml:space="preserve">
</t>
        </r>
        <r>
          <rPr>
            <sz val="10"/>
            <color rgb="FF000000"/>
            <rFont val="Tahoma"/>
            <family val="2"/>
          </rPr>
          <t>Resulting difference in cents between strings of pair</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E4A877C4-57CC-9445-958E-92E1D65003E7}">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D2" authorId="0" shapeId="0" xr:uid="{12236020-8800-5E49-91DD-BA9ACA607FF4}">
      <text>
        <r>
          <rPr>
            <b/>
            <sz val="10"/>
            <color rgb="FF000000"/>
            <rFont val="Tahoma"/>
            <family val="2"/>
          </rPr>
          <t>Alan Shepherd:</t>
        </r>
        <r>
          <rPr>
            <sz val="10"/>
            <color rgb="FF000000"/>
            <rFont val="Tahoma"/>
            <family val="2"/>
          </rPr>
          <t xml:space="preserve">
</t>
        </r>
        <r>
          <rPr>
            <sz val="10"/>
            <color rgb="FF000000"/>
            <rFont val="Tahoma"/>
            <family val="2"/>
          </rPr>
          <t>This worksheet will only work with cents, which is how the BDO data is given in the Best Fit worksheet.</t>
        </r>
      </text>
    </comment>
    <comment ref="B43" authorId="0" shapeId="0" xr:uid="{95D8502C-4A5E-544A-A988-B9DFE3F6124E}">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2" authorId="0" shapeId="0" xr:uid="{6C30B7F6-5C74-4947-B745-83741A993452}">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CC9F29A8-332D-264C-AA19-2D2DCECBA524}">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18799B58-BD43-5943-876F-DADAA7BBB4D7}">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E5067AE7-52F4-3F40-83C3-D85A68D7E82E}">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Alan Shepherd</author>
  </authors>
  <commentList>
    <comment ref="B43" authorId="0" shapeId="0" xr:uid="{39CCF245-7EB7-BF41-87CB-82A944E3E979}">
      <text>
        <r>
          <rPr>
            <b/>
            <sz val="10"/>
            <color rgb="FF000000"/>
            <rFont val="Tahoma"/>
            <family val="2"/>
          </rPr>
          <t>Alan Shepherd:</t>
        </r>
        <r>
          <rPr>
            <sz val="10"/>
            <color rgb="FF000000"/>
            <rFont val="Tahoma"/>
            <family val="2"/>
          </rPr>
          <t xml:space="preserve">
</t>
        </r>
        <r>
          <rPr>
            <sz val="10"/>
            <color rgb="FF000000"/>
            <rFont val="Tahoma"/>
            <family val="2"/>
          </rPr>
          <t xml:space="preserve">This table must be in the same place in all Temperament Sheets and be named "MasterFrequencies" with sheet scope.
</t>
        </r>
        <r>
          <rPr>
            <sz val="10"/>
            <color rgb="FF000000"/>
            <rFont val="Tahoma"/>
            <family val="2"/>
          </rPr>
          <t>It will be used to look up the frequencies for this temperament, both within this sheet and in other sheets.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FEAEEE5-F10F-4448-8416-CDF775442D71}" name="BDO1" type="6" refreshedVersion="8" deleted="1" background="1" saveData="1">
    <textPr sourceFile="/Users/alan/Downloads/BDO.txt" tab="0" semicolon="1">
      <textFields count="14">
        <textField/>
        <textField/>
        <textField/>
        <textField/>
        <textField/>
        <textField/>
        <textField/>
        <textField/>
        <textField/>
        <textField/>
        <textField/>
        <textField/>
        <textField/>
        <textField/>
      </textFields>
    </textPr>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<sst xmlns="http://schemas.openxmlformats.org/spreadsheetml/2006/main" count="7233" uniqueCount="601">
  <si>
    <t>Note</t>
  </si>
  <si>
    <t>Frequency</t>
  </si>
  <si>
    <t>C</t>
  </si>
  <si>
    <t>D</t>
  </si>
  <si>
    <t>E</t>
  </si>
  <si>
    <t>F</t>
  </si>
  <si>
    <t>G</t>
  </si>
  <si>
    <t>A</t>
  </si>
  <si>
    <t>B</t>
  </si>
  <si>
    <t>g</t>
  </si>
  <si>
    <t>Calculated</t>
  </si>
  <si>
    <t>F Hz</t>
  </si>
  <si>
    <t>Octaves down</t>
  </si>
  <si>
    <t>F within octave</t>
  </si>
  <si>
    <t>Note Scale Order</t>
  </si>
  <si>
    <t>F Scale Order</t>
  </si>
  <si>
    <t>Cents</t>
  </si>
  <si>
    <t>Cents btw. Fifths</t>
  </si>
  <si>
    <t>F1 *5/4</t>
  </si>
  <si>
    <t>Fifths Ratio</t>
  </si>
  <si>
    <t>Thirds Ratio</t>
  </si>
  <si>
    <t>Harmonics</t>
  </si>
  <si>
    <t>Frequency in Octave</t>
  </si>
  <si>
    <t>Nearest note</t>
  </si>
  <si>
    <t>Werckmeister III</t>
  </si>
  <si>
    <t>Longer</t>
  </si>
  <si>
    <t>Shorter</t>
  </si>
  <si>
    <t>Longer to Shorter</t>
  </si>
  <si>
    <t>Shorter to Longer</t>
  </si>
  <si>
    <t>Cents from C</t>
  </si>
  <si>
    <t>Prop. 1</t>
  </si>
  <si>
    <t>Length</t>
  </si>
  <si>
    <t>Frequency Hz</t>
  </si>
  <si>
    <t>Frequency Cents from C</t>
  </si>
  <si>
    <t>Length Cents from C</t>
  </si>
  <si>
    <t>Rel. Freq.</t>
  </si>
  <si>
    <t>Relative Frequency Cents</t>
  </si>
  <si>
    <t>Dm</t>
  </si>
  <si>
    <t>Em</t>
  </si>
  <si>
    <t>A m</t>
  </si>
  <si>
    <t>A dur</t>
  </si>
  <si>
    <t>As</t>
  </si>
  <si>
    <t>Bm</t>
  </si>
  <si>
    <t>Fifths</t>
  </si>
  <si>
    <t>Frequency in Fifths</t>
  </si>
  <si>
    <t>Pyth. Comma:</t>
  </si>
  <si>
    <t>81/80</t>
  </si>
  <si>
    <t>531441/524288</t>
  </si>
  <si>
    <t>Syntonic Comma</t>
  </si>
  <si>
    <t>Difference cents</t>
  </si>
  <si>
    <t>Monochord String Length</t>
  </si>
  <si>
    <t>Length to Cents</t>
  </si>
  <si>
    <t>Enter the longer length and cents to obtain the shorter length</t>
  </si>
  <si>
    <t>Enter the longer and shorter lengths to obtain the difference in cents.</t>
  </si>
  <si>
    <t>Enter the shorter length and cents to obtain the longer length</t>
  </si>
  <si>
    <t>Fret calculator.</t>
  </si>
  <si>
    <t>Note 1</t>
  </si>
  <si>
    <t>Note 2</t>
  </si>
  <si>
    <t>Meantone q. comma</t>
  </si>
  <si>
    <t>Fretted Notes</t>
  </si>
  <si>
    <t>Shorter (Result)</t>
  </si>
  <si>
    <t>Temperament:</t>
  </si>
  <si>
    <t>Meantone Bavington Donat</t>
  </si>
  <si>
    <t>Back to Overview</t>
  </si>
  <si>
    <t>Instrument Sheets</t>
  </si>
  <si>
    <t>Temperament Sheets</t>
  </si>
  <si>
    <t xml:space="preserve">Monochord -Derivation of Intervals from Monochord </t>
  </si>
  <si>
    <t>Pythogorean</t>
  </si>
  <si>
    <t>Meantone Quarter Comma</t>
  </si>
  <si>
    <t>Equal Temperament</t>
  </si>
  <si>
    <t>F#</t>
  </si>
  <si>
    <t>F# m</t>
  </si>
  <si>
    <t>G#</t>
  </si>
  <si>
    <t>A#</t>
  </si>
  <si>
    <t>C#</t>
  </si>
  <si>
    <t>C# dur</t>
  </si>
  <si>
    <t>D#</t>
  </si>
  <si>
    <t>Eb</t>
  </si>
  <si>
    <t>c oct.</t>
  </si>
  <si>
    <t>Fret Calculator Sheet</t>
  </si>
  <si>
    <t>In cents</t>
  </si>
  <si>
    <t>Quarter Commas</t>
  </si>
  <si>
    <t>Sixth Commas</t>
  </si>
  <si>
    <t>Twelfth Commas</t>
  </si>
  <si>
    <t>Pythagorean Comma</t>
  </si>
  <si>
    <t>In cents:</t>
  </si>
  <si>
    <t>Commas and Cents and Fractions of Commas</t>
  </si>
  <si>
    <t>Eighth Commas</t>
  </si>
  <si>
    <t>ET in Fifths</t>
  </si>
  <si>
    <t>ET in scale order</t>
  </si>
  <si>
    <t>Difference to ET Scale in Cents</t>
  </si>
  <si>
    <t>Difference to ET Fifths in Cents</t>
  </si>
  <si>
    <t>F Scale Order up Octaves</t>
  </si>
  <si>
    <t>F Scale Order down Octaves</t>
  </si>
  <si>
    <t>RMS:</t>
  </si>
  <si>
    <t>Fret Distance</t>
  </si>
  <si>
    <t>Octave:</t>
  </si>
  <si>
    <t>Enter data</t>
  </si>
  <si>
    <t>Titles etc.</t>
  </si>
  <si>
    <t>cents</t>
  </si>
  <si>
    <t>Valotti-Young</t>
  </si>
  <si>
    <t>Neidhardt 3</t>
  </si>
  <si>
    <t>Neidhardt 1</t>
  </si>
  <si>
    <t>General</t>
  </si>
  <si>
    <t>Kirnberger Column 1</t>
  </si>
  <si>
    <t>Kirnberger Column 2</t>
  </si>
  <si>
    <t>Kirnberger Column 3</t>
  </si>
  <si>
    <t>Kirnberger III Syntonic</t>
  </si>
  <si>
    <t>Kirnberger III Pythagorean</t>
  </si>
  <si>
    <t>Meantone Oct 1</t>
  </si>
  <si>
    <t>Colour Coding for Fields</t>
  </si>
  <si>
    <t>Colour Coding for Tabs</t>
  </si>
  <si>
    <t>Theoretical Temperaments</t>
  </si>
  <si>
    <t>Meantone Octave 1</t>
  </si>
  <si>
    <t>Meantone Octave 2</t>
  </si>
  <si>
    <t>Fractions of Syntonic Comma in Cents</t>
  </si>
  <si>
    <t>Fractions of Pythogorean Comma in Cents</t>
  </si>
  <si>
    <t>Schisma</t>
  </si>
  <si>
    <t>Pythagorean commas</t>
  </si>
  <si>
    <t>Syntonic commas</t>
  </si>
  <si>
    <t>Bavington Donat Leipzig L12 ~1700</t>
  </si>
  <si>
    <t>Schisma in Fractions of a Pathagorean Comma</t>
  </si>
  <si>
    <t>Schisma in Fractions of a Syntonic Comma</t>
  </si>
  <si>
    <t>As real no.:</t>
  </si>
  <si>
    <t>As real no.</t>
  </si>
  <si>
    <t>Fraction 1/</t>
  </si>
  <si>
    <t>Silbermann Sorge</t>
  </si>
  <si>
    <t>Note Fifths</t>
  </si>
  <si>
    <t>Octaves up</t>
  </si>
  <si>
    <t>Compared to Equal Temperament</t>
  </si>
  <si>
    <t>Lower Note</t>
  </si>
  <si>
    <t>Major Third</t>
  </si>
  <si>
    <t>Octave Adjustment</t>
  </si>
  <si>
    <t>Ratios</t>
  </si>
  <si>
    <t xml:space="preserve">Harmonics </t>
  </si>
  <si>
    <t>Thirds Compared to Just</t>
  </si>
  <si>
    <t>ET Frequency Hz</t>
  </si>
  <si>
    <t>Resulting F</t>
  </si>
  <si>
    <t>Master Frequencies</t>
  </si>
  <si>
    <t>Tuning Defined in Cents Relative to ET</t>
  </si>
  <si>
    <t>Tuning Defined in Cents from C</t>
  </si>
  <si>
    <t>Tuning Defined in Fifths</t>
  </si>
  <si>
    <t>Scale Order from C</t>
  </si>
  <si>
    <t>A:</t>
  </si>
  <si>
    <t>Tuning Defined in Fifths 3/2</t>
  </si>
  <si>
    <t>Pythagorean Defined from Fifths as 3/2</t>
  </si>
  <si>
    <t>Template to Define Tuning of Scale from C</t>
  </si>
  <si>
    <t>Monochord</t>
  </si>
  <si>
    <t>From Proportions</t>
  </si>
  <si>
    <t>Scale Order</t>
  </si>
  <si>
    <t>Meantone Octave with Matching Octaves</t>
  </si>
  <si>
    <t>Meantone by Bavington for Donat Instrument Leipzig 12</t>
  </si>
  <si>
    <t>Neidhardt 2</t>
  </si>
  <si>
    <t>Soilbermann Wegscheider 1</t>
  </si>
  <si>
    <t>Invented Temperaments</t>
  </si>
  <si>
    <t>Templates</t>
  </si>
  <si>
    <t>Template Sheets</t>
  </si>
  <si>
    <t>Meantone q. Comma</t>
  </si>
  <si>
    <t>Equal</t>
  </si>
  <si>
    <t>Kirnberger III S.</t>
  </si>
  <si>
    <t>General Calculations</t>
  </si>
  <si>
    <t>From</t>
  </si>
  <si>
    <t>https://bund-deutscher-orgelbaumeister.de/stimmungen/contents.htm</t>
  </si>
  <si>
    <t>Intervals from Instrument</t>
  </si>
  <si>
    <t>Intervals and fret sizes in cents from Instrument</t>
  </si>
  <si>
    <t>Difference in cents to ET</t>
  </si>
  <si>
    <t>From linkson BDO website: Difference to ET in cents.</t>
  </si>
  <si>
    <t>Difference to ET in Cents</t>
  </si>
  <si>
    <t>Instr. Fret size cents:</t>
  </si>
  <si>
    <t>Minimum RMS:</t>
  </si>
  <si>
    <t>Intervals from temperament</t>
  </si>
  <si>
    <t>Differences between Instrument Interval cents and Temperament Interval cents</t>
  </si>
  <si>
    <t>Offset</t>
  </si>
  <si>
    <t>RMS</t>
  </si>
  <si>
    <t>31-stufige Temperatur</t>
  </si>
  <si>
    <t>31-stufige Temperatur genauer</t>
  </si>
  <si>
    <t>53-stufige Temperatur 1</t>
  </si>
  <si>
    <t>53-stufige Temperatur 1 genauer</t>
  </si>
  <si>
    <t>53-stufige Temperatur 2</t>
  </si>
  <si>
    <t>53-stufige Temperatur 2 genauer</t>
  </si>
  <si>
    <t>Agricola</t>
  </si>
  <si>
    <t>Agricola genauer</t>
  </si>
  <si>
    <t>Alembert 1752</t>
  </si>
  <si>
    <t>Alembert 1800</t>
  </si>
  <si>
    <t>Alembert/Barca</t>
  </si>
  <si>
    <t>Ammerbach (nach Ratte 1)</t>
  </si>
  <si>
    <t>Ammerbach (nach Ratte 1) genauer</t>
  </si>
  <si>
    <t>Ammerbach (nach Ratte 2)</t>
  </si>
  <si>
    <t>Ammerbach (nach Ratte 2) genauer</t>
  </si>
  <si>
    <t>Aristoxenos</t>
  </si>
  <si>
    <t>Artusi</t>
  </si>
  <si>
    <t>Bach-Orgel Leipzig</t>
  </si>
  <si>
    <t>Bassano</t>
  </si>
  <si>
    <t>Baumeister</t>
  </si>
  <si>
    <t>Bendeler 1</t>
  </si>
  <si>
    <t>Bendeler 2</t>
  </si>
  <si>
    <t>Bendeler 3</t>
  </si>
  <si>
    <t>Bermudo</t>
  </si>
  <si>
    <t>Bermudo genauer</t>
  </si>
  <si>
    <t>Billeter</t>
  </si>
  <si>
    <t>Bruder (nach Bormann)</t>
  </si>
  <si>
    <t>Bruder (nach Bormann) genauer</t>
  </si>
  <si>
    <t>Bruder (nach Vier 1/Ratte)</t>
  </si>
  <si>
    <t>Bruder (nach Vier 1/Ratte) genauer</t>
  </si>
  <si>
    <t>Bruder (nach Vier 2)</t>
  </si>
  <si>
    <t>Bruder 1 (nach Billeter)</t>
  </si>
  <si>
    <t>Canti</t>
  </si>
  <si>
    <t>Caus</t>
  </si>
  <si>
    <t>Clicquot</t>
  </si>
  <si>
    <t>Corette</t>
  </si>
  <si>
    <t>Covarrubias</t>
  </si>
  <si>
    <t>de Lorenzi</t>
  </si>
  <si>
    <t>de Zwolle, Henri d'Arnoult</t>
  </si>
  <si>
    <t>Don Bedos</t>
  </si>
  <si>
    <t>Equal Beating Victorian Temperament 1</t>
  </si>
  <si>
    <t>Equal Beating Victorian Temperament 1 genauer</t>
  </si>
  <si>
    <t>Equal Beating Victorian Temperament 2</t>
  </si>
  <si>
    <t>Equal Beating Victorian Temperament 2 genauer</t>
  </si>
  <si>
    <t>Equal Beating Victorian Temperament 3</t>
  </si>
  <si>
    <t>Equal Beating Victorian Temperament 3 genauer</t>
  </si>
  <si>
    <t>Erlanger Traktat</t>
  </si>
  <si>
    <t>Erlanger Traktat genauer</t>
  </si>
  <si>
    <t>Euler</t>
  </si>
  <si>
    <t>Frankreich 18. Jh./Marpurg 2</t>
  </si>
  <si>
    <t>Freiberg Dom 1985</t>
  </si>
  <si>
    <t>Freiberg Dom 1985 genauer</t>
  </si>
  <si>
    <t>Frischknecht 2</t>
  </si>
  <si>
    <t>Frischknecht 3</t>
  </si>
  <si>
    <t>Frischknecht 4</t>
  </si>
  <si>
    <t>Frischknecht 5</t>
  </si>
  <si>
    <t>Galilei</t>
  </si>
  <si>
    <t>Gallimard 1</t>
  </si>
  <si>
    <t>Gallimard 2</t>
  </si>
  <si>
    <t>Gallimard vereinfacht</t>
  </si>
  <si>
    <t>Ganassi</t>
  </si>
  <si>
    <t>Ganassi genauer</t>
  </si>
  <si>
    <t>gleichstufig</t>
  </si>
  <si>
    <t>gleichstufig genauer</t>
  </si>
  <si>
    <t>Grammateus</t>
  </si>
  <si>
    <t>Grammateus genauer</t>
  </si>
  <si>
    <t>Grenacher</t>
  </si>
  <si>
    <t>Hamel</t>
  </si>
  <si>
    <t>Herschel 1</t>
  </si>
  <si>
    <t>Herschel 2</t>
  </si>
  <si>
    <t>Kepler</t>
  </si>
  <si>
    <t>Kirnberger 1</t>
  </si>
  <si>
    <t>Kirnberger 2</t>
  </si>
  <si>
    <t>Kirnberger 2 (nach Ratte)</t>
  </si>
  <si>
    <t>Kirnberger 2 (nach Ratte) genauer</t>
  </si>
  <si>
    <t>Kirnberger 2/Christmann</t>
  </si>
  <si>
    <t>Kirnberger 3 (nach Kelletat)</t>
  </si>
  <si>
    <t>Kirnberger 3 (nach Kellner)</t>
  </si>
  <si>
    <t>Kirnberger 3 (nach Lange)</t>
  </si>
  <si>
    <t>Kirnberger 3 (nach Lange) genauer</t>
  </si>
  <si>
    <t>Kirnberger 3 gemildert</t>
  </si>
  <si>
    <t>Lambert-Chaumont</t>
  </si>
  <si>
    <t>Legros 1</t>
  </si>
  <si>
    <t>Legros 2</t>
  </si>
  <si>
    <t>Louet</t>
  </si>
  <si>
    <t>Lublin, Johannes von</t>
  </si>
  <si>
    <t>Lublin, Johannes von genauer</t>
  </si>
  <si>
    <t>Malcolm</t>
  </si>
  <si>
    <t>Malerbi</t>
  </si>
  <si>
    <t>Marius/Berlin</t>
  </si>
  <si>
    <t>Marius/Berlin genauer</t>
  </si>
  <si>
    <t>Marius/Paris</t>
  </si>
  <si>
    <t>Marius/Paris genauer</t>
  </si>
  <si>
    <t>Marpurg (nach Bremmer)</t>
  </si>
  <si>
    <t>Marpurg 1</t>
  </si>
  <si>
    <t>Marpurg T01</t>
  </si>
  <si>
    <t>Marpurg T02</t>
  </si>
  <si>
    <t>Marpurg T03</t>
  </si>
  <si>
    <t>Marpurg T04</t>
  </si>
  <si>
    <t>Marpurg T05</t>
  </si>
  <si>
    <t>Marpurg T06</t>
  </si>
  <si>
    <t>Marpurg T07</t>
  </si>
  <si>
    <t>Marpurg T08</t>
  </si>
  <si>
    <t>Marpurg T09</t>
  </si>
  <si>
    <t>Marpurg T10</t>
  </si>
  <si>
    <t>Marpurg T11</t>
  </si>
  <si>
    <t>Marpurg T12</t>
  </si>
  <si>
    <t>Marpurg T13</t>
  </si>
  <si>
    <t>Marpurg T14</t>
  </si>
  <si>
    <t>Marpurg T15</t>
  </si>
  <si>
    <t>Marpurg T16</t>
  </si>
  <si>
    <t>Marpurg T17</t>
  </si>
  <si>
    <t>Marti 1</t>
  </si>
  <si>
    <t>Marti 2</t>
  </si>
  <si>
    <t>Martini</t>
  </si>
  <si>
    <t>Mattheson</t>
  </si>
  <si>
    <t>Mercadier</t>
  </si>
  <si>
    <t>Mersenne 1</t>
  </si>
  <si>
    <t>Mersenne 2</t>
  </si>
  <si>
    <t>Mersenne 2 genauer</t>
  </si>
  <si>
    <t>Mersenne 3</t>
  </si>
  <si>
    <t>Michelin</t>
  </si>
  <si>
    <t>Muri Evangelienorgel</t>
  </si>
  <si>
    <t>Nassare</t>
  </si>
  <si>
    <t>Nassau</t>
  </si>
  <si>
    <t>Neidhardt (nach Barbour 1)</t>
  </si>
  <si>
    <t>Neidhardt (nach Barbour 2)</t>
  </si>
  <si>
    <t>Neidhardt (nach Devie)</t>
  </si>
  <si>
    <t>Neidhardt (nach Eitz/Ellis)</t>
  </si>
  <si>
    <t>Neidhardt (nach Ratte)</t>
  </si>
  <si>
    <t>Neidhardt (nach Ratte) genauer</t>
  </si>
  <si>
    <t>Pittet</t>
  </si>
  <si>
    <t>pythagoreisch</t>
  </si>
  <si>
    <t>pythagoreisch genauer</t>
  </si>
  <si>
    <t>Ramarin</t>
  </si>
  <si>
    <t>Ramarin genauer</t>
  </si>
  <si>
    <t>Rameau</t>
  </si>
  <si>
    <t>Rameau (nach Lindley)</t>
  </si>
  <si>
    <t>Rameau (nach Mercadier/Barbieri)</t>
  </si>
  <si>
    <t>Rameau (nach Mercadier/Legros)</t>
  </si>
  <si>
    <t>Rameau (nach Riche)</t>
  </si>
  <si>
    <t>Ramis de Pareia</t>
  </si>
  <si>
    <t>Ramis de Pareia genauer</t>
  </si>
  <si>
    <t>Ratte 1</t>
  </si>
  <si>
    <t>Ratte 1 genauer</t>
  </si>
  <si>
    <t>Ratte 2</t>
  </si>
  <si>
    <t>Ratte 2 genauer</t>
  </si>
  <si>
    <t>Reinhard</t>
  </si>
  <si>
    <t>Reinhard genauer</t>
  </si>
  <si>
    <t>Riccati 1</t>
  </si>
  <si>
    <t>Riccati 1 genauer</t>
  </si>
  <si>
    <t>Riccati 2</t>
  </si>
  <si>
    <t>Riley</t>
  </si>
  <si>
    <t>Romieu 1</t>
  </si>
  <si>
    <t>Romieu 1 genauer</t>
  </si>
  <si>
    <t>Romieu 2</t>
  </si>
  <si>
    <t>Romieu 2 genauer</t>
  </si>
  <si>
    <t>Romieu 3</t>
  </si>
  <si>
    <t>Romieu 3 genauer</t>
  </si>
  <si>
    <t>Romieu 4</t>
  </si>
  <si>
    <t>Romieu 4 genauer</t>
  </si>
  <si>
    <t>Rossi</t>
  </si>
  <si>
    <t>Rossi genauer</t>
  </si>
  <si>
    <t>Salamanca</t>
  </si>
  <si>
    <t>Salinas (nach Barbour)</t>
  </si>
  <si>
    <t>Salinas (nach Barbour) genauer</t>
  </si>
  <si>
    <t>Salinas (nach Dupont)</t>
  </si>
  <si>
    <t>Sauveur</t>
  </si>
  <si>
    <t>Sauveur genauer</t>
  </si>
  <si>
    <t>Schlick (nach Barbour)</t>
  </si>
  <si>
    <t>Schlick (nach Barbour) genauer</t>
  </si>
  <si>
    <t>Schlick (nach Billeter)</t>
  </si>
  <si>
    <t>Schlick (nach Dupont)</t>
  </si>
  <si>
    <t>Schlick (nach Husmann)</t>
  </si>
  <si>
    <t>Schlick (nach Lange 1)</t>
  </si>
  <si>
    <t>Schlick (nach Lange 1) genauer</t>
  </si>
  <si>
    <t>Schlick (nach Lange 2)</t>
  </si>
  <si>
    <t>Schlick (nach Lange 2) genauer</t>
  </si>
  <si>
    <t>Schlick (nach Legros)</t>
  </si>
  <si>
    <t>Schlick (nach Ratte)</t>
  </si>
  <si>
    <t>Schlick (nach Tessmer)</t>
  </si>
  <si>
    <t>Schlick (nach Wolf)</t>
  </si>
  <si>
    <t>Schneegass 1</t>
  </si>
  <si>
    <t>Schneegass 1 genauer</t>
  </si>
  <si>
    <t>Schneegass 2</t>
  </si>
  <si>
    <t>Schneegass 2 genauer</t>
  </si>
  <si>
    <t>Schneegass 3</t>
  </si>
  <si>
    <t>Schneegass 3 genauer</t>
  </si>
  <si>
    <t>Senn</t>
  </si>
  <si>
    <t>Senn genauer</t>
  </si>
  <si>
    <t>Sieur Vincent</t>
  </si>
  <si>
    <t>Sievers</t>
  </si>
  <si>
    <t>Silbermann, Andreas 1</t>
  </si>
  <si>
    <t>Silbermann, Andreas 2</t>
  </si>
  <si>
    <t>Silbermann, Andreas 3</t>
  </si>
  <si>
    <t>Silbermann, Gottfried (nach Barbour)</t>
  </si>
  <si>
    <t>Silbermann, Gottfried (nach Billeter)</t>
  </si>
  <si>
    <t>Silbermann, Gottfried (nach Eger 1)</t>
  </si>
  <si>
    <t>Silbermann, Gottfried (nach Eger 1) genauer</t>
  </si>
  <si>
    <t>Silbermann, Gottfried (nach Eger 2)</t>
  </si>
  <si>
    <t>Silbermann, Gottfried (nach Eger 2) genauer</t>
  </si>
  <si>
    <t>Silbermann, Gottfried (nach Gress)</t>
  </si>
  <si>
    <t>Silbermann, Gottfried (nach Lottermoser 1)</t>
  </si>
  <si>
    <t>Silbermann, Gottfried (nach Lottermoser 2)</t>
  </si>
  <si>
    <t>Silbermann, Gottfried (nach Schubert)</t>
  </si>
  <si>
    <t>Silbermann, Gottfried (nach Schwarzenberg)</t>
  </si>
  <si>
    <t>Silbermann, Gottfried (nach Sorge)</t>
  </si>
  <si>
    <t>Silbermann, Gottfried (nach Sorge) genauer</t>
  </si>
  <si>
    <t>Silbermann, Gottfried (nach Wegscheider 1)</t>
  </si>
  <si>
    <t>Silbermann, Gottfried (nach Wegscheider 1) genauer</t>
  </si>
  <si>
    <t>Silbermann, Gottfried (nach Wegscheider 2)</t>
  </si>
  <si>
    <t>Silbermann, Gottfried (nach Wegscheider 2) genauer</t>
  </si>
  <si>
    <t>Silbermann, Gottfried (nach Wegscheider 3)</t>
  </si>
  <si>
    <t>Silbermann, Gottfried (nach Wegscheider 4)</t>
  </si>
  <si>
    <t>Silbermann, Gottfried (nach Wegscheider 5)</t>
  </si>
  <si>
    <t>Silbermann, Gottfried (nach Wegscheider 6)</t>
  </si>
  <si>
    <t>Silbermann, Gottfried (nach Werner 1)</t>
  </si>
  <si>
    <t>Silbermann, Gottfried (nach Werner 2)</t>
  </si>
  <si>
    <t>Silbermann, Gottfried (nach Werner 3)</t>
  </si>
  <si>
    <t>Silbermann, Gottfried (nach Werner 4)</t>
  </si>
  <si>
    <t>Smith 1</t>
  </si>
  <si>
    <t>Smith 1 genauer</t>
  </si>
  <si>
    <t>Smith 2</t>
  </si>
  <si>
    <t>Smith 2 genauer</t>
  </si>
  <si>
    <t>Smith 3</t>
  </si>
  <si>
    <t>Smith 3 genauer</t>
  </si>
  <si>
    <t>Soler</t>
  </si>
  <si>
    <t>Sonnleitner</t>
  </si>
  <si>
    <t>Sorge 1</t>
  </si>
  <si>
    <t>Sorge 2</t>
  </si>
  <si>
    <t>Sorge 3</t>
  </si>
  <si>
    <t>Spinetta 1788</t>
  </si>
  <si>
    <t>St. Jacobi Hamburg (nach Edskes)</t>
  </si>
  <si>
    <t>St. Jacobi Hamburg (nach Edskes) genauer</t>
  </si>
  <si>
    <t>St. Jacobi Hamburg (nach Tessmer)</t>
  </si>
  <si>
    <t>St. Jacobi Hamburg (nach Tessmer) genauer</t>
  </si>
  <si>
    <t>Stanhope</t>
  </si>
  <si>
    <t>Stevin</t>
  </si>
  <si>
    <t>Tagliavini/Schiassi</t>
  </si>
  <si>
    <t>Tenney 1</t>
  </si>
  <si>
    <t>Tenney 2</t>
  </si>
  <si>
    <t>Trost, Johann Caspar</t>
  </si>
  <si>
    <t>Trost, Johann Caspar genauer</t>
  </si>
  <si>
    <t>Trost, Tobias 1</t>
  </si>
  <si>
    <t>Trost, Tobias 2</t>
  </si>
  <si>
    <t>Trost, Tobias 3</t>
  </si>
  <si>
    <t>Trost, Tobias 4</t>
  </si>
  <si>
    <t>Trost, Tobias 5</t>
  </si>
  <si>
    <t>Vallotti</t>
  </si>
  <si>
    <t>Vallotti genauer</t>
  </si>
  <si>
    <t>Vallotti/Barca</t>
  </si>
  <si>
    <t>Varella</t>
  </si>
  <si>
    <t>Venedig</t>
  </si>
  <si>
    <t>Verheijen</t>
  </si>
  <si>
    <t>Verheijen genauer</t>
  </si>
  <si>
    <t>Vogel</t>
  </si>
  <si>
    <t>von Wiese 1791/1</t>
  </si>
  <si>
    <t>von Wiese 1791/2</t>
  </si>
  <si>
    <t>von Wiese 1791/3</t>
  </si>
  <si>
    <t>von Wiese 1795/1</t>
  </si>
  <si>
    <t>von Wiese 1795/2</t>
  </si>
  <si>
    <t>von Wiese 1795/3</t>
  </si>
  <si>
    <t>von Wiese 1795/4</t>
  </si>
  <si>
    <t>Weingarten 1</t>
  </si>
  <si>
    <t>Weingarten 1 genauer</t>
  </si>
  <si>
    <t>Weingarten 2</t>
  </si>
  <si>
    <t>Weissenfels</t>
  </si>
  <si>
    <t>Werckmeister 3</t>
  </si>
  <si>
    <t>Werckmeister 3 genauer</t>
  </si>
  <si>
    <t>Werckmeister 4 (nach Norrback)</t>
  </si>
  <si>
    <t>Werckmeister 4 (nach Norrback) genauer</t>
  </si>
  <si>
    <t>Werckmeister 5</t>
  </si>
  <si>
    <t>Werckmeister 5 genauer</t>
  </si>
  <si>
    <t>Werckmeister 6 (nach Dupont)</t>
  </si>
  <si>
    <t>Werckmeister 6a (nach Norrback)</t>
  </si>
  <si>
    <t>Werckmeister 6a (nach Norrback) genauer</t>
  </si>
  <si>
    <t>Werckmeister 6b (nach Norrback)</t>
  </si>
  <si>
    <t>Werckmeister 6b (nach Norrback) genauer</t>
  </si>
  <si>
    <t>Wiegleb</t>
  </si>
  <si>
    <t>Wiegleb genauer</t>
  </si>
  <si>
    <t>wohltemperiert (Lehman nach Billeter 1)</t>
  </si>
  <si>
    <t>wohltemperiert (Lehman nach Billeter 2)</t>
  </si>
  <si>
    <t>wohltemperiert (nach Barnes 1)</t>
  </si>
  <si>
    <t>wohltemperiert (nach Barnes 2)</t>
  </si>
  <si>
    <t>wohltemperiert (nach Billeter)</t>
  </si>
  <si>
    <t>wohltemperiert (nach Donell)</t>
  </si>
  <si>
    <t>wohltemperiert (nach Eitz/Ellis)</t>
  </si>
  <si>
    <t>wohltemperiert (nach Kelletat)</t>
  </si>
  <si>
    <t>wohltemperiert (nach Kelletat/Devie)</t>
  </si>
  <si>
    <t>wohltemperiert (nach Kelletat/Tessmer)</t>
  </si>
  <si>
    <t>wohltemperiert (nach Kellner)</t>
  </si>
  <si>
    <t>wohltemperiert (nach Lehman)</t>
  </si>
  <si>
    <t>Young 1</t>
  </si>
  <si>
    <t>Young 1 genauer</t>
  </si>
  <si>
    <t>Young 2</t>
  </si>
  <si>
    <t>Zarlino 1</t>
  </si>
  <si>
    <t>Zarlino 2</t>
  </si>
  <si>
    <t>Zarlino 2 genauer</t>
  </si>
  <si>
    <t>Interval Cents</t>
  </si>
  <si>
    <t>Difference</t>
  </si>
  <si>
    <t>Kirnberger col. 1</t>
  </si>
  <si>
    <t>Template to Define Tuning Relative to Equal Temperament in Scale Order</t>
  </si>
  <si>
    <t>Template to Define Tuning Relative to Equal Temperament in Fifths Order</t>
  </si>
  <si>
    <t>Template for Fretted Instrument</t>
  </si>
  <si>
    <t>Copied from 'Templates from Fifths'</t>
  </si>
  <si>
    <t>Copied from 'Template from Scale'</t>
  </si>
  <si>
    <t>Copied from 'Template from ET Scale Order'</t>
  </si>
  <si>
    <t>Copied from 'Template Instrument Fretted'</t>
  </si>
  <si>
    <t>Overview and General Information Sheets</t>
  </si>
  <si>
    <t>Wahlström, 1752</t>
  </si>
  <si>
    <t>Gellinger, Namur, 1670</t>
  </si>
  <si>
    <t>Silbermann Wegscheider 1</t>
  </si>
  <si>
    <t>ET</t>
  </si>
  <si>
    <t>&lt; Select a BDO temperament</t>
  </si>
  <si>
    <t>BDO Any - select any temperament</t>
  </si>
  <si>
    <t>Variable Temperament</t>
  </si>
  <si>
    <t>Göthel</t>
  </si>
  <si>
    <t>mitteltönig (nach Aaron)</t>
  </si>
  <si>
    <t>mitteltönig (nach Aaron) genauer</t>
  </si>
  <si>
    <t>mitteltönig (nach Devie)</t>
  </si>
  <si>
    <t>mitteltönig (nach Praetorius)</t>
  </si>
  <si>
    <t>mitteltönig modifiziert (nach Vogel 1)</t>
  </si>
  <si>
    <t>mitteltönig modifiziert (nach Vogel 2)</t>
  </si>
  <si>
    <t>Rameau (nach Schröter)</t>
  </si>
  <si>
    <t>Schröter</t>
  </si>
  <si>
    <t>Neidhardt 'für den Hof', gleichstufig</t>
  </si>
  <si>
    <t>Neidhardt 'für ein Dorf'</t>
  </si>
  <si>
    <t>Neidhardt 'für ein Dorf' genauer</t>
  </si>
  <si>
    <t>Neidhardt 'für eine grosse Stadt'</t>
  </si>
  <si>
    <t>Neidhardt 'für eine grosse Stadt' genauer</t>
  </si>
  <si>
    <t>Neidhardt 'für eine kleine Stadt'</t>
  </si>
  <si>
    <t>Neidhardt 'für eine kleine Stadt' genauer</t>
  </si>
  <si>
    <t>Bruder (Pseudo nach Kühl)</t>
  </si>
  <si>
    <t>Bruder 1 (nach Kühl)</t>
  </si>
  <si>
    <t>Bruder 2 (nach Kühl)</t>
  </si>
  <si>
    <t>Bruder 3 (nach Kühl)</t>
  </si>
  <si>
    <t>Bruder 4 (nach Kühl)</t>
  </si>
  <si>
    <t>Bruder 5 (nach Kühl)</t>
  </si>
  <si>
    <t>Bruder 6 (nach Kühl)</t>
  </si>
  <si>
    <t>Bruder 7 (nach Kühl)</t>
  </si>
  <si>
    <t>Bruder 8 (nach Kühl)</t>
  </si>
  <si>
    <t>Frühromantik (nach Billeter)</t>
  </si>
  <si>
    <t>Béthizy</t>
  </si>
  <si>
    <t>Loulié</t>
  </si>
  <si>
    <t>Anonyme de Caën</t>
  </si>
  <si>
    <t>Strähle</t>
  </si>
  <si>
    <t>Kirnberger 3 abgeändert</t>
  </si>
  <si>
    <t>Fifth</t>
  </si>
  <si>
    <t>Octave Transposer</t>
  </si>
  <si>
    <t>Enter the Notes which are to use the same string in columns N and O.
Enter the sounding lengths of the strings of the lower note (distance from tangent to bridge) in column P.
Enter the name of the worksheet for the desired temperament in cell Q7.
The resulting distance between the tangents are in column U.</t>
  </si>
  <si>
    <t>Copied from 'Templates from ET Fifths Order'</t>
  </si>
  <si>
    <t>Hubert Edinburgh 1784</t>
  </si>
  <si>
    <t>&lt; Enter an instrument worksheet name</t>
  </si>
  <si>
    <t>Prop. 2</t>
  </si>
  <si>
    <t>Vallotti-Young</t>
  </si>
  <si>
    <t>Hubert Nürnberg 1789</t>
  </si>
  <si>
    <t>Anonymous Leipzig L10</t>
  </si>
  <si>
    <t>Diff. To ET cents</t>
  </si>
  <si>
    <t>Difference to ET in cents from Temperament</t>
  </si>
  <si>
    <t>Best Fit of BDO Temperament to given Temperament</t>
  </si>
  <si>
    <t>Freiberger Domorgel Holzprincipal 16'</t>
  </si>
  <si>
    <t>Freiberger Domorgel Holzprincipal 16' Untersatz</t>
  </si>
  <si>
    <t>Silbermann Freiberg 1</t>
  </si>
  <si>
    <t>Silbermann Freiberg 2</t>
  </si>
  <si>
    <t>Silbermann Freiberg 3</t>
  </si>
  <si>
    <t>Silbermann Freiberg Domorgel 1983 Tuning</t>
  </si>
  <si>
    <t>Silbermann Freiberg Domorgel 1985 Tuning</t>
  </si>
  <si>
    <t>Silbermann Freiberg 4</t>
  </si>
  <si>
    <t>Best Fit of BDO Temperament to Fretting</t>
  </si>
  <si>
    <t>Instrument Template for Fretted Instrument</t>
  </si>
  <si>
    <t>Template from Equal Temperament - fifths order</t>
  </si>
  <si>
    <t>Template from Equal Temperament - scale order</t>
  </si>
  <si>
    <t>Template for defining Tuning in Fifths</t>
  </si>
  <si>
    <t>Template in Fifths</t>
  </si>
  <si>
    <t>Template in Scale Order</t>
  </si>
  <si>
    <t>Allstedter Schoßkapelle, wohltempereiert, Wegscheider</t>
  </si>
  <si>
    <t>Allstedter Schoßkapelle, mitteltönig, Wegscheider</t>
  </si>
  <si>
    <t>Altstedt, Scholsskappelle 1</t>
  </si>
  <si>
    <t>Altstedt, Scholsskappelle 2</t>
  </si>
  <si>
    <t>Guitar, Modern</t>
  </si>
  <si>
    <t>Difference Cents</t>
  </si>
  <si>
    <t>&lt; Enter a temperament worksheet name</t>
  </si>
  <si>
    <t>Grote 5th</t>
  </si>
  <si>
    <t>Bergmann, Leipzig 10, 2025</t>
  </si>
  <si>
    <t>Tournay-Kather Tannenberg, 1992</t>
  </si>
  <si>
    <t>δ Cents</t>
  </si>
  <si>
    <t>Shorter 2</t>
  </si>
  <si>
    <t>Shorter 1</t>
  </si>
  <si>
    <t>Longer 2</t>
  </si>
  <si>
    <t>Longer 1</t>
  </si>
  <si>
    <t>Copied from 'Template Bridge Effect'</t>
  </si>
  <si>
    <t>Template for Effect of Bridge on Frets</t>
  </si>
  <si>
    <t>Result</t>
  </si>
  <si>
    <t>Tolerance in lengths +/-</t>
  </si>
  <si>
    <t>max.
δ Cents</t>
  </si>
  <si>
    <t>min.
δ Cents</t>
  </si>
  <si>
    <t>Precision</t>
  </si>
  <si>
    <t>Largest δ:</t>
  </si>
  <si>
    <t>δ Cents
+/-</t>
  </si>
  <si>
    <t>Template for Bridge Effect on Fretted Instrument</t>
  </si>
  <si>
    <t>Matrix 4a 2 7 synt. Zarlino</t>
  </si>
  <si>
    <t>a</t>
  </si>
  <si>
    <t>Fraction:</t>
  </si>
  <si>
    <t>Rounded</t>
  </si>
  <si>
    <t>Template for Instrument by Pipe or String Lengths</t>
  </si>
  <si>
    <t>Copied from 'Template Instrumenet by Lengths'</t>
  </si>
  <si>
    <t>Fifth Commas</t>
  </si>
  <si>
    <t>Seventh Commas</t>
  </si>
  <si>
    <t>Instrument Template by Pipe or String Lengths</t>
  </si>
  <si>
    <t>Lengths</t>
  </si>
  <si>
    <t xml:space="preserve"> </t>
  </si>
  <si>
    <t>Meantone Octave with Non-matching Octave</t>
  </si>
  <si>
    <t>Kirnberger III in Syntonic Commas</t>
  </si>
  <si>
    <t>Kirnberger III in Pythagorean Commas</t>
  </si>
  <si>
    <t>Guitar, Spain, Modern</t>
  </si>
  <si>
    <t>BDO Any</t>
  </si>
  <si>
    <t xml:space="preserve"> Bergmann, Leipzig 10, 2025</t>
  </si>
  <si>
    <t>Anonymous Leipzig UL MIM 10 ~1700 measured by Gregor Bergmann</t>
  </si>
  <si>
    <t>Israel Gellinger, Frankfurt am Main, 1670</t>
  </si>
  <si>
    <t>C oct.</t>
  </si>
  <si>
    <t>Copy of Leipzig UL MIM 12 Johann Jacob Donat ~1700 by Peter Bavington</t>
  </si>
  <si>
    <t>Meantone Bav Donat</t>
  </si>
  <si>
    <t>Wahlström, Sweden 1752</t>
  </si>
  <si>
    <t>Hubert Edinburgh no. 4338</t>
  </si>
  <si>
    <t>Hubert, Nünberg 1789</t>
  </si>
  <si>
    <t>Effect of Bridge Shape on Tournay-Kather Tannenberg, 1992</t>
  </si>
  <si>
    <t>Tournay-Kather Bridge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</si>
</sst>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
  </numFmts>
  <fonts count="34" x14ac:knownFonts="1">
    <font>
      <sz val="12"/>
      <color theme="1"/>
      <name val="Aptos Narrow"/>
      <family val="2"/>
      <scheme val="minor"/>
    </font>
    <font>
      <b/>
      <sz val="11"/>
      <color theme="1"/>
      <name val="Aptos Narrow"/>
      <family val="2"/>
      <scheme val="minor"/>
    </font>
    <font>
      <b/>
      <sz val="10"/>
      <color rgb="FF000000"/>
      <name val="Tahoma"/>
      <family val="2"/>
    </font>
    <font>
      <sz val="10"/>
      <color rgb="FF000000"/>
      <name val="Tahoma"/>
      <family val="2"/>
    </font>
    <font>
      <sz val="11"/>
      <color theme="1"/>
      <name val="Aptos Narrow"/>
      <family val="2"/>
      <scheme val="minor"/>
    </font>
    <font>
      <sz val="12"/>
      <color theme="1"/>
      <name val="Times New Roman"/>
      <family val="1"/>
    </font>
    <font>
      <b/>
      <sz val="12"/>
      <color theme="1"/>
      <name val="Times New Roman"/>
      <family val="1"/>
    </font>
    <font>
      <sz val="11"/>
      <color indexed="8"/>
      <name val="Calibri"/>
      <family val="2"/>
    </font>
    <font>
      <sz val="14"/>
      <color rgb="FF595959"/>
      <name val="Aptos Narrow"/>
      <scheme val="minor"/>
    </font>
    <font>
      <u/>
      <sz val="12"/>
      <color theme="10"/>
      <name val="Aptos Narrow"/>
      <family val="2"/>
      <scheme val="minor"/>
    </font>
    <font>
      <b/>
      <u/>
      <sz val="12"/>
      <color theme="10"/>
      <name val="Aptos Narrow"/>
      <scheme val="minor"/>
    </font>
    <font>
      <b/>
      <sz val="14"/>
      <color theme="1"/>
      <name val="Times New Roman"/>
      <family val="1"/>
    </font>
    <font>
      <sz val="11"/>
      <color rgb="FF000000"/>
      <name val="Aptos Narrow"/>
      <family val="2"/>
      <scheme val="minor"/>
    </font>
    <font>
      <b/>
      <sz val="11"/>
      <color theme="1"/>
      <name val="Aptos Narrow"/>
      <scheme val="minor"/>
    </font>
    <font>
      <sz val="10"/>
      <color rgb="FF000000"/>
      <name val="Aptos Narrow"/>
    </font>
    <font>
      <b/>
      <sz val="12"/>
      <color theme="1"/>
      <name val="Aptos Narrow"/>
      <scheme val="minor"/>
    </font>
    <font>
      <sz val="12"/>
      <color theme="1"/>
      <name val="Aptos Narrow"/>
      <scheme val="minor"/>
    </font>
    <font>
      <sz val="11"/>
      <color theme="1"/>
      <name val="Aptos Narrow"/>
      <family val="2"/>
      <charset val="1"/>
    </font>
    <font>
      <u/>
      <sz val="12"/>
      <color theme="10"/>
      <name val="Aptos Narrow"/>
      <family val="2"/>
      <charset val="1"/>
    </font>
    <font>
      <sz val="12"/>
      <color theme="1"/>
      <name val="Aptos Narrow"/>
      <family val="2"/>
      <charset val="1"/>
    </font>
    <font>
      <u/>
      <sz val="12"/>
      <name val="Aptos Narrow"/>
      <family val="2"/>
      <scheme val="minor"/>
    </font>
    <font>
      <b/>
      <sz val="11"/>
      <color indexed="8"/>
      <name val="Aptos Narrow"/>
      <scheme val="minor"/>
    </font>
    <font>
      <sz val="11"/>
      <color indexed="8"/>
      <name val="Aptos Narrow"/>
      <scheme val="minor"/>
    </font>
    <font>
      <b/>
      <sz val="14"/>
      <color theme="1"/>
      <name val="Aptos Narrow"/>
      <scheme val="minor"/>
    </font>
    <font>
      <sz val="11"/>
      <color theme="1"/>
      <name val="Aptos Narrow"/>
      <scheme val="minor"/>
    </font>
    <font>
      <b/>
      <sz val="14"/>
      <color rgb="FF000000"/>
      <name val="Times New Roman"/>
      <family val="1"/>
    </font>
    <font>
      <b/>
      <sz val="12"/>
      <color rgb="FF000000"/>
      <name val="Times New Roman"/>
      <family val="1"/>
    </font>
    <font>
      <sz val="12"/>
      <color theme="1"/>
      <name val="Times New Roman"/>
      <family val="1"/>
      <charset val="1"/>
    </font>
    <font>
      <b/>
      <sz val="14"/>
      <color theme="1"/>
      <name val="Times New Roman"/>
      <family val="1"/>
      <charset val="1"/>
    </font>
    <font>
      <sz val="12"/>
      <color theme="1"/>
      <name val="Aptos Narrow"/>
    </font>
    <font>
      <b/>
      <sz val="12"/>
      <color theme="1"/>
      <name val="Times New Roman"/>
      <family val="1"/>
      <charset val="1"/>
    </font>
    <font>
      <b/>
      <u/>
      <sz val="12"/>
      <color theme="10"/>
      <name val="Aptos Narrow"/>
    </font>
    <font>
      <sz val="14"/>
      <color rgb="FF595959"/>
      <name val="Aptos Narrow"/>
    </font>
    <font>
      <u/>
      <sz val="12"/>
      <color theme="10"/>
      <name val="Aptos Narrow"/>
      <scheme val="minor"/>
    </font>
  </fonts>
  <fills count="13">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theme="3" tint="0.74999237037263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rgb="FFFFC000"/>
        <bgColor rgb="FF000000"/>
      </patternFill>
    </fill>
    <fill>
      <patternFill patternType="solid">
        <fgColor rgb="FFFFC000"/>
        <bgColor rgb="FFFF9900"/>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7">
    <xf numFmtId="0" fontId="0" fillId="0" borderId="0"/>
    <xf numFmtId="0" fontId="4" fillId="0" borderId="0"/>
    <xf numFmtId="0" fontId="7" fillId="0" borderId="0"/>
    <xf numFmtId="0" fontId="9" fillId="0" borderId="0" applyNumberFormat="0" applyFill="0" applyBorder="0" applyAlignment="0" applyProtection="0"/>
    <xf numFmtId="0" fontId="17" fillId="0" borderId="0"/>
    <xf numFmtId="0" fontId="18" fillId="0" borderId="0" applyBorder="0" applyProtection="0"/>
    <xf numFmtId="0" fontId="19" fillId="0" borderId="0"/>
  </cellStyleXfs>
  <cellXfs count="332">
    <xf numFmtId="0" fontId="0" fillId="0" borderId="0" xfId="0"/>
    <xf numFmtId="164" fontId="4" fillId="0" borderId="0" xfId="1" applyNumberFormat="1"/>
    <xf numFmtId="0" fontId="5" fillId="0" borderId="0" xfId="1" applyFont="1"/>
    <xf numFmtId="0" fontId="5" fillId="0" borderId="0" xfId="0" applyFont="1"/>
    <xf numFmtId="2" fontId="4" fillId="0" borderId="0" xfId="1" applyNumberFormat="1"/>
    <xf numFmtId="164" fontId="5" fillId="0" borderId="0" xfId="1" applyNumberFormat="1" applyFont="1"/>
    <xf numFmtId="164" fontId="6" fillId="0" borderId="0" xfId="1" applyNumberFormat="1" applyFont="1"/>
    <xf numFmtId="1" fontId="5" fillId="0" borderId="0" xfId="1" applyNumberFormat="1" applyFont="1"/>
    <xf numFmtId="164" fontId="10" fillId="0" borderId="0" xfId="3" applyNumberFormat="1" applyFont="1"/>
    <xf numFmtId="0" fontId="6" fillId="0" borderId="0" xfId="0" applyFont="1"/>
    <xf numFmtId="164" fontId="5" fillId="0" borderId="5" xfId="1" applyNumberFormat="1" applyFont="1" applyBorder="1"/>
    <xf numFmtId="164" fontId="5" fillId="0" borderId="6" xfId="1" applyNumberFormat="1" applyFont="1" applyBorder="1"/>
    <xf numFmtId="164" fontId="5" fillId="0" borderId="7" xfId="1" applyNumberFormat="1" applyFont="1" applyBorder="1"/>
    <xf numFmtId="164" fontId="5" fillId="0" borderId="8" xfId="1" applyNumberFormat="1" applyFont="1" applyBorder="1"/>
    <xf numFmtId="164" fontId="5" fillId="0" borderId="10" xfId="1" applyNumberFormat="1" applyFont="1" applyBorder="1"/>
    <xf numFmtId="164" fontId="6" fillId="0" borderId="3" xfId="1" applyNumberFormat="1" applyFont="1" applyBorder="1"/>
    <xf numFmtId="164" fontId="6" fillId="0" borderId="4" xfId="1" applyNumberFormat="1" applyFont="1" applyBorder="1"/>
    <xf numFmtId="164" fontId="5" fillId="0" borderId="9" xfId="1" applyNumberFormat="1" applyFont="1" applyBorder="1"/>
    <xf numFmtId="2" fontId="4" fillId="0" borderId="0" xfId="1" applyNumberFormat="1" applyAlignment="1">
      <alignment horizontal="center"/>
    </xf>
    <xf numFmtId="164" fontId="5" fillId="3" borderId="0" xfId="1" applyNumberFormat="1" applyFont="1" applyFill="1"/>
    <xf numFmtId="0" fontId="4" fillId="0" borderId="5" xfId="1" applyBorder="1"/>
    <xf numFmtId="0" fontId="4" fillId="0" borderId="6" xfId="1" applyBorder="1"/>
    <xf numFmtId="0" fontId="4" fillId="0" borderId="7" xfId="1" applyBorder="1"/>
    <xf numFmtId="0" fontId="4" fillId="2" borderId="6" xfId="1" applyFill="1" applyBorder="1"/>
    <xf numFmtId="0" fontId="4" fillId="3" borderId="8" xfId="1" applyFill="1" applyBorder="1"/>
    <xf numFmtId="0" fontId="4" fillId="0" borderId="10" xfId="1" applyBorder="1"/>
    <xf numFmtId="164" fontId="5" fillId="0" borderId="0" xfId="1" applyNumberFormat="1" applyFont="1" applyAlignment="1">
      <alignment horizontal="center"/>
    </xf>
    <xf numFmtId="164" fontId="5" fillId="0" borderId="0" xfId="1" applyNumberFormat="1" applyFont="1" applyAlignment="1">
      <alignment horizontal="left"/>
    </xf>
    <xf numFmtId="0" fontId="13" fillId="0" borderId="3" xfId="1" applyFont="1" applyBorder="1"/>
    <xf numFmtId="0" fontId="9" fillId="4" borderId="0" xfId="3" applyFill="1"/>
    <xf numFmtId="0" fontId="9" fillId="5" borderId="0" xfId="3" applyFill="1"/>
    <xf numFmtId="0" fontId="9" fillId="6" borderId="0" xfId="3" applyFill="1"/>
    <xf numFmtId="0" fontId="9" fillId="2" borderId="0" xfId="3" applyFill="1"/>
    <xf numFmtId="164" fontId="11" fillId="0" borderId="0" xfId="1" applyNumberFormat="1" applyFont="1" applyAlignment="1">
      <alignment horizontal="center"/>
    </xf>
    <xf numFmtId="1" fontId="6" fillId="0" borderId="0" xfId="1" applyNumberFormat="1" applyFont="1"/>
    <xf numFmtId="164" fontId="11" fillId="0" borderId="7" xfId="1" applyNumberFormat="1" applyFont="1" applyBorder="1" applyAlignment="1">
      <alignment horizontal="center"/>
    </xf>
    <xf numFmtId="164" fontId="5" fillId="0" borderId="6" xfId="1" applyNumberFormat="1" applyFont="1" applyBorder="1" applyAlignment="1">
      <alignment horizontal="center"/>
    </xf>
    <xf numFmtId="164" fontId="5" fillId="0" borderId="8" xfId="1" applyNumberFormat="1" applyFont="1" applyBorder="1" applyAlignment="1">
      <alignment horizontal="center"/>
    </xf>
    <xf numFmtId="164" fontId="5" fillId="0" borderId="13" xfId="1" applyNumberFormat="1" applyFont="1" applyBorder="1"/>
    <xf numFmtId="164" fontId="11" fillId="0" borderId="0" xfId="1" applyNumberFormat="1" applyFont="1"/>
    <xf numFmtId="164" fontId="5" fillId="0" borderId="7" xfId="1" applyNumberFormat="1" applyFont="1" applyBorder="1" applyAlignment="1">
      <alignment horizontal="center"/>
    </xf>
    <xf numFmtId="164" fontId="5" fillId="0" borderId="12" xfId="1" applyNumberFormat="1" applyFont="1" applyBorder="1"/>
    <xf numFmtId="164" fontId="5" fillId="0" borderId="14" xfId="1" applyNumberFormat="1" applyFont="1" applyBorder="1"/>
    <xf numFmtId="0" fontId="5" fillId="0" borderId="6" xfId="1" applyFont="1" applyBorder="1" applyAlignment="1">
      <alignment horizontal="right"/>
    </xf>
    <xf numFmtId="0" fontId="5" fillId="0" borderId="6" xfId="1" applyFont="1" applyBorder="1"/>
    <xf numFmtId="0" fontId="5" fillId="0" borderId="8" xfId="1" applyFont="1" applyBorder="1"/>
    <xf numFmtId="2" fontId="4" fillId="3" borderId="7" xfId="1" applyNumberFormat="1" applyFill="1" applyBorder="1"/>
    <xf numFmtId="2" fontId="4" fillId="0" borderId="7" xfId="1" applyNumberFormat="1" applyBorder="1"/>
    <xf numFmtId="2" fontId="4" fillId="0" borderId="10" xfId="1" applyNumberFormat="1" applyBorder="1"/>
    <xf numFmtId="2" fontId="4" fillId="0" borderId="8" xfId="1" applyNumberFormat="1" applyBorder="1" applyAlignment="1">
      <alignment horizontal="center"/>
    </xf>
    <xf numFmtId="2" fontId="4" fillId="0" borderId="9" xfId="1" applyNumberFormat="1" applyBorder="1" applyAlignment="1">
      <alignment horizontal="center"/>
    </xf>
    <xf numFmtId="2" fontId="4" fillId="0" borderId="6" xfId="1" applyNumberFormat="1" applyBorder="1"/>
    <xf numFmtId="2" fontId="1" fillId="0" borderId="7" xfId="1" applyNumberFormat="1" applyFont="1" applyBorder="1" applyAlignment="1">
      <alignment horizontal="center" wrapText="1"/>
    </xf>
    <xf numFmtId="2" fontId="4" fillId="0" borderId="9" xfId="1" applyNumberFormat="1" applyBorder="1"/>
    <xf numFmtId="0" fontId="5" fillId="8" borderId="6" xfId="0" applyFont="1" applyFill="1" applyBorder="1"/>
    <xf numFmtId="0" fontId="5" fillId="4" borderId="6" xfId="0" applyFont="1" applyFill="1" applyBorder="1"/>
    <xf numFmtId="0" fontId="5" fillId="2" borderId="6" xfId="0" applyFont="1" applyFill="1" applyBorder="1"/>
    <xf numFmtId="0" fontId="6" fillId="5" borderId="6" xfId="0" applyFont="1" applyFill="1" applyBorder="1"/>
    <xf numFmtId="0" fontId="5" fillId="6" borderId="6" xfId="0" applyFont="1" applyFill="1" applyBorder="1"/>
    <xf numFmtId="0" fontId="5" fillId="7" borderId="8" xfId="0" applyFont="1" applyFill="1" applyBorder="1"/>
    <xf numFmtId="164" fontId="0" fillId="0" borderId="0" xfId="0" applyNumberFormat="1"/>
    <xf numFmtId="1" fontId="0" fillId="0" borderId="0" xfId="0" applyNumberFormat="1"/>
    <xf numFmtId="164" fontId="9" fillId="0" borderId="0" xfId="3" applyNumberFormat="1"/>
    <xf numFmtId="164" fontId="15" fillId="0" borderId="0" xfId="0" applyNumberFormat="1" applyFont="1" applyAlignment="1">
      <alignment horizontal="center"/>
    </xf>
    <xf numFmtId="164" fontId="0" fillId="0" borderId="0" xfId="0" applyNumberFormat="1" applyAlignment="1">
      <alignment horizontal="right"/>
    </xf>
    <xf numFmtId="164" fontId="0" fillId="0" borderId="0" xfId="0" applyNumberFormat="1" applyAlignment="1">
      <alignment horizontal="center"/>
    </xf>
    <xf numFmtId="1" fontId="0" fillId="0" borderId="0" xfId="0" applyNumberFormat="1" applyAlignment="1">
      <alignment horizontal="center"/>
    </xf>
    <xf numFmtId="0" fontId="20" fillId="9" borderId="0" xfId="3" applyFont="1" applyFill="1"/>
    <xf numFmtId="0" fontId="5" fillId="9" borderId="6" xfId="0" applyFont="1" applyFill="1" applyBorder="1"/>
    <xf numFmtId="2" fontId="11" fillId="0" borderId="0" xfId="1" applyNumberFormat="1" applyFont="1"/>
    <xf numFmtId="2" fontId="4" fillId="0" borderId="0" xfId="1" applyNumberFormat="1" applyAlignment="1">
      <alignment wrapText="1"/>
    </xf>
    <xf numFmtId="2" fontId="4" fillId="3" borderId="0" xfId="1" applyNumberFormat="1" applyFill="1" applyAlignment="1">
      <alignment horizontal="center" wrapText="1"/>
    </xf>
    <xf numFmtId="2" fontId="4" fillId="0" borderId="0" xfId="1" applyNumberFormat="1" applyAlignment="1">
      <alignment horizontal="center" wrapText="1"/>
    </xf>
    <xf numFmtId="2" fontId="4" fillId="0" borderId="0" xfId="1" quotePrefix="1" applyNumberFormat="1" applyAlignment="1">
      <alignment horizontal="right"/>
    </xf>
    <xf numFmtId="2" fontId="4" fillId="0" borderId="0" xfId="1" applyNumberFormat="1" applyAlignment="1">
      <alignment horizontal="right"/>
    </xf>
    <xf numFmtId="2" fontId="4" fillId="3" borderId="0" xfId="1" applyNumberFormat="1" applyFill="1"/>
    <xf numFmtId="2" fontId="0" fillId="0" borderId="0" xfId="0" applyNumberFormat="1" applyAlignment="1">
      <alignment horizontal="right"/>
    </xf>
    <xf numFmtId="2" fontId="0" fillId="0" borderId="0" xfId="0" applyNumberFormat="1"/>
    <xf numFmtId="2" fontId="4" fillId="0" borderId="0" xfId="0" applyNumberFormat="1" applyFont="1"/>
    <xf numFmtId="2" fontId="4" fillId="0" borderId="0" xfId="1" quotePrefix="1" applyNumberFormat="1"/>
    <xf numFmtId="2" fontId="10" fillId="0" borderId="0" xfId="3" applyNumberFormat="1" applyFont="1"/>
    <xf numFmtId="2" fontId="13" fillId="0" borderId="0" xfId="1" applyNumberFormat="1" applyFont="1" applyAlignment="1">
      <alignment horizontal="center"/>
    </xf>
    <xf numFmtId="2" fontId="11" fillId="0" borderId="4" xfId="1" applyNumberFormat="1" applyFont="1" applyBorder="1" applyAlignment="1">
      <alignment horizontal="center"/>
    </xf>
    <xf numFmtId="2" fontId="1" fillId="0" borderId="6" xfId="1" applyNumberFormat="1" applyFont="1" applyBorder="1" applyAlignment="1">
      <alignment horizontal="center" wrapText="1"/>
    </xf>
    <xf numFmtId="2" fontId="1" fillId="0" borderId="0" xfId="1" applyNumberFormat="1" applyFont="1" applyAlignment="1">
      <alignment horizontal="center" wrapText="1"/>
    </xf>
    <xf numFmtId="2" fontId="1" fillId="0" borderId="6" xfId="1" applyNumberFormat="1" applyFont="1" applyBorder="1" applyAlignment="1">
      <alignment horizontal="center"/>
    </xf>
    <xf numFmtId="2" fontId="1" fillId="0" borderId="0" xfId="1" applyNumberFormat="1" applyFont="1" applyAlignment="1">
      <alignment horizontal="center"/>
    </xf>
    <xf numFmtId="2" fontId="1" fillId="0" borderId="8" xfId="1" applyNumberFormat="1" applyFont="1" applyBorder="1" applyAlignment="1">
      <alignment horizontal="center"/>
    </xf>
    <xf numFmtId="2" fontId="4" fillId="3" borderId="9" xfId="1" applyNumberFormat="1" applyFill="1" applyBorder="1"/>
    <xf numFmtId="2" fontId="13" fillId="0" borderId="0" xfId="1" applyNumberFormat="1" applyFont="1" applyAlignment="1">
      <alignment horizontal="right"/>
    </xf>
    <xf numFmtId="2" fontId="1" fillId="0" borderId="17" xfId="1" applyNumberFormat="1" applyFont="1" applyBorder="1" applyAlignment="1">
      <alignment horizontal="center" wrapText="1"/>
    </xf>
    <xf numFmtId="2" fontId="1" fillId="0" borderId="18" xfId="1" applyNumberFormat="1" applyFont="1" applyBorder="1" applyAlignment="1">
      <alignment horizontal="center" wrapText="1"/>
    </xf>
    <xf numFmtId="2" fontId="1" fillId="0" borderId="17" xfId="1" applyNumberFormat="1" applyFont="1" applyBorder="1" applyAlignment="1">
      <alignment horizontal="center"/>
    </xf>
    <xf numFmtId="2" fontId="4" fillId="0" borderId="18" xfId="1" applyNumberFormat="1" applyBorder="1"/>
    <xf numFmtId="2" fontId="1" fillId="0" borderId="19" xfId="1" applyNumberFormat="1" applyFont="1" applyBorder="1" applyAlignment="1">
      <alignment horizontal="center"/>
    </xf>
    <xf numFmtId="2" fontId="4" fillId="0" borderId="20" xfId="1" applyNumberFormat="1" applyBorder="1"/>
    <xf numFmtId="1" fontId="4" fillId="3" borderId="0" xfId="1" applyNumberFormat="1" applyFill="1" applyAlignment="1">
      <alignment horizontal="center"/>
    </xf>
    <xf numFmtId="1" fontId="4" fillId="0" borderId="0" xfId="1" applyNumberFormat="1"/>
    <xf numFmtId="1" fontId="4" fillId="0" borderId="9" xfId="1" applyNumberFormat="1" applyBorder="1"/>
    <xf numFmtId="1" fontId="4" fillId="0" borderId="6" xfId="1" applyNumberFormat="1" applyBorder="1" applyAlignment="1">
      <alignment horizontal="center"/>
    </xf>
    <xf numFmtId="1" fontId="4" fillId="0" borderId="8" xfId="1" applyNumberFormat="1" applyBorder="1" applyAlignment="1">
      <alignment horizontal="center"/>
    </xf>
    <xf numFmtId="1" fontId="4" fillId="3" borderId="7" xfId="1" applyNumberFormat="1" applyFill="1" applyBorder="1" applyAlignment="1">
      <alignment horizontal="center"/>
    </xf>
    <xf numFmtId="2" fontId="4" fillId="0" borderId="0" xfId="1" quotePrefix="1" applyNumberFormat="1" applyAlignment="1">
      <alignment horizontal="right" wrapText="1"/>
    </xf>
    <xf numFmtId="2" fontId="4" fillId="0" borderId="0" xfId="1" applyNumberFormat="1" applyAlignment="1">
      <alignment horizontal="right" wrapText="1"/>
    </xf>
    <xf numFmtId="2" fontId="4" fillId="3" borderId="0" xfId="1" applyNumberFormat="1" applyFill="1" applyAlignment="1">
      <alignment wrapText="1"/>
    </xf>
    <xf numFmtId="2" fontId="9" fillId="0" borderId="0" xfId="3" applyNumberFormat="1"/>
    <xf numFmtId="2" fontId="12" fillId="0" borderId="0" xfId="0" applyNumberFormat="1" applyFont="1"/>
    <xf numFmtId="2" fontId="13" fillId="0" borderId="6" xfId="1" applyNumberFormat="1" applyFont="1" applyBorder="1" applyAlignment="1">
      <alignment horizontal="center"/>
    </xf>
    <xf numFmtId="2" fontId="13" fillId="0" borderId="8" xfId="1" applyNumberFormat="1" applyFont="1" applyBorder="1" applyAlignment="1">
      <alignment horizontal="center"/>
    </xf>
    <xf numFmtId="2" fontId="4" fillId="3" borderId="0" xfId="0" applyNumberFormat="1" applyFont="1" applyFill="1"/>
    <xf numFmtId="2" fontId="5" fillId="0" borderId="0" xfId="1" applyNumberFormat="1" applyFont="1"/>
    <xf numFmtId="2" fontId="16" fillId="0" borderId="0" xfId="1" applyNumberFormat="1" applyFont="1"/>
    <xf numFmtId="2" fontId="6" fillId="0" borderId="0" xfId="1" applyNumberFormat="1" applyFont="1"/>
    <xf numFmtId="2" fontId="6" fillId="0" borderId="0" xfId="1" applyNumberFormat="1" applyFont="1" applyAlignment="1">
      <alignment horizontal="center"/>
    </xf>
    <xf numFmtId="2" fontId="6" fillId="0" borderId="0" xfId="1" applyNumberFormat="1" applyFont="1" applyAlignment="1">
      <alignment horizontal="left"/>
    </xf>
    <xf numFmtId="2" fontId="6" fillId="0" borderId="0" xfId="1" applyNumberFormat="1" applyFont="1" applyAlignment="1">
      <alignment horizontal="right" wrapText="1"/>
    </xf>
    <xf numFmtId="2" fontId="6" fillId="0" borderId="0" xfId="1" applyNumberFormat="1" applyFont="1" applyAlignment="1">
      <alignment horizontal="center" wrapText="1"/>
    </xf>
    <xf numFmtId="2" fontId="5" fillId="0" borderId="0" xfId="1" applyNumberFormat="1" applyFont="1" applyAlignment="1">
      <alignment horizontal="center"/>
    </xf>
    <xf numFmtId="2" fontId="5" fillId="3" borderId="0" xfId="1" applyNumberFormat="1" applyFont="1" applyFill="1"/>
    <xf numFmtId="2" fontId="5" fillId="0" borderId="0" xfId="1" applyNumberFormat="1" applyFont="1" applyAlignment="1">
      <alignment horizontal="right"/>
    </xf>
    <xf numFmtId="2" fontId="8" fillId="0" borderId="0" xfId="0" applyNumberFormat="1" applyFont="1" applyAlignment="1">
      <alignment horizontal="center" vertical="center" readingOrder="1"/>
    </xf>
    <xf numFmtId="1" fontId="4" fillId="0" borderId="0" xfId="1" applyNumberFormat="1" applyAlignment="1">
      <alignment horizontal="center"/>
    </xf>
    <xf numFmtId="1" fontId="5" fillId="0" borderId="0" xfId="1" applyNumberFormat="1" applyFont="1" applyAlignment="1">
      <alignment horizontal="right"/>
    </xf>
    <xf numFmtId="2" fontId="21" fillId="0" borderId="6" xfId="1" applyNumberFormat="1" applyFont="1" applyBorder="1" applyAlignment="1">
      <alignment horizontal="center"/>
    </xf>
    <xf numFmtId="2" fontId="21" fillId="0" borderId="8" xfId="1" applyNumberFormat="1" applyFont="1" applyBorder="1" applyAlignment="1">
      <alignment horizontal="center"/>
    </xf>
    <xf numFmtId="2" fontId="13" fillId="0" borderId="12" xfId="1" applyNumberFormat="1" applyFont="1" applyBorder="1" applyAlignment="1">
      <alignment horizontal="center"/>
    </xf>
    <xf numFmtId="2" fontId="4" fillId="0" borderId="14" xfId="1" applyNumberFormat="1" applyBorder="1"/>
    <xf numFmtId="2" fontId="4" fillId="0" borderId="13" xfId="1" applyNumberFormat="1" applyBorder="1"/>
    <xf numFmtId="2" fontId="21" fillId="0" borderId="3" xfId="1" applyNumberFormat="1" applyFont="1" applyBorder="1" applyAlignment="1">
      <alignment horizontal="center"/>
    </xf>
    <xf numFmtId="2" fontId="4" fillId="0" borderId="4" xfId="1" applyNumberFormat="1" applyBorder="1"/>
    <xf numFmtId="2" fontId="4" fillId="0" borderId="5" xfId="1" applyNumberFormat="1" applyBorder="1"/>
    <xf numFmtId="1" fontId="4" fillId="0" borderId="4" xfId="1" applyNumberFormat="1" applyBorder="1"/>
    <xf numFmtId="164" fontId="4" fillId="0" borderId="0" xfId="0" applyNumberFormat="1" applyFont="1"/>
    <xf numFmtId="2" fontId="11" fillId="0" borderId="0" xfId="1" applyNumberFormat="1" applyFont="1" applyAlignment="1">
      <alignment horizontal="center"/>
    </xf>
    <xf numFmtId="2" fontId="1" fillId="0" borderId="0" xfId="1" applyNumberFormat="1" applyFont="1"/>
    <xf numFmtId="2" fontId="1" fillId="0" borderId="6" xfId="1" applyNumberFormat="1" applyFont="1" applyBorder="1" applyAlignment="1">
      <alignment horizontal="right" wrapText="1"/>
    </xf>
    <xf numFmtId="2" fontId="1" fillId="0" borderId="0" xfId="1" applyNumberFormat="1" applyFont="1" applyAlignment="1">
      <alignment horizontal="right" wrapText="1"/>
    </xf>
    <xf numFmtId="2" fontId="1" fillId="0" borderId="7" xfId="1" applyNumberFormat="1" applyFont="1" applyBorder="1" applyAlignment="1">
      <alignment horizontal="right" wrapText="1"/>
    </xf>
    <xf numFmtId="2" fontId="1" fillId="0" borderId="0" xfId="1" applyNumberFormat="1" applyFont="1" applyAlignment="1">
      <alignment horizontal="right"/>
    </xf>
    <xf numFmtId="2" fontId="5" fillId="0" borderId="7" xfId="1" applyNumberFormat="1" applyFont="1" applyBorder="1"/>
    <xf numFmtId="2" fontId="10" fillId="0" borderId="8" xfId="3" applyNumberFormat="1" applyFont="1" applyBorder="1"/>
    <xf numFmtId="2" fontId="5" fillId="0" borderId="9" xfId="1" applyNumberFormat="1" applyFont="1" applyBorder="1"/>
    <xf numFmtId="2" fontId="5" fillId="0" borderId="10" xfId="1" applyNumberFormat="1" applyFont="1" applyBorder="1"/>
    <xf numFmtId="2" fontId="11" fillId="0" borderId="4" xfId="1" applyNumberFormat="1" applyFont="1" applyBorder="1"/>
    <xf numFmtId="2" fontId="11" fillId="0" borderId="5" xfId="1" applyNumberFormat="1" applyFont="1" applyBorder="1"/>
    <xf numFmtId="2" fontId="21" fillId="0" borderId="0" xfId="1" applyNumberFormat="1" applyFont="1" applyAlignment="1">
      <alignment horizontal="center"/>
    </xf>
    <xf numFmtId="2" fontId="1" fillId="0" borderId="7" xfId="1" applyNumberFormat="1" applyFont="1" applyBorder="1" applyAlignment="1">
      <alignment horizontal="center"/>
    </xf>
    <xf numFmtId="2" fontId="21" fillId="0" borderId="7" xfId="1" applyNumberFormat="1" applyFont="1" applyBorder="1" applyAlignment="1">
      <alignment horizontal="center" wrapText="1"/>
    </xf>
    <xf numFmtId="2" fontId="21" fillId="0" borderId="7" xfId="1" applyNumberFormat="1" applyFont="1" applyBorder="1"/>
    <xf numFmtId="2" fontId="21" fillId="0" borderId="6" xfId="1" applyNumberFormat="1" applyFont="1" applyBorder="1" applyAlignment="1">
      <alignment horizontal="center" wrapText="1"/>
    </xf>
    <xf numFmtId="2" fontId="21" fillId="0" borderId="5" xfId="1" applyNumberFormat="1" applyFont="1" applyBorder="1"/>
    <xf numFmtId="2" fontId="13" fillId="0" borderId="9" xfId="1" applyNumberFormat="1" applyFont="1" applyBorder="1" applyAlignment="1">
      <alignment horizontal="center"/>
    </xf>
    <xf numFmtId="2" fontId="21" fillId="0" borderId="0" xfId="1" applyNumberFormat="1" applyFont="1" applyAlignment="1">
      <alignment horizontal="center" wrapText="1"/>
    </xf>
    <xf numFmtId="2" fontId="21" fillId="0" borderId="9" xfId="1" applyNumberFormat="1" applyFont="1" applyBorder="1" applyAlignment="1">
      <alignment horizontal="center"/>
    </xf>
    <xf numFmtId="2" fontId="4" fillId="3" borderId="0" xfId="1" applyNumberFormat="1" applyFill="1" applyAlignment="1" applyProtection="1">
      <alignment horizontal="center" wrapText="1"/>
      <protection locked="0"/>
    </xf>
    <xf numFmtId="1" fontId="4" fillId="3" borderId="0" xfId="1" applyNumberFormat="1" applyFill="1" applyAlignment="1" applyProtection="1">
      <alignment horizontal="center"/>
      <protection locked="0"/>
    </xf>
    <xf numFmtId="2" fontId="4" fillId="3" borderId="0" xfId="1" applyNumberFormat="1" applyFill="1" applyProtection="1">
      <protection locked="0"/>
    </xf>
    <xf numFmtId="2" fontId="4" fillId="3" borderId="9" xfId="1" applyNumberFormat="1" applyFill="1" applyBorder="1" applyProtection="1">
      <protection locked="0"/>
    </xf>
    <xf numFmtId="2" fontId="4" fillId="3" borderId="7" xfId="1" applyNumberFormat="1" applyFill="1" applyBorder="1" applyProtection="1">
      <protection locked="0"/>
    </xf>
    <xf numFmtId="1" fontId="4" fillId="3" borderId="7" xfId="1" applyNumberFormat="1" applyFill="1" applyBorder="1" applyAlignment="1" applyProtection="1">
      <alignment horizontal="center"/>
      <protection locked="0"/>
    </xf>
    <xf numFmtId="2" fontId="11" fillId="0" borderId="0" xfId="1" applyNumberFormat="1" applyFont="1" applyProtection="1">
      <protection locked="0"/>
    </xf>
    <xf numFmtId="2" fontId="4" fillId="3" borderId="0" xfId="1" applyNumberFormat="1" applyFill="1" applyAlignment="1" applyProtection="1">
      <alignment wrapText="1"/>
      <protection locked="0"/>
    </xf>
    <xf numFmtId="2" fontId="5" fillId="3" borderId="0" xfId="1" applyNumberFormat="1" applyFont="1" applyFill="1" applyProtection="1">
      <protection locked="0"/>
    </xf>
    <xf numFmtId="2" fontId="6" fillId="3" borderId="0" xfId="1" applyNumberFormat="1" applyFont="1" applyFill="1" applyAlignment="1" applyProtection="1">
      <alignment horizontal="center"/>
      <protection locked="0"/>
    </xf>
    <xf numFmtId="164" fontId="0" fillId="3" borderId="0" xfId="0" applyNumberFormat="1" applyFill="1" applyProtection="1">
      <protection locked="0"/>
    </xf>
    <xf numFmtId="2" fontId="6" fillId="0" borderId="6" xfId="1" applyNumberFormat="1" applyFont="1" applyBorder="1" applyAlignment="1">
      <alignment horizontal="right"/>
    </xf>
    <xf numFmtId="2" fontId="6" fillId="0" borderId="0" xfId="1" applyNumberFormat="1" applyFont="1" applyAlignment="1">
      <alignment horizontal="right"/>
    </xf>
    <xf numFmtId="2" fontId="6" fillId="0" borderId="7" xfId="1" applyNumberFormat="1" applyFont="1" applyBorder="1" applyAlignment="1">
      <alignment horizontal="right"/>
    </xf>
    <xf numFmtId="2" fontId="5" fillId="3" borderId="6" xfId="1" applyNumberFormat="1" applyFont="1" applyFill="1" applyBorder="1" applyProtection="1">
      <protection locked="0"/>
    </xf>
    <xf numFmtId="2" fontId="5" fillId="3" borderId="9" xfId="1" applyNumberFormat="1" applyFont="1" applyFill="1" applyBorder="1" applyProtection="1">
      <protection locked="0"/>
    </xf>
    <xf numFmtId="2" fontId="5" fillId="0" borderId="0" xfId="1" applyNumberFormat="1" applyFont="1" applyAlignment="1">
      <alignment vertical="center" wrapText="1"/>
    </xf>
    <xf numFmtId="2" fontId="5" fillId="0" borderId="0" xfId="1" applyNumberFormat="1" applyFont="1" applyProtection="1">
      <protection locked="0"/>
    </xf>
    <xf numFmtId="2" fontId="5" fillId="0" borderId="6" xfId="1" applyNumberFormat="1" applyFont="1" applyBorder="1" applyProtection="1">
      <protection locked="0"/>
    </xf>
    <xf numFmtId="2" fontId="5" fillId="0" borderId="8" xfId="1" applyNumberFormat="1" applyFont="1" applyBorder="1" applyProtection="1">
      <protection locked="0"/>
    </xf>
    <xf numFmtId="2" fontId="5" fillId="0" borderId="9" xfId="1" applyNumberFormat="1" applyFont="1" applyBorder="1" applyProtection="1">
      <protection locked="0"/>
    </xf>
    <xf numFmtId="2" fontId="5" fillId="0" borderId="3" xfId="1" applyNumberFormat="1" applyFont="1" applyBorder="1"/>
    <xf numFmtId="2" fontId="6" fillId="0" borderId="6" xfId="1" applyNumberFormat="1" applyFont="1" applyBorder="1" applyAlignment="1">
      <alignment horizontal="center" wrapText="1"/>
    </xf>
    <xf numFmtId="2" fontId="6" fillId="0" borderId="7" xfId="1" applyNumberFormat="1" applyFont="1" applyBorder="1" applyAlignment="1">
      <alignment horizontal="right" wrapText="1"/>
    </xf>
    <xf numFmtId="2" fontId="6" fillId="3" borderId="6" xfId="1" applyNumberFormat="1" applyFont="1" applyFill="1" applyBorder="1" applyAlignment="1" applyProtection="1">
      <alignment horizontal="center"/>
      <protection locked="0"/>
    </xf>
    <xf numFmtId="2" fontId="6" fillId="3" borderId="8" xfId="1" applyNumberFormat="1" applyFont="1" applyFill="1" applyBorder="1" applyAlignment="1" applyProtection="1">
      <alignment horizontal="center"/>
      <protection locked="0"/>
    </xf>
    <xf numFmtId="2" fontId="6" fillId="3" borderId="9" xfId="1" applyNumberFormat="1" applyFont="1" applyFill="1" applyBorder="1" applyAlignment="1" applyProtection="1">
      <alignment horizontal="center"/>
      <protection locked="0"/>
    </xf>
    <xf numFmtId="2" fontId="6" fillId="0" borderId="1" xfId="1" applyNumberFormat="1" applyFont="1" applyBorder="1"/>
    <xf numFmtId="2" fontId="6" fillId="0" borderId="11" xfId="1" applyNumberFormat="1" applyFont="1" applyBorder="1"/>
    <xf numFmtId="2" fontId="6" fillId="0" borderId="2" xfId="1" applyNumberFormat="1" applyFont="1" applyBorder="1"/>
    <xf numFmtId="2" fontId="4" fillId="0" borderId="0" xfId="1" applyNumberFormat="1" applyProtection="1">
      <protection locked="0"/>
    </xf>
    <xf numFmtId="0" fontId="4" fillId="3" borderId="0" xfId="1" applyFill="1" applyProtection="1">
      <protection locked="0"/>
    </xf>
    <xf numFmtId="0" fontId="4" fillId="3" borderId="9" xfId="1" applyFill="1" applyBorder="1" applyProtection="1">
      <protection locked="0"/>
    </xf>
    <xf numFmtId="2" fontId="4" fillId="3" borderId="4" xfId="1" applyNumberFormat="1" applyFill="1" applyBorder="1" applyProtection="1">
      <protection locked="0"/>
    </xf>
    <xf numFmtId="2" fontId="22" fillId="0" borderId="7" xfId="1" applyNumberFormat="1" applyFont="1" applyBorder="1"/>
    <xf numFmtId="165" fontId="4" fillId="0" borderId="0" xfId="1" applyNumberFormat="1"/>
    <xf numFmtId="165" fontId="4" fillId="0" borderId="9" xfId="1" applyNumberFormat="1" applyBorder="1"/>
    <xf numFmtId="165" fontId="4" fillId="0" borderId="7" xfId="1" applyNumberFormat="1" applyBorder="1"/>
    <xf numFmtId="165" fontId="4" fillId="0" borderId="10" xfId="1" applyNumberFormat="1" applyBorder="1"/>
    <xf numFmtId="0" fontId="6" fillId="0" borderId="3" xfId="0" applyFont="1" applyBorder="1"/>
    <xf numFmtId="0" fontId="6" fillId="0" borderId="4" xfId="0" applyFont="1" applyBorder="1"/>
    <xf numFmtId="0" fontId="6" fillId="0" borderId="5" xfId="0" applyFont="1" applyBorder="1"/>
    <xf numFmtId="0" fontId="5" fillId="0" borderId="7" xfId="0" applyFont="1" applyBorder="1"/>
    <xf numFmtId="0" fontId="5" fillId="0" borderId="9" xfId="0" applyFont="1" applyBorder="1"/>
    <xf numFmtId="0" fontId="5" fillId="0" borderId="10" xfId="0" applyFont="1" applyBorder="1"/>
    <xf numFmtId="165" fontId="0" fillId="0" borderId="0" xfId="0" applyNumberFormat="1"/>
    <xf numFmtId="0" fontId="15" fillId="0" borderId="0" xfId="0" applyFont="1" applyAlignment="1">
      <alignment wrapText="1"/>
    </xf>
    <xf numFmtId="165" fontId="0" fillId="0" borderId="10" xfId="0" applyNumberFormat="1" applyBorder="1"/>
    <xf numFmtId="165" fontId="0" fillId="0" borderId="7" xfId="0" applyNumberFormat="1" applyBorder="1"/>
    <xf numFmtId="0" fontId="15" fillId="0" borderId="0" xfId="0" applyFont="1"/>
    <xf numFmtId="0" fontId="15" fillId="0" borderId="3" xfId="0" applyFont="1" applyBorder="1" applyAlignment="1">
      <alignment horizontal="center"/>
    </xf>
    <xf numFmtId="165" fontId="0" fillId="0" borderId="9" xfId="0" applyNumberFormat="1" applyBorder="1"/>
    <xf numFmtId="0" fontId="15" fillId="0" borderId="8" xfId="0" applyFont="1" applyBorder="1" applyAlignment="1">
      <alignment horizontal="right"/>
    </xf>
    <xf numFmtId="165" fontId="15" fillId="0" borderId="10" xfId="0" applyNumberFormat="1" applyFont="1" applyBorder="1"/>
    <xf numFmtId="2" fontId="6" fillId="0" borderId="3" xfId="1" applyNumberFormat="1" applyFont="1" applyBorder="1" applyAlignment="1">
      <alignment horizontal="center" wrapText="1"/>
    </xf>
    <xf numFmtId="2" fontId="6" fillId="0" borderId="4" xfId="1" applyNumberFormat="1" applyFont="1" applyBorder="1" applyAlignment="1">
      <alignment horizontal="center" wrapText="1"/>
    </xf>
    <xf numFmtId="2" fontId="6" fillId="0" borderId="4" xfId="1" applyNumberFormat="1" applyFont="1" applyBorder="1" applyAlignment="1">
      <alignment horizontal="right" wrapText="1"/>
    </xf>
    <xf numFmtId="165" fontId="15" fillId="0" borderId="4" xfId="0" applyNumberFormat="1" applyFont="1" applyBorder="1" applyAlignment="1">
      <alignment horizontal="right" wrapText="1"/>
    </xf>
    <xf numFmtId="0" fontId="15" fillId="0" borderId="4" xfId="0" applyFont="1" applyBorder="1" applyAlignment="1">
      <alignment horizontal="right" wrapText="1"/>
    </xf>
    <xf numFmtId="0" fontId="15" fillId="0" borderId="5" xfId="0" quotePrefix="1" applyFont="1" applyBorder="1" applyAlignment="1">
      <alignment horizontal="right" wrapText="1"/>
    </xf>
    <xf numFmtId="2" fontId="5" fillId="3" borderId="8" xfId="1" applyNumberFormat="1" applyFont="1" applyFill="1" applyBorder="1" applyProtection="1">
      <protection locked="0"/>
    </xf>
    <xf numFmtId="0" fontId="15" fillId="0" borderId="0" xfId="0" applyFont="1" applyAlignment="1">
      <alignment horizontal="right"/>
    </xf>
    <xf numFmtId="165" fontId="15" fillId="0" borderId="0" xfId="0" applyNumberFormat="1" applyFont="1"/>
    <xf numFmtId="0" fontId="9" fillId="0" borderId="0" xfId="3"/>
    <xf numFmtId="164" fontId="11" fillId="0" borderId="0" xfId="1" applyNumberFormat="1" applyFont="1" applyAlignment="1">
      <alignment horizontal="left"/>
    </xf>
    <xf numFmtId="0" fontId="23" fillId="0" borderId="0" xfId="0" applyFont="1" applyAlignment="1">
      <alignment horizontal="left"/>
    </xf>
    <xf numFmtId="2" fontId="13" fillId="0" borderId="0" xfId="1" applyNumberFormat="1" applyFont="1" applyAlignment="1">
      <alignment wrapText="1"/>
    </xf>
    <xf numFmtId="1" fontId="4" fillId="3" borderId="9" xfId="1" applyNumberFormat="1" applyFill="1" applyBorder="1" applyAlignment="1" applyProtection="1">
      <alignment horizontal="center"/>
      <protection locked="0"/>
    </xf>
    <xf numFmtId="2" fontId="4" fillId="0" borderId="0" xfId="1" applyNumberFormat="1" applyAlignment="1">
      <alignment horizontal="center" vertical="center"/>
    </xf>
    <xf numFmtId="1" fontId="24" fillId="0" borderId="0" xfId="1" applyNumberFormat="1" applyFont="1" applyAlignment="1">
      <alignment horizontal="center"/>
    </xf>
    <xf numFmtId="2" fontId="24" fillId="0" borderId="0" xfId="1" applyNumberFormat="1" applyFont="1" applyAlignment="1">
      <alignment horizontal="center"/>
    </xf>
    <xf numFmtId="2" fontId="4" fillId="0" borderId="0" xfId="1" applyNumberFormat="1" applyAlignment="1">
      <alignment vertical="center"/>
    </xf>
    <xf numFmtId="1" fontId="24" fillId="0" borderId="9" xfId="1" applyNumberFormat="1" applyFont="1" applyBorder="1" applyAlignment="1">
      <alignment horizontal="center"/>
    </xf>
    <xf numFmtId="2" fontId="24" fillId="0" borderId="9" xfId="1" applyNumberFormat="1" applyFont="1" applyBorder="1" applyAlignment="1">
      <alignment horizontal="center"/>
    </xf>
    <xf numFmtId="1" fontId="4" fillId="0" borderId="7" xfId="1" applyNumberFormat="1" applyBorder="1"/>
    <xf numFmtId="1" fontId="4" fillId="0" borderId="10" xfId="1" applyNumberFormat="1" applyBorder="1"/>
    <xf numFmtId="2" fontId="13" fillId="0" borderId="7" xfId="1" applyNumberFormat="1" applyFont="1" applyBorder="1" applyAlignment="1">
      <alignment horizontal="center"/>
    </xf>
    <xf numFmtId="2" fontId="4" fillId="0" borderId="4" xfId="1" applyNumberFormat="1" applyBorder="1" applyAlignment="1">
      <alignment horizontal="center" vertical="center"/>
    </xf>
    <xf numFmtId="2" fontId="4" fillId="0" borderId="4" xfId="1" applyNumberFormat="1" applyBorder="1" applyAlignment="1">
      <alignment wrapText="1"/>
    </xf>
    <xf numFmtId="2" fontId="4" fillId="3" borderId="4" xfId="1" applyNumberFormat="1" applyFill="1" applyBorder="1" applyAlignment="1" applyProtection="1">
      <alignment horizontal="center" wrapText="1"/>
      <protection locked="0"/>
    </xf>
    <xf numFmtId="2" fontId="4" fillId="0" borderId="5" xfId="1" applyNumberFormat="1" applyBorder="1" applyAlignment="1">
      <alignment horizontal="center" wrapText="1"/>
    </xf>
    <xf numFmtId="2" fontId="6" fillId="0" borderId="8" xfId="1" applyNumberFormat="1" applyFont="1" applyBorder="1"/>
    <xf numFmtId="2" fontId="6" fillId="0" borderId="9" xfId="1" applyNumberFormat="1" applyFont="1" applyBorder="1"/>
    <xf numFmtId="2" fontId="4" fillId="0" borderId="9" xfId="1" applyNumberFormat="1" applyBorder="1" applyAlignment="1">
      <alignment vertical="center"/>
    </xf>
    <xf numFmtId="164" fontId="4" fillId="0" borderId="10" xfId="1" applyNumberFormat="1" applyBorder="1"/>
    <xf numFmtId="164" fontId="5" fillId="0" borderId="9" xfId="1" applyNumberFormat="1" applyFont="1" applyBorder="1" applyAlignment="1">
      <alignment horizontal="center"/>
    </xf>
    <xf numFmtId="2" fontId="4" fillId="0" borderId="9" xfId="1" applyNumberFormat="1" applyBorder="1" applyAlignment="1">
      <alignment horizontal="right" vertical="center"/>
    </xf>
    <xf numFmtId="0" fontId="15" fillId="0" borderId="0" xfId="0" applyFont="1" applyAlignment="1">
      <alignment horizontal="right" wrapText="1"/>
    </xf>
    <xf numFmtId="2" fontId="0" fillId="0" borderId="0" xfId="0" applyNumberFormat="1" applyAlignment="1">
      <alignment horizontal="center"/>
    </xf>
    <xf numFmtId="166" fontId="0" fillId="0" borderId="0" xfId="0" applyNumberFormat="1"/>
    <xf numFmtId="0" fontId="15" fillId="0" borderId="3" xfId="0" applyFont="1" applyBorder="1" applyAlignment="1">
      <alignment horizontal="right" wrapText="1"/>
    </xf>
    <xf numFmtId="2" fontId="4" fillId="3" borderId="0" xfId="0" applyNumberFormat="1" applyFont="1" applyFill="1" applyProtection="1">
      <protection locked="0"/>
    </xf>
    <xf numFmtId="2" fontId="9" fillId="0" borderId="0" xfId="3" applyNumberFormat="1" applyProtection="1"/>
    <xf numFmtId="2" fontId="10" fillId="0" borderId="0" xfId="3" applyNumberFormat="1" applyFont="1" applyProtection="1"/>
    <xf numFmtId="4" fontId="4" fillId="3" borderId="0" xfId="1" applyNumberFormat="1" applyFill="1" applyProtection="1">
      <protection locked="0"/>
    </xf>
    <xf numFmtId="4" fontId="4" fillId="3" borderId="9" xfId="1" applyNumberFormat="1" applyFill="1" applyBorder="1" applyProtection="1">
      <protection locked="0"/>
    </xf>
    <xf numFmtId="2" fontId="27" fillId="0" borderId="0" xfId="4" applyNumberFormat="1" applyFont="1"/>
    <xf numFmtId="2" fontId="29" fillId="0" borderId="0" xfId="4" applyNumberFormat="1" applyFont="1"/>
    <xf numFmtId="2" fontId="30" fillId="0" borderId="0" xfId="4" applyNumberFormat="1" applyFont="1"/>
    <xf numFmtId="2" fontId="30" fillId="0" borderId="0" xfId="4" applyNumberFormat="1" applyFont="1" applyAlignment="1">
      <alignment horizontal="center"/>
    </xf>
    <xf numFmtId="2" fontId="30" fillId="0" borderId="0" xfId="4" applyNumberFormat="1" applyFont="1" applyAlignment="1">
      <alignment horizontal="right" wrapText="1"/>
    </xf>
    <xf numFmtId="2" fontId="30" fillId="0" borderId="0" xfId="4" applyNumberFormat="1" applyFont="1" applyAlignment="1">
      <alignment horizontal="center" wrapText="1"/>
    </xf>
    <xf numFmtId="2" fontId="30" fillId="12" borderId="0" xfId="4" applyNumberFormat="1" applyFont="1" applyFill="1" applyAlignment="1" applyProtection="1">
      <alignment horizontal="center"/>
      <protection locked="0"/>
    </xf>
    <xf numFmtId="2" fontId="27" fillId="12" borderId="0" xfId="4" applyNumberFormat="1" applyFont="1" applyFill="1" applyProtection="1">
      <protection locked="0"/>
    </xf>
    <xf numFmtId="1" fontId="27" fillId="0" borderId="0" xfId="4" applyNumberFormat="1" applyFont="1"/>
    <xf numFmtId="2" fontId="27" fillId="0" borderId="0" xfId="4" applyNumberFormat="1" applyFont="1" applyAlignment="1">
      <alignment horizontal="right"/>
    </xf>
    <xf numFmtId="2" fontId="27" fillId="0" borderId="0" xfId="4" applyNumberFormat="1" applyFont="1" applyAlignment="1">
      <alignment horizontal="center"/>
    </xf>
    <xf numFmtId="2" fontId="31" fillId="0" borderId="0" xfId="5" applyNumberFormat="1" applyFont="1" applyBorder="1" applyProtection="1"/>
    <xf numFmtId="2" fontId="32" fillId="0" borderId="0" xfId="6" applyNumberFormat="1" applyFont="1" applyAlignment="1">
      <alignment horizontal="center" vertical="center" readingOrder="1"/>
    </xf>
    <xf numFmtId="0" fontId="33" fillId="4" borderId="0" xfId="3" applyFont="1" applyFill="1"/>
    <xf numFmtId="0" fontId="9" fillId="7" borderId="0" xfId="3" applyFill="1" applyBorder="1" applyAlignment="1"/>
    <xf numFmtId="164" fontId="6" fillId="0" borderId="3" xfId="1" applyNumberFormat="1" applyFont="1" applyBorder="1" applyAlignment="1">
      <alignment horizontal="center"/>
    </xf>
    <xf numFmtId="164" fontId="6" fillId="0" borderId="5" xfId="1" applyNumberFormat="1" applyFont="1" applyBorder="1" applyAlignment="1">
      <alignment horizontal="center"/>
    </xf>
    <xf numFmtId="164" fontId="11" fillId="0" borderId="0" xfId="1" applyNumberFormat="1" applyFont="1" applyAlignment="1">
      <alignment horizontal="center"/>
    </xf>
    <xf numFmtId="164" fontId="11" fillId="0" borderId="0" xfId="1" applyNumberFormat="1" applyFont="1" applyAlignment="1">
      <alignment horizontal="left"/>
    </xf>
    <xf numFmtId="164" fontId="6" fillId="0" borderId="4" xfId="1" applyNumberFormat="1" applyFont="1" applyBorder="1" applyAlignment="1">
      <alignment horizontal="center"/>
    </xf>
    <xf numFmtId="164" fontId="11" fillId="0" borderId="3" xfId="1" applyNumberFormat="1" applyFont="1" applyBorder="1" applyAlignment="1">
      <alignment horizontal="center"/>
    </xf>
    <xf numFmtId="164" fontId="11" fillId="0" borderId="4" xfId="1" applyNumberFormat="1" applyFont="1" applyBorder="1" applyAlignment="1">
      <alignment horizontal="center"/>
    </xf>
    <xf numFmtId="164" fontId="11" fillId="0" borderId="5" xfId="1" applyNumberFormat="1" applyFont="1" applyBorder="1" applyAlignment="1">
      <alignment horizontal="center"/>
    </xf>
    <xf numFmtId="2" fontId="11" fillId="0" borderId="0" xfId="1" applyNumberFormat="1" applyFont="1" applyProtection="1">
      <protection locked="0"/>
    </xf>
    <xf numFmtId="2" fontId="6" fillId="3" borderId="4" xfId="1" applyNumberFormat="1" applyFont="1" applyFill="1" applyBorder="1" applyProtection="1">
      <protection locked="0"/>
    </xf>
    <xf numFmtId="2" fontId="6" fillId="3" borderId="5" xfId="1" applyNumberFormat="1" applyFont="1" applyFill="1" applyBorder="1" applyProtection="1">
      <protection locked="0"/>
    </xf>
    <xf numFmtId="2" fontId="5" fillId="10" borderId="0" xfId="1" applyNumberFormat="1" applyFont="1" applyFill="1" applyAlignment="1">
      <alignment vertical="center" wrapText="1"/>
    </xf>
    <xf numFmtId="2" fontId="5" fillId="10" borderId="9" xfId="1" applyNumberFormat="1" applyFont="1" applyFill="1" applyBorder="1" applyAlignment="1">
      <alignment vertical="center" wrapText="1"/>
    </xf>
    <xf numFmtId="2" fontId="5" fillId="0" borderId="0" xfId="1" applyNumberFormat="1" applyFont="1" applyAlignment="1">
      <alignment horizontal="center"/>
    </xf>
    <xf numFmtId="2" fontId="5" fillId="0" borderId="4" xfId="1" applyNumberFormat="1" applyFont="1" applyBorder="1" applyAlignment="1">
      <alignment horizontal="right"/>
    </xf>
    <xf numFmtId="2" fontId="6" fillId="0" borderId="3" xfId="1" applyNumberFormat="1" applyFont="1" applyBorder="1" applyAlignment="1">
      <alignment horizontal="center"/>
    </xf>
    <xf numFmtId="2" fontId="6" fillId="0" borderId="4" xfId="1" applyNumberFormat="1" applyFont="1" applyBorder="1" applyAlignment="1">
      <alignment horizontal="center"/>
    </xf>
    <xf numFmtId="2" fontId="6" fillId="0" borderId="5" xfId="1" applyNumberFormat="1" applyFont="1" applyBorder="1" applyAlignment="1">
      <alignment horizontal="center"/>
    </xf>
    <xf numFmtId="2" fontId="5" fillId="10" borderId="0" xfId="1" applyNumberFormat="1" applyFont="1" applyFill="1" applyAlignment="1">
      <alignment horizontal="left" wrapText="1"/>
    </xf>
    <xf numFmtId="164" fontId="15" fillId="0" borderId="0" xfId="0" applyNumberFormat="1" applyFont="1" applyAlignment="1">
      <alignment horizontal="center"/>
    </xf>
    <xf numFmtId="164" fontId="0" fillId="10" borderId="0" xfId="0" applyNumberFormat="1" applyFill="1"/>
    <xf numFmtId="2" fontId="5" fillId="0" borderId="0" xfId="1" applyNumberFormat="1" applyFont="1" applyAlignment="1">
      <alignment horizontal="right"/>
    </xf>
    <xf numFmtId="2" fontId="6" fillId="0" borderId="0" xfId="1" applyNumberFormat="1" applyFont="1"/>
    <xf numFmtId="2" fontId="5" fillId="0" borderId="0" xfId="1" applyNumberFormat="1" applyFont="1" applyAlignment="1">
      <alignment horizontal="left"/>
    </xf>
    <xf numFmtId="2" fontId="11" fillId="3" borderId="0" xfId="1" applyNumberFormat="1" applyFont="1" applyFill="1" applyProtection="1">
      <protection locked="0"/>
    </xf>
    <xf numFmtId="2" fontId="6" fillId="0" borderId="0" xfId="1" applyNumberFormat="1" applyFont="1" applyAlignment="1">
      <alignment horizontal="center"/>
    </xf>
    <xf numFmtId="1" fontId="6" fillId="0" borderId="0" xfId="1" applyNumberFormat="1" applyFont="1" applyAlignment="1">
      <alignment horizontal="center"/>
    </xf>
    <xf numFmtId="2" fontId="6" fillId="3" borderId="0" xfId="1" applyNumberFormat="1" applyFont="1" applyFill="1" applyProtection="1">
      <protection locked="0"/>
    </xf>
    <xf numFmtId="2" fontId="26" fillId="11" borderId="0" xfId="1" applyNumberFormat="1" applyFont="1" applyFill="1" applyProtection="1">
      <protection locked="0"/>
    </xf>
    <xf numFmtId="0" fontId="23" fillId="3" borderId="0" xfId="0" applyFont="1" applyFill="1" applyAlignment="1" applyProtection="1">
      <alignment horizontal="left"/>
      <protection locked="0"/>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12" xfId="0" applyFont="1" applyBorder="1" applyAlignment="1">
      <alignment horizontal="center"/>
    </xf>
    <xf numFmtId="0" fontId="15" fillId="0" borderId="14" xfId="0" applyFont="1" applyBorder="1" applyAlignment="1">
      <alignment horizontal="center"/>
    </xf>
    <xf numFmtId="0" fontId="15" fillId="0" borderId="13" xfId="0" applyFont="1" applyBorder="1" applyAlignment="1">
      <alignment horizontal="center"/>
    </xf>
    <xf numFmtId="2" fontId="27" fillId="0" borderId="0" xfId="4" applyNumberFormat="1" applyFont="1" applyAlignment="1">
      <alignment horizontal="right"/>
    </xf>
    <xf numFmtId="2" fontId="30" fillId="0" borderId="0" xfId="4" applyNumberFormat="1" applyFont="1"/>
    <xf numFmtId="2" fontId="27" fillId="0" borderId="0" xfId="4" applyNumberFormat="1" applyFont="1" applyAlignment="1">
      <alignment horizontal="left"/>
    </xf>
    <xf numFmtId="2" fontId="27" fillId="0" borderId="0" xfId="4" applyNumberFormat="1" applyFont="1" applyAlignment="1">
      <alignment horizontal="center"/>
    </xf>
    <xf numFmtId="2" fontId="28" fillId="12" borderId="0" xfId="4" applyNumberFormat="1" applyFont="1" applyFill="1" applyProtection="1">
      <protection locked="0"/>
    </xf>
    <xf numFmtId="2" fontId="30" fillId="0" borderId="0" xfId="4" applyNumberFormat="1" applyFont="1" applyAlignment="1">
      <alignment horizontal="center"/>
    </xf>
    <xf numFmtId="2" fontId="30" fillId="12" borderId="0" xfId="4" applyNumberFormat="1" applyFont="1" applyFill="1" applyProtection="1">
      <protection locked="0"/>
    </xf>
    <xf numFmtId="2" fontId="13" fillId="0" borderId="15" xfId="1" applyNumberFormat="1" applyFont="1" applyBorder="1" applyAlignment="1">
      <alignment horizontal="center"/>
    </xf>
    <xf numFmtId="2" fontId="13" fillId="0" borderId="16" xfId="1" applyNumberFormat="1" applyFont="1" applyBorder="1" applyAlignment="1">
      <alignment horizontal="center"/>
    </xf>
    <xf numFmtId="2" fontId="11" fillId="0" borderId="3" xfId="1" applyNumberFormat="1" applyFont="1" applyBorder="1" applyAlignment="1">
      <alignment horizontal="center"/>
    </xf>
    <xf numFmtId="2" fontId="11" fillId="0" borderId="4" xfId="1" applyNumberFormat="1" applyFont="1" applyBorder="1" applyAlignment="1">
      <alignment horizontal="center"/>
    </xf>
    <xf numFmtId="2" fontId="11" fillId="0" borderId="5" xfId="1" applyNumberFormat="1" applyFont="1" applyBorder="1" applyAlignment="1">
      <alignment horizontal="center"/>
    </xf>
    <xf numFmtId="2" fontId="11" fillId="3" borderId="0" xfId="1" applyNumberFormat="1" applyFont="1" applyFill="1" applyAlignment="1" applyProtection="1">
      <alignment horizontal="left"/>
      <protection locked="0"/>
    </xf>
    <xf numFmtId="2" fontId="4" fillId="10" borderId="0" xfId="1" applyNumberFormat="1" applyFill="1"/>
    <xf numFmtId="2" fontId="11" fillId="3" borderId="0" xfId="1" applyNumberFormat="1" applyFont="1" applyFill="1"/>
    <xf numFmtId="2" fontId="25" fillId="11" borderId="0" xfId="0" applyNumberFormat="1" applyFont="1" applyFill="1" applyProtection="1">
      <protection locked="0"/>
    </xf>
    <xf numFmtId="2" fontId="4" fillId="0" borderId="0" xfId="1" quotePrefix="1" applyNumberFormat="1" applyAlignment="1">
      <alignment horizontal="center"/>
    </xf>
    <xf numFmtId="2" fontId="6" fillId="3" borderId="0" xfId="1" applyNumberFormat="1" applyFont="1" applyFill="1" applyAlignment="1" applyProtection="1">
      <alignment horizontal="center"/>
      <protection locked="0"/>
    </xf>
    <xf numFmtId="2" fontId="5" fillId="0" borderId="0" xfId="1" applyNumberFormat="1" applyFont="1" applyAlignment="1">
      <alignment horizontal="center" wrapText="1"/>
    </xf>
    <xf numFmtId="1" fontId="5" fillId="0" borderId="0" xfId="1" applyNumberFormat="1" applyFont="1" applyAlignment="1">
      <alignment horizontal="center" wrapText="1"/>
    </xf>
    <xf numFmtId="2" fontId="5" fillId="0" borderId="0" xfId="1" applyNumberFormat="1" applyFont="1" applyAlignment="1">
      <alignment horizontal="left" wrapText="1"/>
    </xf>
    <xf numFmtId="2" fontId="6" fillId="0" borderId="0" xfId="1" applyNumberFormat="1" applyFont="1" applyAlignment="1">
      <alignment horizontal="left"/>
    </xf>
    <xf numFmtId="2" fontId="23" fillId="0" borderId="6" xfId="1" applyNumberFormat="1" applyFont="1" applyBorder="1" applyAlignment="1">
      <alignment horizontal="center"/>
    </xf>
    <xf numFmtId="2" fontId="23" fillId="0" borderId="0" xfId="1" applyNumberFormat="1" applyFont="1" applyAlignment="1">
      <alignment horizontal="center"/>
    </xf>
    <xf numFmtId="2" fontId="23" fillId="0" borderId="7" xfId="1" applyNumberFormat="1" applyFont="1" applyBorder="1" applyAlignment="1">
      <alignment horizontal="center"/>
    </xf>
    <xf numFmtId="2" fontId="1" fillId="0" borderId="6" xfId="1" applyNumberFormat="1" applyFont="1" applyBorder="1" applyAlignment="1">
      <alignment horizontal="center" wrapText="1"/>
    </xf>
    <xf numFmtId="2" fontId="1" fillId="0" borderId="0" xfId="1" applyNumberFormat="1" applyFont="1" applyAlignment="1">
      <alignment horizontal="center" wrapText="1"/>
    </xf>
    <xf numFmtId="2" fontId="13" fillId="0" borderId="0" xfId="1" applyNumberFormat="1" applyFont="1" applyAlignment="1">
      <alignment horizontal="center"/>
    </xf>
    <xf numFmtId="2" fontId="23" fillId="0" borderId="3" xfId="1" applyNumberFormat="1" applyFont="1" applyBorder="1" applyAlignment="1">
      <alignment horizontal="center"/>
    </xf>
    <xf numFmtId="2" fontId="23" fillId="0" borderId="4" xfId="1" applyNumberFormat="1" applyFont="1" applyBorder="1" applyAlignment="1">
      <alignment horizontal="center"/>
    </xf>
    <xf numFmtId="2" fontId="23" fillId="0" borderId="5" xfId="1" applyNumberFormat="1" applyFont="1" applyBorder="1" applyAlignment="1">
      <alignment horizontal="center"/>
    </xf>
  </cellXfs>
  <cellStyles count="7">
    <cellStyle name="Hyperlink" xfId="3" builtinId="8"/>
    <cellStyle name="Hyperlink 2" xfId="5" xr:uid="{08714B7B-BA43-6A43-A522-8E1058E6A866}"/>
    <cellStyle name="Normal" xfId="0" builtinId="0"/>
    <cellStyle name="Normal 2" xfId="1" xr:uid="{F4F36BBB-A42D-5742-8CD9-72C1CEE11E65}"/>
    <cellStyle name="Normal 2 2" xfId="4" xr:uid="{89F6CE29-EBFE-3D43-A27B-3AFF6A9EF9F9}"/>
    <cellStyle name="Normal 3" xfId="6" xr:uid="{6F4E9BDD-6AFF-8049-BD81-C0799CC9363B}"/>
    <cellStyle name="Standard_Tabelle1" xfId="2" xr:uid="{E7F4D37D-544F-CE42-99A8-E220BC1ABC08}"/>
  </cellStyles>
  <dxfs count="152">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83CBE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connections" Target="connection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101.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102.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103.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104.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5.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6.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7.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8.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9.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1.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2.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3.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4.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5.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6.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7.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8.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9.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1.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2.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3.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4.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5.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6.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7.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8.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9.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1.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62.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3.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4.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5.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6.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7.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8.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9.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1.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2.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3.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4.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5.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6.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7.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8.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9.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1.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82.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83.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4.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5.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6.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7.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8.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9.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91.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92.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93.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4.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5.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6.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7.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8.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9.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'Guitar, Modern'!$H$25</c:f>
          <c:strCache>
            <c:ptCount val="1"/>
            <c:pt idx="0">
              <c:v>Guitar, Modern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'Guitar, Modern'!$F$5</c:f>
              <c:strCache>
                <c:ptCount val="1"/>
                <c:pt idx="0">
                  <c:v>Guitar, Modern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Modern'!$F$6:$F$24</c:f>
              <c:numCache>
                <c:formatCode>0.00</c:formatCode>
                <c:ptCount val="19"/>
                <c:pt idx="0">
                  <c:v>99.814522009839067</c:v>
                </c:pt>
                <c:pt idx="1">
                  <c:v>100.03213242927258</c:v>
                </c:pt>
                <c:pt idx="2">
                  <c:v>101.41448066685346</c:v>
                </c:pt>
                <c:pt idx="3">
                  <c:v>99.326980712996701</c:v>
                </c:pt>
                <c:pt idx="4">
                  <c:v>100.03935627370365</c:v>
                </c:pt>
                <c:pt idx="5">
                  <c:v>100.52202923111726</c:v>
                </c:pt>
                <c:pt idx="6">
                  <c:v>98.73322095596987</c:v>
                </c:pt>
                <c:pt idx="7">
                  <c:v>100.47872077074507</c:v>
                </c:pt>
                <c:pt idx="8">
                  <c:v>99.948412033242931</c:v>
                </c:pt>
                <c:pt idx="9">
                  <c:v>98.954592230367936</c:v>
                </c:pt>
                <c:pt idx="10">
                  <c:v>99.930053144287058</c:v>
                </c:pt>
                <c:pt idx="11">
                  <c:v>98.069276921344439</c:v>
                </c:pt>
                <c:pt idx="12">
                  <c:v>101.1426648053706</c:v>
                </c:pt>
                <c:pt idx="13">
                  <c:v>101.44021225400124</c:v>
                </c:pt>
                <c:pt idx="14">
                  <c:v>98.252408465289562</c:v>
                </c:pt>
                <c:pt idx="15">
                  <c:v>100.81393517471032</c:v>
                </c:pt>
                <c:pt idx="16">
                  <c:v>99.93975930245827</c:v>
                </c:pt>
                <c:pt idx="17">
                  <c:v>102.29674394221307</c:v>
                </c:pt>
                <c:pt idx="18">
                  <c:v>100.72658219987521</c:v>
                </c:pt>
              </c:numCache>
            </c:numRef>
          </c:val>
          <c:smooth val="0"/>
          <c:extLst>
            <c:ext xmlns:c16="http://schemas.microsoft.com/office/drawing/2014/chart" uri="{C3380CC4-5D6E-409C-BE32-E72D297353CC}">
              <c16:uniqueId val="{00000000-5830-3542-9F26-CF16A376563F}"/>
            </c:ext>
          </c:extLst>
        </c:ser>
        <c:ser>
          <c:idx val="1"/>
          <c:order val="1"/>
          <c:tx>
            <c:strRef>
              <c:f>'Guitar, Modern'!$H$3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Modern'!$J$6:$J$24</c:f>
              <c:numCache>
                <c:formatCode>0.00</c:formatCode>
                <c:ptCount val="19"/>
                <c:pt idx="0">
                  <c:v>100.00000000000007</c:v>
                </c:pt>
                <c:pt idx="1">
                  <c:v>100.00000000000007</c:v>
                </c:pt>
                <c:pt idx="2">
                  <c:v>100.00000000000007</c:v>
                </c:pt>
                <c:pt idx="3">
                  <c:v>100.00000000000007</c:v>
                </c:pt>
                <c:pt idx="4">
                  <c:v>100.00000000000007</c:v>
                </c:pt>
                <c:pt idx="5">
                  <c:v>99.99999999999973</c:v>
                </c:pt>
                <c:pt idx="6">
                  <c:v>100.00000000000007</c:v>
                </c:pt>
                <c:pt idx="7">
                  <c:v>100.00000000000007</c:v>
                </c:pt>
                <c:pt idx="8">
                  <c:v>100.00000000000007</c:v>
                </c:pt>
                <c:pt idx="9">
                  <c:v>99.99999999999973</c:v>
                </c:pt>
                <c:pt idx="10">
                  <c:v>99.99999999999973</c:v>
                </c:pt>
                <c:pt idx="11">
                  <c:v>100.00000000000007</c:v>
                </c:pt>
                <c:pt idx="12">
                  <c:v>100.00000000000007</c:v>
                </c:pt>
                <c:pt idx="13">
                  <c:v>100.00000000000007</c:v>
                </c:pt>
                <c:pt idx="14">
                  <c:v>100.00000000000007</c:v>
                </c:pt>
                <c:pt idx="15">
                  <c:v>100.00000000000007</c:v>
                </c:pt>
                <c:pt idx="16">
                  <c:v>100.00000000000007</c:v>
                </c:pt>
                <c:pt idx="17">
                  <c:v>99.99999999999973</c:v>
                </c:pt>
                <c:pt idx="18">
                  <c:v>100.00000000000007</c:v>
                </c:pt>
              </c:numCache>
            </c:numRef>
          </c:val>
          <c:smooth val="0"/>
          <c:extLst>
            <c:ext xmlns:c16="http://schemas.microsoft.com/office/drawing/2014/chart" uri="{C3380CC4-5D6E-409C-BE32-E72D297353CC}">
              <c16:uniqueId val="{00000001-5830-3542-9F26-CF16A376563F}"/>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'Bergmann, Leipzig 10, 2025'!$H$21</c:f>
          <c:strCache>
            <c:ptCount val="1"/>
            <c:pt idx="0">
              <c:v>Bergmann, Leipzig 10, 2025 Fret Size cents vs. Grote 5th</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'Bergmann, Leipzig 10, 2025'!$F$5</c:f>
              <c:strCache>
                <c:ptCount val="1"/>
                <c:pt idx="0">
                  <c:v>Bergmann, Leipzig 10, 2025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2025'!$F$6:$F$20</c:f>
              <c:numCache>
                <c:formatCode>0.00</c:formatCode>
                <c:ptCount val="15"/>
                <c:pt idx="0">
                  <c:v>103.19039942679643</c:v>
                </c:pt>
                <c:pt idx="1">
                  <c:v>94.220650529757748</c:v>
                </c:pt>
                <c:pt idx="2">
                  <c:v>101.77591540366805</c:v>
                </c:pt>
                <c:pt idx="3">
                  <c:v>93.603014401527801</c:v>
                </c:pt>
                <c:pt idx="4">
                  <c:v>97.45448217259603</c:v>
                </c:pt>
                <c:pt idx="5">
                  <c:v>98.465059058982703</c:v>
                </c:pt>
                <c:pt idx="6">
                  <c:v>93.350592727381127</c:v>
                </c:pt>
                <c:pt idx="7">
                  <c:v>107.43746590988216</c:v>
                </c:pt>
                <c:pt idx="8">
                  <c:v>97.936518664382362</c:v>
                </c:pt>
                <c:pt idx="9">
                  <c:v>91.829390591992194</c:v>
                </c:pt>
                <c:pt idx="10">
                  <c:v>101.01730431647708</c:v>
                </c:pt>
                <c:pt idx="11">
                  <c:v>103.98525870501851</c:v>
                </c:pt>
                <c:pt idx="12">
                  <c:v>98.954592230367567</c:v>
                </c:pt>
                <c:pt idx="13">
                  <c:v>90.608505511254805</c:v>
                </c:pt>
                <c:pt idx="14">
                  <c:v>91.43955105767877</c:v>
                </c:pt>
              </c:numCache>
            </c:numRef>
          </c:val>
          <c:smooth val="0"/>
          <c:extLst>
            <c:ext xmlns:c16="http://schemas.microsoft.com/office/drawing/2014/chart" uri="{C3380CC4-5D6E-409C-BE32-E72D297353CC}">
              <c16:uniqueId val="{00000000-8F08-C440-8639-9EE8481FA658}"/>
            </c:ext>
          </c:extLst>
        </c:ser>
        <c:ser>
          <c:idx val="1"/>
          <c:order val="1"/>
          <c:tx>
            <c:strRef>
              <c:f>'Bergmann, Leipzig 10, 2025'!$H$3</c:f>
              <c:strCache>
                <c:ptCount val="1"/>
                <c:pt idx="0">
                  <c:v>Grote 5th</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2025'!$J$6:$J$20</c:f>
              <c:numCache>
                <c:formatCode>0.00</c:formatCode>
                <c:ptCount val="15"/>
                <c:pt idx="0">
                  <c:v>99.6089998269224</c:v>
                </c:pt>
                <c:pt idx="1">
                  <c:v>94.916997749992618</c:v>
                </c:pt>
                <c:pt idx="2">
                  <c:v>99.6089998269224</c:v>
                </c:pt>
                <c:pt idx="3">
                  <c:v>94.916997749992618</c:v>
                </c:pt>
                <c:pt idx="4">
                  <c:v>94.916997749992618</c:v>
                </c:pt>
                <c:pt idx="5">
                  <c:v>99.6089998269224</c:v>
                </c:pt>
                <c:pt idx="6">
                  <c:v>94.916997749992618</c:v>
                </c:pt>
                <c:pt idx="7">
                  <c:v>99.6089998269224</c:v>
                </c:pt>
                <c:pt idx="8">
                  <c:v>94.916997749992618</c:v>
                </c:pt>
                <c:pt idx="9">
                  <c:v>94.916997749992618</c:v>
                </c:pt>
                <c:pt idx="10">
                  <c:v>99.608999826922741</c:v>
                </c:pt>
                <c:pt idx="11">
                  <c:v>104.30100190385235</c:v>
                </c:pt>
                <c:pt idx="12">
                  <c:v>104.30100190385235</c:v>
                </c:pt>
                <c:pt idx="13">
                  <c:v>94.916997749992618</c:v>
                </c:pt>
                <c:pt idx="14">
                  <c:v>94.916997749992618</c:v>
                </c:pt>
              </c:numCache>
            </c:numRef>
          </c:val>
          <c:smooth val="0"/>
          <c:extLst>
            <c:ext xmlns:c16="http://schemas.microsoft.com/office/drawing/2014/chart" uri="{C3380CC4-5D6E-409C-BE32-E72D297353CC}">
              <c16:uniqueId val="{00000001-8F08-C440-8639-9EE8481FA658}"/>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90177567"/>
        <c:crosses val="autoZero"/>
        <c:auto val="1"/>
        <c:lblAlgn val="ctr"/>
        <c:lblOffset val="100"/>
        <c:noMultiLvlLbl val="0"/>
      </c:catAx>
      <c:valAx>
        <c:axId val="1190177567"/>
        <c:scaling>
          <c:orientation val="minMax"/>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by Lengths'!$L$22</c:f>
          <c:strCache>
            <c:ptCount val="1"/>
            <c:pt idx="0">
              <c:v>Template for Instrument by Pipe or String Lengths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1"/>
          <c:order val="0"/>
          <c:tx>
            <c:strRef>
              <c:f>'Template Instrument by Lengths'!$L$22:$M$22</c:f>
              <c:strCache>
                <c:ptCount val="1"/>
                <c:pt idx="0">
                  <c:v>Template for Instrument by Pipe or String Lengths vs. Meantone Quarter Comma</c:v>
                </c:pt>
              </c:strCache>
            </c:strRef>
          </c:tx>
          <c:spPr>
            <a:solidFill>
              <a:schemeClr val="accent2"/>
            </a:solidFill>
            <a:ln>
              <a:noFill/>
            </a:ln>
            <a:effectLst/>
          </c:spPr>
          <c:invertIfNegative val="0"/>
          <c:cat>
            <c:strRef>
              <c:f>'Template Instrument by Lengths'!$B$9:$B$21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Instrument by Lengths'!$M$9:$M$21</c:f>
              <c:numCache>
                <c:formatCode>0.00</c:formatCode>
                <c:ptCount val="13"/>
                <c:pt idx="0">
                  <c:v>-2.3042453139328756</c:v>
                </c:pt>
                <c:pt idx="1">
                  <c:v>3.0723270852460693</c:v>
                </c:pt>
                <c:pt idx="2">
                  <c:v>-0.76808177131048994</c:v>
                </c:pt>
                <c:pt idx="3">
                  <c:v>-46.084906278673223</c:v>
                </c:pt>
                <c:pt idx="4">
                  <c:v>0.76808177131161837</c:v>
                </c:pt>
                <c:pt idx="5">
                  <c:v>-44.548742736050983</c:v>
                </c:pt>
                <c:pt idx="6">
                  <c:v>2.3042453139342163</c:v>
                </c:pt>
                <c:pt idx="7">
                  <c:v>-1.5361635426223557</c:v>
                </c:pt>
                <c:pt idx="8">
                  <c:v>-46.852988049984297</c:v>
                </c:pt>
                <c:pt idx="9">
                  <c:v>3.8441118045779013E-13</c:v>
                </c:pt>
                <c:pt idx="10">
                  <c:v>-45.316824507362178</c:v>
                </c:pt>
                <c:pt idx="11">
                  <c:v>1.5361635426228371</c:v>
                </c:pt>
                <c:pt idx="12">
                  <c:v>-43.780660964739596</c:v>
                </c:pt>
              </c:numCache>
            </c:numRef>
          </c:val>
          <c:extLst>
            <c:ext xmlns:c16="http://schemas.microsoft.com/office/drawing/2014/chart" uri="{C3380CC4-5D6E-409C-BE32-E72D297353CC}">
              <c16:uniqueId val="{00000001-67C4-5142-823F-AAE5646C128C}"/>
            </c:ext>
          </c:extLst>
        </c:ser>
        <c:dLbls>
          <c:showLegendKey val="0"/>
          <c:showVal val="0"/>
          <c:showCatName val="0"/>
          <c:showSerName val="0"/>
          <c:showPercent val="0"/>
          <c:showBubbleSize val="0"/>
        </c:dLbls>
        <c:gapWidth val="150"/>
        <c:axId val="1334023487"/>
        <c:axId val="208697376"/>
      </c:bar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Instrument by Lengths'!$T$8</c:f>
              <c:strCache>
                <c:ptCount val="1"/>
                <c:pt idx="0">
                  <c:v>Difference to ET Scale in Cents</c:v>
                </c:pt>
              </c:strCache>
            </c:strRef>
          </c:tx>
          <c:spPr>
            <a:solidFill>
              <a:schemeClr val="accent1">
                <a:lumMod val="60000"/>
              </a:schemeClr>
            </a:solidFill>
            <a:ln>
              <a:noFill/>
            </a:ln>
            <a:effectLst/>
          </c:spPr>
          <c:invertIfNegative val="0"/>
          <c:cat>
            <c:strRef>
              <c:f>'Template Instrument by Lengths'!$R$9:$R$21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Instrument by Lengths'!$T$9:$T$21</c:f>
              <c:numCache>
                <c:formatCode>0.00</c:formatCode>
                <c:ptCount val="13"/>
                <c:pt idx="0">
                  <c:v>0</c:v>
                </c:pt>
                <c:pt idx="1">
                  <c:v>-29.327573135718211</c:v>
                </c:pt>
                <c:pt idx="2">
                  <c:v>-8.3793066102048268</c:v>
                </c:pt>
                <c:pt idx="3">
                  <c:v>12.98651716061822</c:v>
                </c:pt>
                <c:pt idx="4">
                  <c:v>-16.75861322040998</c:v>
                </c:pt>
                <c:pt idx="5">
                  <c:v>4.607210550413134</c:v>
                </c:pt>
                <c:pt idx="6">
                  <c:v>-25.137919830615264</c:v>
                </c:pt>
                <c:pt idx="7">
                  <c:v>-4.189653305102345</c:v>
                </c:pt>
                <c:pt idx="8">
                  <c:v>17.176170465720411</c:v>
                </c:pt>
                <c:pt idx="9">
                  <c:v>-12.568959915307778</c:v>
                </c:pt>
                <c:pt idx="10">
                  <c:v>8.7968638555152747</c:v>
                </c:pt>
                <c:pt idx="11">
                  <c:v>-20.948266525512722</c:v>
                </c:pt>
                <c:pt idx="12">
                  <c:v>0.41755724530999022</c:v>
                </c:pt>
              </c:numCache>
            </c:numRef>
          </c:val>
          <c:extLst>
            <c:ext xmlns:c16="http://schemas.microsoft.com/office/drawing/2014/chart" uri="{C3380CC4-5D6E-409C-BE32-E72D297353CC}">
              <c16:uniqueId val="{00000000-3FA5-ED4C-8217-E70935E2D9C5}"/>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Instrument by Lengths'!$W$8</c:f>
              <c:strCache>
                <c:ptCount val="1"/>
                <c:pt idx="0">
                  <c:v>Difference to ET Fifths in Cents</c:v>
                </c:pt>
              </c:strCache>
            </c:strRef>
          </c:tx>
          <c:spPr>
            <a:solidFill>
              <a:schemeClr val="accent1">
                <a:lumMod val="60000"/>
              </a:schemeClr>
            </a:solidFill>
            <a:ln>
              <a:noFill/>
            </a:ln>
            <a:effectLst/>
          </c:spPr>
          <c:invertIfNegative val="0"/>
          <c:cat>
            <c:strRef>
              <c:f>'Template Instrument by Lengths'!$U$9:$U$21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'Template Instrument by Lengths'!$W$9:$W$21</c:f>
              <c:numCache>
                <c:formatCode>0.00</c:formatCode>
                <c:ptCount val="13"/>
                <c:pt idx="0">
                  <c:v>0</c:v>
                </c:pt>
                <c:pt idx="1">
                  <c:v>-4.189653305102345</c:v>
                </c:pt>
                <c:pt idx="2">
                  <c:v>-8.3793066102048268</c:v>
                </c:pt>
                <c:pt idx="3">
                  <c:v>-12.568959915307778</c:v>
                </c:pt>
                <c:pt idx="4">
                  <c:v>-16.75861322040998</c:v>
                </c:pt>
                <c:pt idx="5">
                  <c:v>-20.948266525512722</c:v>
                </c:pt>
                <c:pt idx="6">
                  <c:v>-25.137919830615264</c:v>
                </c:pt>
                <c:pt idx="7">
                  <c:v>-29.327573135718211</c:v>
                </c:pt>
                <c:pt idx="8">
                  <c:v>17.176170465720411</c:v>
                </c:pt>
                <c:pt idx="9">
                  <c:v>12.98651716061822</c:v>
                </c:pt>
                <c:pt idx="10">
                  <c:v>8.7968638555152747</c:v>
                </c:pt>
                <c:pt idx="11">
                  <c:v>4.607210550413134</c:v>
                </c:pt>
                <c:pt idx="12">
                  <c:v>0.41755724530999022</c:v>
                </c:pt>
              </c:numCache>
            </c:numRef>
          </c:val>
          <c:extLst>
            <c:ext xmlns:c16="http://schemas.microsoft.com/office/drawing/2014/chart" uri="{C3380CC4-5D6E-409C-BE32-E72D297353CC}">
              <c16:uniqueId val="{00000000-E52D-D348-BF93-8DA35C4996C6}"/>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Fifths'!$R$8</c:f>
              <c:strCache>
                <c:ptCount val="1"/>
                <c:pt idx="0">
                  <c:v>Difference to ET Scale in Cents</c:v>
                </c:pt>
              </c:strCache>
            </c:strRef>
          </c:tx>
          <c:spPr>
            <a:solidFill>
              <a:schemeClr val="accent1">
                <a:lumMod val="60000"/>
              </a:schemeClr>
            </a:solidFill>
            <a:ln>
              <a:noFill/>
            </a:ln>
            <a:effectLst/>
          </c:spPr>
          <c:invertIfNegative val="0"/>
          <c:cat>
            <c:strRef>
              <c:f>'Template from Fifths'!$P$9:$P$21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from Fifths'!$R$9:$R$21</c:f>
              <c:numCache>
                <c:formatCode>0.00</c:formatCode>
                <c:ptCount val="13"/>
                <c:pt idx="0">
                  <c:v>0</c:v>
                </c:pt>
                <c:pt idx="1">
                  <c:v>-13.685006057711803</c:v>
                </c:pt>
                <c:pt idx="2">
                  <c:v>-3.9100017307748658</c:v>
                </c:pt>
                <c:pt idx="3">
                  <c:v>5.8650025961619203</c:v>
                </c:pt>
                <c:pt idx="4">
                  <c:v>-7.820003461549498</c:v>
                </c:pt>
                <c:pt idx="5">
                  <c:v>1.9550008653864619</c:v>
                </c:pt>
                <c:pt idx="6">
                  <c:v>-11.730005192324629</c:v>
                </c:pt>
                <c:pt idx="7">
                  <c:v>-1.955000865387585</c:v>
                </c:pt>
                <c:pt idx="8">
                  <c:v>7.8200034615487954</c:v>
                </c:pt>
                <c:pt idx="9">
                  <c:v>-5.8650025961626593</c:v>
                </c:pt>
                <c:pt idx="10">
                  <c:v>3.9100017307739852</c:v>
                </c:pt>
                <c:pt idx="11">
                  <c:v>-9.7750043269375144</c:v>
                </c:pt>
                <c:pt idx="12">
                  <c:v>-1.5376447218311611E-12</c:v>
                </c:pt>
              </c:numCache>
            </c:numRef>
          </c:val>
          <c:extLst>
            <c:ext xmlns:c16="http://schemas.microsoft.com/office/drawing/2014/chart" uri="{C3380CC4-5D6E-409C-BE32-E72D297353CC}">
              <c16:uniqueId val="{00000000-E7E3-7442-90D8-60929FA254FA}"/>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Fifths'!$U$8</c:f>
              <c:strCache>
                <c:ptCount val="1"/>
                <c:pt idx="0">
                  <c:v>Difference to ET Fifths in Cents</c:v>
                </c:pt>
              </c:strCache>
            </c:strRef>
          </c:tx>
          <c:spPr>
            <a:solidFill>
              <a:schemeClr val="accent1">
                <a:lumMod val="60000"/>
              </a:schemeClr>
            </a:solidFill>
            <a:ln>
              <a:noFill/>
            </a:ln>
            <a:effectLst/>
          </c:spPr>
          <c:invertIfNegative val="0"/>
          <c:cat>
            <c:strRef>
              <c:f>'Template from Fifths'!$S$9:$S$21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'Template from Fifths'!$U$9:$U$21</c:f>
              <c:numCache>
                <c:formatCode>0.00</c:formatCode>
                <c:ptCount val="13"/>
                <c:pt idx="0">
                  <c:v>0</c:v>
                </c:pt>
                <c:pt idx="1">
                  <c:v>-1.955000865387585</c:v>
                </c:pt>
                <c:pt idx="2">
                  <c:v>-3.9100017307748658</c:v>
                </c:pt>
                <c:pt idx="3">
                  <c:v>-5.8650025961626593</c:v>
                </c:pt>
                <c:pt idx="4">
                  <c:v>-7.820003461549498</c:v>
                </c:pt>
                <c:pt idx="5">
                  <c:v>-9.7750043269375144</c:v>
                </c:pt>
                <c:pt idx="6">
                  <c:v>-11.730005192324629</c:v>
                </c:pt>
                <c:pt idx="7">
                  <c:v>-13.685006057711803</c:v>
                </c:pt>
                <c:pt idx="8">
                  <c:v>7.8200034615487954</c:v>
                </c:pt>
                <c:pt idx="9">
                  <c:v>5.8650025961619203</c:v>
                </c:pt>
                <c:pt idx="10">
                  <c:v>3.9100017307739852</c:v>
                </c:pt>
                <c:pt idx="11">
                  <c:v>1.9550008653864619</c:v>
                </c:pt>
                <c:pt idx="12">
                  <c:v>-1.5376447218311611E-12</c:v>
                </c:pt>
              </c:numCache>
            </c:numRef>
          </c:val>
          <c:extLst>
            <c:ext xmlns:c16="http://schemas.microsoft.com/office/drawing/2014/chart" uri="{C3380CC4-5D6E-409C-BE32-E72D297353CC}">
              <c16:uniqueId val="{00000000-E5DF-1248-AD41-3FBDBFB7FC42}"/>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Scale'!$R$8</c:f>
              <c:strCache>
                <c:ptCount val="1"/>
                <c:pt idx="0">
                  <c:v>Difference to ET Scale in Cents</c:v>
                </c:pt>
              </c:strCache>
            </c:strRef>
          </c:tx>
          <c:spPr>
            <a:solidFill>
              <a:schemeClr val="accent1">
                <a:lumMod val="60000"/>
              </a:schemeClr>
            </a:solidFill>
            <a:ln>
              <a:noFill/>
            </a:ln>
            <a:effectLst/>
          </c:spPr>
          <c:invertIfNegative val="0"/>
          <c:cat>
            <c:strRef>
              <c:f>'Template from Scale'!$P$9:$P$21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from Scale'!$R$9:$R$21</c:f>
              <c:numCache>
                <c:formatCode>0.00</c:formatCode>
                <c:ptCount val="13"/>
                <c:pt idx="0">
                  <c:v>0</c:v>
                </c:pt>
                <c:pt idx="1">
                  <c:v>-9.7750043269363527</c:v>
                </c:pt>
                <c:pt idx="2">
                  <c:v>-7.8200034615479517</c:v>
                </c:pt>
                <c:pt idx="3">
                  <c:v>-5.8650025961595729</c:v>
                </c:pt>
                <c:pt idx="4">
                  <c:v>-9.7750043269340345</c:v>
                </c:pt>
                <c:pt idx="5">
                  <c:v>-1.9550008653831592</c:v>
                </c:pt>
                <c:pt idx="6">
                  <c:v>-11.730005192319405</c:v>
                </c:pt>
                <c:pt idx="7">
                  <c:v>-3.9100017307690873</c:v>
                </c:pt>
                <c:pt idx="8">
                  <c:v>-7.8200034615431271</c:v>
                </c:pt>
                <c:pt idx="9">
                  <c:v>-11.730005192317469</c:v>
                </c:pt>
                <c:pt idx="10">
                  <c:v>-3.9100017307665826</c:v>
                </c:pt>
                <c:pt idx="11">
                  <c:v>-7.8200034615406153</c:v>
                </c:pt>
                <c:pt idx="12">
                  <c:v>9.610279511444725E-12</c:v>
                </c:pt>
              </c:numCache>
            </c:numRef>
          </c:val>
          <c:extLst>
            <c:ext xmlns:c16="http://schemas.microsoft.com/office/drawing/2014/chart" uri="{C3380CC4-5D6E-409C-BE32-E72D297353CC}">
              <c16:uniqueId val="{00000000-6B17-4240-898A-40CD62DD4EBB}"/>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Scale'!$U$8</c:f>
              <c:strCache>
                <c:ptCount val="1"/>
                <c:pt idx="0">
                  <c:v>Difference to ET Fifths in Cents</c:v>
                </c:pt>
              </c:strCache>
            </c:strRef>
          </c:tx>
          <c:spPr>
            <a:solidFill>
              <a:schemeClr val="accent1">
                <a:lumMod val="60000"/>
              </a:schemeClr>
            </a:solidFill>
            <a:ln>
              <a:noFill/>
            </a:ln>
            <a:effectLst/>
          </c:spPr>
          <c:invertIfNegative val="0"/>
          <c:cat>
            <c:strRef>
              <c:f>'Template from Scale'!$S$9:$S$21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'Template from Scale'!$U$9:$U$21</c:f>
              <c:numCache>
                <c:formatCode>0.00</c:formatCode>
                <c:ptCount val="13"/>
                <c:pt idx="0">
                  <c:v>0</c:v>
                </c:pt>
                <c:pt idx="1">
                  <c:v>-3.9100017307690873</c:v>
                </c:pt>
                <c:pt idx="2">
                  <c:v>-7.8200034615479517</c:v>
                </c:pt>
                <c:pt idx="3">
                  <c:v>-11.730005192317469</c:v>
                </c:pt>
                <c:pt idx="4">
                  <c:v>-9.7750043269340345</c:v>
                </c:pt>
                <c:pt idx="5">
                  <c:v>-7.8200034615406153</c:v>
                </c:pt>
                <c:pt idx="6">
                  <c:v>-11.730005192319405</c:v>
                </c:pt>
                <c:pt idx="7">
                  <c:v>-9.7750043269363527</c:v>
                </c:pt>
                <c:pt idx="8">
                  <c:v>-7.8200034615431271</c:v>
                </c:pt>
                <c:pt idx="9">
                  <c:v>-5.8650025961595729</c:v>
                </c:pt>
                <c:pt idx="10">
                  <c:v>-3.9100017307665826</c:v>
                </c:pt>
                <c:pt idx="11">
                  <c:v>-1.9550008653831592</c:v>
                </c:pt>
                <c:pt idx="12">
                  <c:v>9.610279511444725E-12</c:v>
                </c:pt>
              </c:numCache>
            </c:numRef>
          </c:val>
          <c:extLst>
            <c:ext xmlns:c16="http://schemas.microsoft.com/office/drawing/2014/chart" uri="{C3380CC4-5D6E-409C-BE32-E72D297353CC}">
              <c16:uniqueId val="{00000000-778C-184B-B218-EB88015BA3A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ET Fifths Order'!$R$8</c:f>
              <c:strCache>
                <c:ptCount val="1"/>
                <c:pt idx="0">
                  <c:v>Difference to ET Scale in Cents</c:v>
                </c:pt>
              </c:strCache>
            </c:strRef>
          </c:tx>
          <c:spPr>
            <a:solidFill>
              <a:schemeClr val="accent1">
                <a:lumMod val="60000"/>
              </a:schemeClr>
            </a:solidFill>
            <a:ln>
              <a:noFill/>
            </a:ln>
            <a:effectLst/>
          </c:spPr>
          <c:invertIfNegative val="0"/>
          <c:cat>
            <c:strRef>
              <c:f>'Template from ET Fifths Order'!$P$9:$P$21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from ET Fifths Order'!$R$9:$R$21</c:f>
              <c:numCache>
                <c:formatCode>0.00</c:formatCode>
                <c:ptCount val="13"/>
                <c:pt idx="0">
                  <c:v>0</c:v>
                </c:pt>
                <c:pt idx="1">
                  <c:v>-29.329999999999462</c:v>
                </c:pt>
                <c:pt idx="2">
                  <c:v>-8.3799999999999137</c:v>
                </c:pt>
                <c:pt idx="3">
                  <c:v>12.569999999999583</c:v>
                </c:pt>
                <c:pt idx="4">
                  <c:v>-16.75999999999965</c:v>
                </c:pt>
                <c:pt idx="5">
                  <c:v>4.1899999999994915</c:v>
                </c:pt>
                <c:pt idx="6">
                  <c:v>-25.139999999999706</c:v>
                </c:pt>
                <c:pt idx="7">
                  <c:v>-4.1900000000005519</c:v>
                </c:pt>
                <c:pt idx="8">
                  <c:v>16.759999999999277</c:v>
                </c:pt>
                <c:pt idx="9">
                  <c:v>-12.570000000000066</c:v>
                </c:pt>
                <c:pt idx="10">
                  <c:v>8.3799999999995176</c:v>
                </c:pt>
                <c:pt idx="11">
                  <c:v>-20.950000000000252</c:v>
                </c:pt>
                <c:pt idx="12">
                  <c:v>-1.1532335413733707E-12</c:v>
                </c:pt>
              </c:numCache>
            </c:numRef>
          </c:val>
          <c:extLst>
            <c:ext xmlns:c16="http://schemas.microsoft.com/office/drawing/2014/chart" uri="{C3380CC4-5D6E-409C-BE32-E72D297353CC}">
              <c16:uniqueId val="{00000000-F1DA-3441-A751-0D06E8AACD1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ET Fifths Order'!$U$8</c:f>
              <c:strCache>
                <c:ptCount val="1"/>
                <c:pt idx="0">
                  <c:v>Difference to ET Fifths in Cents</c:v>
                </c:pt>
              </c:strCache>
            </c:strRef>
          </c:tx>
          <c:spPr>
            <a:solidFill>
              <a:schemeClr val="accent1">
                <a:lumMod val="60000"/>
              </a:schemeClr>
            </a:solidFill>
            <a:ln>
              <a:noFill/>
            </a:ln>
            <a:effectLst/>
          </c:spPr>
          <c:invertIfNegative val="0"/>
          <c:cat>
            <c:strRef>
              <c:f>'Template from ET Fifths Order'!$S$9:$S$21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'Template from ET Fifths Order'!$U$9:$U$21</c:f>
              <c:numCache>
                <c:formatCode>0.00</c:formatCode>
                <c:ptCount val="13"/>
                <c:pt idx="0">
                  <c:v>0</c:v>
                </c:pt>
                <c:pt idx="1">
                  <c:v>-4.1900000000005519</c:v>
                </c:pt>
                <c:pt idx="2">
                  <c:v>-8.3799999999999137</c:v>
                </c:pt>
                <c:pt idx="3">
                  <c:v>-12.570000000000066</c:v>
                </c:pt>
                <c:pt idx="4">
                  <c:v>-16.75999999999965</c:v>
                </c:pt>
                <c:pt idx="5">
                  <c:v>-20.950000000000252</c:v>
                </c:pt>
                <c:pt idx="6">
                  <c:v>-25.139999999999706</c:v>
                </c:pt>
                <c:pt idx="7">
                  <c:v>-29.329999999999462</c:v>
                </c:pt>
                <c:pt idx="8">
                  <c:v>16.759999999999277</c:v>
                </c:pt>
                <c:pt idx="9">
                  <c:v>12.569999999999583</c:v>
                </c:pt>
                <c:pt idx="10">
                  <c:v>8.3799999999995176</c:v>
                </c:pt>
                <c:pt idx="11">
                  <c:v>4.1899999999994915</c:v>
                </c:pt>
                <c:pt idx="12">
                  <c:v>-1.1532335413733707E-12</c:v>
                </c:pt>
              </c:numCache>
            </c:numRef>
          </c:val>
          <c:extLst>
            <c:ext xmlns:c16="http://schemas.microsoft.com/office/drawing/2014/chart" uri="{C3380CC4-5D6E-409C-BE32-E72D297353CC}">
              <c16:uniqueId val="{00000000-F233-0242-BCFE-2BFBE7E3AF3D}"/>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ET Scale Order'!$Q$8</c:f>
              <c:strCache>
                <c:ptCount val="1"/>
                <c:pt idx="0">
                  <c:v>Difference to ET Scale in Cents</c:v>
                </c:pt>
              </c:strCache>
            </c:strRef>
          </c:tx>
          <c:spPr>
            <a:solidFill>
              <a:schemeClr val="accent1">
                <a:lumMod val="60000"/>
              </a:schemeClr>
            </a:solidFill>
            <a:ln>
              <a:noFill/>
            </a:ln>
            <a:effectLst/>
          </c:spPr>
          <c:invertIfNegative val="0"/>
          <c:cat>
            <c:strRef>
              <c:f>'Template from ET Scale Order'!$O$9:$O$21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from ET Scale Order'!$Q$9:$Q$21</c:f>
              <c:numCache>
                <c:formatCode>0.00</c:formatCode>
                <c:ptCount val="13"/>
                <c:pt idx="0">
                  <c:v>0</c:v>
                </c:pt>
                <c:pt idx="1">
                  <c:v>-9.7750043269365463</c:v>
                </c:pt>
                <c:pt idx="2">
                  <c:v>-7.8200034615493044</c:v>
                </c:pt>
                <c:pt idx="3">
                  <c:v>-5.8650025961618883</c:v>
                </c:pt>
                <c:pt idx="4">
                  <c:v>-9.7750043269369336</c:v>
                </c:pt>
                <c:pt idx="5">
                  <c:v>-1.955000865387585</c:v>
                </c:pt>
                <c:pt idx="6">
                  <c:v>-11.730005192324436</c:v>
                </c:pt>
                <c:pt idx="7">
                  <c:v>-3.910001730775059</c:v>
                </c:pt>
                <c:pt idx="8">
                  <c:v>-7.8200034615498835</c:v>
                </c:pt>
                <c:pt idx="9">
                  <c:v>-11.730005192325208</c:v>
                </c:pt>
                <c:pt idx="10">
                  <c:v>-3.910001730775444</c:v>
                </c:pt>
                <c:pt idx="11">
                  <c:v>-7.8200034615498835</c:v>
                </c:pt>
                <c:pt idx="12">
                  <c:v>-7.6882236091558047E-13</c:v>
                </c:pt>
              </c:numCache>
            </c:numRef>
          </c:val>
          <c:extLst>
            <c:ext xmlns:c16="http://schemas.microsoft.com/office/drawing/2014/chart" uri="{C3380CC4-5D6E-409C-BE32-E72D297353CC}">
              <c16:uniqueId val="{00000000-BCFD-0E49-9E11-BBFCB77181D5}"/>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'Bergmann, Leipzig 10, 2025'!$M$21</c:f>
          <c:strCache>
            <c:ptCount val="1"/>
            <c:pt idx="0">
              <c:v>Bergmann, Leipzig 10, 2025 Fret Size cents vs. Bendeler 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'Bergmann, Leipzig 10, 2025'!$F$5</c:f>
              <c:strCache>
                <c:ptCount val="1"/>
                <c:pt idx="0">
                  <c:v>Bergmann, Leipzig 10, 2025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2025'!$F$6:$F$20</c:f>
              <c:numCache>
                <c:formatCode>0.00</c:formatCode>
                <c:ptCount val="15"/>
                <c:pt idx="0">
                  <c:v>103.19039942679643</c:v>
                </c:pt>
                <c:pt idx="1">
                  <c:v>94.220650529757748</c:v>
                </c:pt>
                <c:pt idx="2">
                  <c:v>101.77591540366805</c:v>
                </c:pt>
                <c:pt idx="3">
                  <c:v>93.603014401527801</c:v>
                </c:pt>
                <c:pt idx="4">
                  <c:v>97.45448217259603</c:v>
                </c:pt>
                <c:pt idx="5">
                  <c:v>98.465059058982703</c:v>
                </c:pt>
                <c:pt idx="6">
                  <c:v>93.350592727381127</c:v>
                </c:pt>
                <c:pt idx="7">
                  <c:v>107.43746590988216</c:v>
                </c:pt>
                <c:pt idx="8">
                  <c:v>97.936518664382362</c:v>
                </c:pt>
                <c:pt idx="9">
                  <c:v>91.829390591992194</c:v>
                </c:pt>
                <c:pt idx="10">
                  <c:v>101.01730431647708</c:v>
                </c:pt>
                <c:pt idx="11">
                  <c:v>103.98525870501851</c:v>
                </c:pt>
                <c:pt idx="12">
                  <c:v>98.954592230367567</c:v>
                </c:pt>
                <c:pt idx="13">
                  <c:v>90.608505511254805</c:v>
                </c:pt>
                <c:pt idx="14">
                  <c:v>91.43955105767877</c:v>
                </c:pt>
              </c:numCache>
            </c:numRef>
          </c:val>
          <c:smooth val="0"/>
          <c:extLst>
            <c:ext xmlns:c16="http://schemas.microsoft.com/office/drawing/2014/chart" uri="{C3380CC4-5D6E-409C-BE32-E72D297353CC}">
              <c16:uniqueId val="{00000000-678C-AD4D-A38A-26FCAF4AD03C}"/>
            </c:ext>
          </c:extLst>
        </c:ser>
        <c:ser>
          <c:idx val="1"/>
          <c:order val="1"/>
          <c:tx>
            <c:strRef>
              <c:f>'Bergmann, Leipzig 10, 2025'!$M$3</c:f>
              <c:strCache>
                <c:ptCount val="1"/>
                <c:pt idx="0">
                  <c:v>BDO Any</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2025'!$O$6:$O$20</c:f>
              <c:numCache>
                <c:formatCode>0.00</c:formatCode>
                <c:ptCount val="15"/>
                <c:pt idx="0">
                  <c:v>102.00000000000013</c:v>
                </c:pt>
                <c:pt idx="1">
                  <c:v>95.999999999999815</c:v>
                </c:pt>
                <c:pt idx="2">
                  <c:v>102.00000000000047</c:v>
                </c:pt>
                <c:pt idx="3">
                  <c:v>95.999999999999815</c:v>
                </c:pt>
                <c:pt idx="4">
                  <c:v>95.999999999999815</c:v>
                </c:pt>
                <c:pt idx="5">
                  <c:v>102.00000000000013</c:v>
                </c:pt>
                <c:pt idx="6">
                  <c:v>95.999999999999815</c:v>
                </c:pt>
                <c:pt idx="7">
                  <c:v>102.00000000000047</c:v>
                </c:pt>
                <c:pt idx="8">
                  <c:v>95.999999999999815</c:v>
                </c:pt>
                <c:pt idx="9">
                  <c:v>95.999999999999815</c:v>
                </c:pt>
                <c:pt idx="10">
                  <c:v>102.00000000000013</c:v>
                </c:pt>
                <c:pt idx="11">
                  <c:v>102.00000000000013</c:v>
                </c:pt>
                <c:pt idx="12">
                  <c:v>102.00000000000013</c:v>
                </c:pt>
                <c:pt idx="13">
                  <c:v>95.999999999999474</c:v>
                </c:pt>
                <c:pt idx="14">
                  <c:v>95.999999999999815</c:v>
                </c:pt>
              </c:numCache>
            </c:numRef>
          </c:val>
          <c:smooth val="0"/>
          <c:extLst>
            <c:ext xmlns:c16="http://schemas.microsoft.com/office/drawing/2014/chart" uri="{C3380CC4-5D6E-409C-BE32-E72D297353CC}">
              <c16:uniqueId val="{00000001-678C-AD4D-A38A-26FCAF4AD03C}"/>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8697376"/>
        <c:crosses val="autoZero"/>
        <c:auto val="1"/>
        <c:lblAlgn val="ctr"/>
        <c:lblOffset val="100"/>
        <c:noMultiLvlLbl val="0"/>
      </c:catAx>
      <c:valAx>
        <c:axId val="208697376"/>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'Template from ET Scale Order'!$T$8</c:f>
              <c:strCache>
                <c:ptCount val="1"/>
                <c:pt idx="0">
                  <c:v>Difference to ET Fifths in Cents</c:v>
                </c:pt>
              </c:strCache>
            </c:strRef>
          </c:tx>
          <c:spPr>
            <a:solidFill>
              <a:schemeClr val="accent1">
                <a:lumMod val="60000"/>
              </a:schemeClr>
            </a:solidFill>
            <a:ln>
              <a:noFill/>
            </a:ln>
            <a:effectLst/>
          </c:spPr>
          <c:invertIfNegative val="0"/>
          <c:cat>
            <c:strRef>
              <c:f>'Template from ET Scale Order'!$R$9:$R$21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'Template from ET Scale Order'!$T$9:$T$21</c:f>
              <c:numCache>
                <c:formatCode>0.00</c:formatCode>
                <c:ptCount val="13"/>
                <c:pt idx="0">
                  <c:v>0</c:v>
                </c:pt>
                <c:pt idx="1">
                  <c:v>-3.910001730775059</c:v>
                </c:pt>
                <c:pt idx="2">
                  <c:v>-7.8200034615493044</c:v>
                </c:pt>
                <c:pt idx="3">
                  <c:v>-11.730005192325208</c:v>
                </c:pt>
                <c:pt idx="4">
                  <c:v>-9.7750043269369336</c:v>
                </c:pt>
                <c:pt idx="5">
                  <c:v>-7.8200034615498835</c:v>
                </c:pt>
                <c:pt idx="6">
                  <c:v>-11.730005192324436</c:v>
                </c:pt>
                <c:pt idx="7">
                  <c:v>-9.7750043269365463</c:v>
                </c:pt>
                <c:pt idx="8">
                  <c:v>-7.8200034615498835</c:v>
                </c:pt>
                <c:pt idx="9">
                  <c:v>-5.8650025961618883</c:v>
                </c:pt>
                <c:pt idx="10">
                  <c:v>-3.910001730775444</c:v>
                </c:pt>
                <c:pt idx="11">
                  <c:v>-1.955000865387585</c:v>
                </c:pt>
                <c:pt idx="12">
                  <c:v>-7.6882236091558047E-13</c:v>
                </c:pt>
              </c:numCache>
            </c:numRef>
          </c:val>
          <c:extLst>
            <c:ext xmlns:c16="http://schemas.microsoft.com/office/drawing/2014/chart" uri="{C3380CC4-5D6E-409C-BE32-E72D297353CC}">
              <c16:uniqueId val="{00000000-9845-C74A-A8E6-FD74D88B5DDA}"/>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'Bergmann, Leipzig 10, 2025'!$W$21</c:f>
          <c:strCache>
            <c:ptCount val="1"/>
            <c:pt idx="0">
              <c:v>Bergmann, Leipzig 10, 2025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'Bergmann, Leipzig 10, 2025'!$F$5</c:f>
              <c:strCache>
                <c:ptCount val="1"/>
                <c:pt idx="0">
                  <c:v>Bergmann, Leipzig 10, 2025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2025'!$F$6:$F$20</c:f>
              <c:numCache>
                <c:formatCode>0.00</c:formatCode>
                <c:ptCount val="15"/>
                <c:pt idx="0">
                  <c:v>103.19039942679643</c:v>
                </c:pt>
                <c:pt idx="1">
                  <c:v>94.220650529757748</c:v>
                </c:pt>
                <c:pt idx="2">
                  <c:v>101.77591540366805</c:v>
                </c:pt>
                <c:pt idx="3">
                  <c:v>93.603014401527801</c:v>
                </c:pt>
                <c:pt idx="4">
                  <c:v>97.45448217259603</c:v>
                </c:pt>
                <c:pt idx="5">
                  <c:v>98.465059058982703</c:v>
                </c:pt>
                <c:pt idx="6">
                  <c:v>93.350592727381127</c:v>
                </c:pt>
                <c:pt idx="7">
                  <c:v>107.43746590988216</c:v>
                </c:pt>
                <c:pt idx="8">
                  <c:v>97.936518664382362</c:v>
                </c:pt>
                <c:pt idx="9">
                  <c:v>91.829390591992194</c:v>
                </c:pt>
                <c:pt idx="10">
                  <c:v>101.01730431647708</c:v>
                </c:pt>
                <c:pt idx="11">
                  <c:v>103.98525870501851</c:v>
                </c:pt>
                <c:pt idx="12">
                  <c:v>98.954592230367567</c:v>
                </c:pt>
                <c:pt idx="13">
                  <c:v>90.608505511254805</c:v>
                </c:pt>
                <c:pt idx="14">
                  <c:v>91.43955105767877</c:v>
                </c:pt>
              </c:numCache>
            </c:numRef>
          </c:val>
          <c:smooth val="0"/>
          <c:extLst>
            <c:ext xmlns:c16="http://schemas.microsoft.com/office/drawing/2014/chart" uri="{C3380CC4-5D6E-409C-BE32-E72D297353CC}">
              <c16:uniqueId val="{00000000-2FD4-9045-9916-7FCB1D47647C}"/>
            </c:ext>
          </c:extLst>
        </c:ser>
        <c:ser>
          <c:idx val="1"/>
          <c:order val="1"/>
          <c:tx>
            <c:strRef>
              <c:f>'Bergmann, Leipzig 10, 2025'!$W$3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2025'!$Y$6:$Y$20</c:f>
              <c:numCache>
                <c:formatCode>0.00</c:formatCode>
                <c:ptCount val="15"/>
                <c:pt idx="0">
                  <c:v>100.00000000000007</c:v>
                </c:pt>
                <c:pt idx="1">
                  <c:v>100.00000000000007</c:v>
                </c:pt>
                <c:pt idx="2">
                  <c:v>99.99999999999973</c:v>
                </c:pt>
                <c:pt idx="3">
                  <c:v>100.00000000000007</c:v>
                </c:pt>
                <c:pt idx="4">
                  <c:v>100.00000000000007</c:v>
                </c:pt>
                <c:pt idx="5">
                  <c:v>100.00000000000007</c:v>
                </c:pt>
                <c:pt idx="6">
                  <c:v>100.00000000000007</c:v>
                </c:pt>
                <c:pt idx="7">
                  <c:v>99.99999999999973</c:v>
                </c:pt>
                <c:pt idx="8">
                  <c:v>100.00000000000007</c:v>
                </c:pt>
                <c:pt idx="9">
                  <c:v>100.00000000000007</c:v>
                </c:pt>
                <c:pt idx="10">
                  <c:v>99.99999999999973</c:v>
                </c:pt>
                <c:pt idx="11">
                  <c:v>100.00000000000007</c:v>
                </c:pt>
                <c:pt idx="12">
                  <c:v>99.99999999999973</c:v>
                </c:pt>
                <c:pt idx="13">
                  <c:v>100.00000000000007</c:v>
                </c:pt>
                <c:pt idx="14">
                  <c:v>100.00000000000007</c:v>
                </c:pt>
              </c:numCache>
            </c:numRef>
          </c:val>
          <c:smooth val="0"/>
          <c:extLst>
            <c:ext xmlns:c16="http://schemas.microsoft.com/office/drawing/2014/chart" uri="{C3380CC4-5D6E-409C-BE32-E72D297353CC}">
              <c16:uniqueId val="{00000001-2FD4-9045-9916-7FCB1D47647C}"/>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40265712"/>
        <c:crosses val="autoZero"/>
        <c:auto val="1"/>
        <c:lblAlgn val="ctr"/>
        <c:lblOffset val="100"/>
        <c:noMultiLvlLbl val="0"/>
      </c:catAx>
      <c:valAx>
        <c:axId val="240265712"/>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'Bergmann, Leipzig 10, 2025'!$R$21</c:f>
          <c:strCache>
            <c:ptCount val="1"/>
            <c:pt idx="0">
              <c:v>Bergmann, Leipzig 10, 2025 Fret Size cents vs. Neidhardt 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'Bergmann, Leipzig 10, 2025'!$F$5</c:f>
              <c:strCache>
                <c:ptCount val="1"/>
                <c:pt idx="0">
                  <c:v>Bergmann, Leipzig 10, 2025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2025'!$F$6:$F$20</c:f>
              <c:numCache>
                <c:formatCode>0.00</c:formatCode>
                <c:ptCount val="15"/>
                <c:pt idx="0">
                  <c:v>103.19039942679643</c:v>
                </c:pt>
                <c:pt idx="1">
                  <c:v>94.220650529757748</c:v>
                </c:pt>
                <c:pt idx="2">
                  <c:v>101.77591540366805</c:v>
                </c:pt>
                <c:pt idx="3">
                  <c:v>93.603014401527801</c:v>
                </c:pt>
                <c:pt idx="4">
                  <c:v>97.45448217259603</c:v>
                </c:pt>
                <c:pt idx="5">
                  <c:v>98.465059058982703</c:v>
                </c:pt>
                <c:pt idx="6">
                  <c:v>93.350592727381127</c:v>
                </c:pt>
                <c:pt idx="7">
                  <c:v>107.43746590988216</c:v>
                </c:pt>
                <c:pt idx="8">
                  <c:v>97.936518664382362</c:v>
                </c:pt>
                <c:pt idx="9">
                  <c:v>91.829390591992194</c:v>
                </c:pt>
                <c:pt idx="10">
                  <c:v>101.01730431647708</c:v>
                </c:pt>
                <c:pt idx="11">
                  <c:v>103.98525870501851</c:v>
                </c:pt>
                <c:pt idx="12">
                  <c:v>98.954592230367567</c:v>
                </c:pt>
                <c:pt idx="13">
                  <c:v>90.608505511254805</c:v>
                </c:pt>
                <c:pt idx="14">
                  <c:v>91.43955105767877</c:v>
                </c:pt>
              </c:numCache>
            </c:numRef>
          </c:val>
          <c:smooth val="0"/>
          <c:extLst>
            <c:ext xmlns:c16="http://schemas.microsoft.com/office/drawing/2014/chart" uri="{C3380CC4-5D6E-409C-BE32-E72D297353CC}">
              <c16:uniqueId val="{00000000-8E6A-544A-BFD8-305EC954EACE}"/>
            </c:ext>
          </c:extLst>
        </c:ser>
        <c:ser>
          <c:idx val="1"/>
          <c:order val="1"/>
          <c:tx>
            <c:strRef>
              <c:f>'Bergmann, Leipzig 10, 2025'!$R$3</c:f>
              <c:strCache>
                <c:ptCount val="1"/>
                <c:pt idx="0">
                  <c:v>Neidhardt 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'Bergmann, Leipzig 10, 2025'!$B$6:$B$20</c:f>
              <c:strCache>
                <c:ptCount val="15"/>
                <c:pt idx="0">
                  <c:v>D#</c:v>
                </c:pt>
                <c:pt idx="1">
                  <c:v>F</c:v>
                </c:pt>
                <c:pt idx="2">
                  <c:v>G</c:v>
                </c:pt>
                <c:pt idx="3">
                  <c:v>A#</c:v>
                </c:pt>
                <c:pt idx="4">
                  <c:v>C</c:v>
                </c:pt>
                <c:pt idx="5">
                  <c:v>D#</c:v>
                </c:pt>
                <c:pt idx="6">
                  <c:v>F</c:v>
                </c:pt>
                <c:pt idx="7">
                  <c:v>G</c:v>
                </c:pt>
                <c:pt idx="8">
                  <c:v>A#</c:v>
                </c:pt>
                <c:pt idx="9">
                  <c:v>C</c:v>
                </c:pt>
                <c:pt idx="10">
                  <c:v>D</c:v>
                </c:pt>
                <c:pt idx="11">
                  <c:v>E</c:v>
                </c:pt>
                <c:pt idx="12">
                  <c:v>F#</c:v>
                </c:pt>
                <c:pt idx="13">
                  <c:v>G#</c:v>
                </c:pt>
                <c:pt idx="14">
                  <c:v>A#</c:v>
                </c:pt>
              </c:strCache>
            </c:strRef>
          </c:cat>
          <c:val>
            <c:numRef>
              <c:f>'Bergmann, Leipzig 10, 2025'!$T$6:$T$20</c:f>
              <c:numCache>
                <c:formatCode>0.00</c:formatCode>
                <c:ptCount val="15"/>
                <c:pt idx="0">
                  <c:v>98.044999134612695</c:v>
                </c:pt>
                <c:pt idx="1">
                  <c:v>96.089998269225319</c:v>
                </c:pt>
                <c:pt idx="2">
                  <c:v>101.95500086538728</c:v>
                </c:pt>
                <c:pt idx="3">
                  <c:v>98.044999134612695</c:v>
                </c:pt>
                <c:pt idx="4">
                  <c:v>98.044999134612695</c:v>
                </c:pt>
                <c:pt idx="5">
                  <c:v>98.044999134612695</c:v>
                </c:pt>
                <c:pt idx="6">
                  <c:v>96.089998269225319</c:v>
                </c:pt>
                <c:pt idx="7">
                  <c:v>101.95500086538728</c:v>
                </c:pt>
                <c:pt idx="8">
                  <c:v>98.044999134612695</c:v>
                </c:pt>
                <c:pt idx="9">
                  <c:v>98.044999134612695</c:v>
                </c:pt>
                <c:pt idx="10">
                  <c:v>103.91000173077481</c:v>
                </c:pt>
                <c:pt idx="11">
                  <c:v>103.91000173077481</c:v>
                </c:pt>
                <c:pt idx="12">
                  <c:v>99.99999999999973</c:v>
                </c:pt>
                <c:pt idx="13">
                  <c:v>96.089998269225319</c:v>
                </c:pt>
                <c:pt idx="14">
                  <c:v>98.044999134612695</c:v>
                </c:pt>
              </c:numCache>
            </c:numRef>
          </c:val>
          <c:smooth val="0"/>
          <c:extLst>
            <c:ext xmlns:c16="http://schemas.microsoft.com/office/drawing/2014/chart" uri="{C3380CC4-5D6E-409C-BE32-E72D297353CC}">
              <c16:uniqueId val="{00000001-8E6A-544A-BFD8-305EC954EACE}"/>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8697376"/>
        <c:crosses val="autoZero"/>
        <c:auto val="1"/>
        <c:lblAlgn val="ctr"/>
        <c:lblOffset val="100"/>
        <c:noMultiLvlLbl val="0"/>
      </c:catAx>
      <c:valAx>
        <c:axId val="208697376"/>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'Anon., Leipzig 10, ~1700'!$H$24</c:f>
          <c:strCache>
            <c:ptCount val="1"/>
            <c:pt idx="0">
              <c:v>Anon., Leipzig 10, ~1700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'Anon., Leipzig 10, ~1700'!$F$5</c:f>
              <c:strCache>
                <c:ptCount val="1"/>
                <c:pt idx="0">
                  <c:v>Anon., Leipzig 10,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~1700'!$F$6:$F$23</c:f>
              <c:numCache>
                <c:formatCode>0.00</c:formatCode>
                <c:ptCount val="18"/>
                <c:pt idx="0">
                  <c:v>56.044840148929765</c:v>
                </c:pt>
                <c:pt idx="1">
                  <c:v>52.561233436331733</c:v>
                </c:pt>
                <c:pt idx="2">
                  <c:v>80.869038876130247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9F11-824D-BC4B-F64EC7D74FB2}"/>
            </c:ext>
          </c:extLst>
        </c:ser>
        <c:ser>
          <c:idx val="1"/>
          <c:order val="1"/>
          <c:tx>
            <c:strRef>
              <c:f>'Anon., Leipzig 10, ~1700'!$H$3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~1700'!$J$6:$J$23</c:f>
              <c:numCache>
                <c:formatCode>0.00</c:formatCode>
                <c:ptCount val="18"/>
                <c:pt idx="0">
                  <c:v>90.224995673063063</c:v>
                </c:pt>
                <c:pt idx="1">
                  <c:v>96.089998269225319</c:v>
                </c:pt>
                <c:pt idx="2">
                  <c:v>90.224995673063063</c:v>
                </c:pt>
                <c:pt idx="3">
                  <c:v>96.089998269224949</c:v>
                </c:pt>
                <c:pt idx="4">
                  <c:v>90.224995673063063</c:v>
                </c:pt>
                <c:pt idx="5">
                  <c:v>96.089998269225319</c:v>
                </c:pt>
                <c:pt idx="6">
                  <c:v>96.089998269224949</c:v>
                </c:pt>
                <c:pt idx="7">
                  <c:v>90.224995673063063</c:v>
                </c:pt>
                <c:pt idx="8">
                  <c:v>96.089998269224949</c:v>
                </c:pt>
                <c:pt idx="9">
                  <c:v>90.224995673063063</c:v>
                </c:pt>
                <c:pt idx="10">
                  <c:v>96.089998269225319</c:v>
                </c:pt>
                <c:pt idx="11">
                  <c:v>96.089998269224949</c:v>
                </c:pt>
                <c:pt idx="12">
                  <c:v>90.224995673063063</c:v>
                </c:pt>
                <c:pt idx="13">
                  <c:v>101.95500086538762</c:v>
                </c:pt>
                <c:pt idx="14">
                  <c:v>107.82000346154977</c:v>
                </c:pt>
                <c:pt idx="15">
                  <c:v>107.82000346154942</c:v>
                </c:pt>
                <c:pt idx="16">
                  <c:v>96.089998269224949</c:v>
                </c:pt>
                <c:pt idx="17">
                  <c:v>96.089998269224949</c:v>
                </c:pt>
              </c:numCache>
            </c:numRef>
          </c:val>
          <c:smooth val="0"/>
          <c:extLst>
            <c:ext xmlns:c16="http://schemas.microsoft.com/office/drawing/2014/chart" uri="{C3380CC4-5D6E-409C-BE32-E72D297353CC}">
              <c16:uniqueId val="{00000001-9F11-824D-BC4B-F64EC7D74FB2}"/>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'Anon., Leipzig 10, ~1700'!$M$24</c:f>
          <c:strCache>
            <c:ptCount val="1"/>
            <c:pt idx="0">
              <c:v>Anon., Leipzig 10, ~1700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'Anon., Leipzig 10, ~1700'!$F$5</c:f>
              <c:strCache>
                <c:ptCount val="1"/>
                <c:pt idx="0">
                  <c:v>Anon., Leipzig 10,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~1700'!$F$6:$F$23</c:f>
              <c:numCache>
                <c:formatCode>0.00</c:formatCode>
                <c:ptCount val="18"/>
                <c:pt idx="0">
                  <c:v>56.044840148929765</c:v>
                </c:pt>
                <c:pt idx="1">
                  <c:v>52.561233436331733</c:v>
                </c:pt>
                <c:pt idx="2">
                  <c:v>80.869038876130247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04C0-E64D-A28D-A99D3269A83A}"/>
            </c:ext>
          </c:extLst>
        </c:ser>
        <c:ser>
          <c:idx val="1"/>
          <c:order val="1"/>
          <c:tx>
            <c:strRef>
              <c:f>'Anon., Leipzig 10, ~1700'!$M$3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~1700'!$O$6:$O$23</c:f>
              <c:numCache>
                <c:formatCode>0.00</c:formatCode>
                <c:ptCount val="18"/>
                <c:pt idx="0">
                  <c:v>117.10785766895694</c:v>
                </c:pt>
                <c:pt idx="1">
                  <c:v>76.048999263460743</c:v>
                </c:pt>
                <c:pt idx="2">
                  <c:v>76.048999263460743</c:v>
                </c:pt>
                <c:pt idx="3">
                  <c:v>117.1078576689566</c:v>
                </c:pt>
                <c:pt idx="4">
                  <c:v>117.10785766895694</c:v>
                </c:pt>
                <c:pt idx="5">
                  <c:v>76.048999263460743</c:v>
                </c:pt>
                <c:pt idx="6">
                  <c:v>117.10785766895694</c:v>
                </c:pt>
                <c:pt idx="7">
                  <c:v>76.048999263460743</c:v>
                </c:pt>
                <c:pt idx="8">
                  <c:v>117.1078576689566</c:v>
                </c:pt>
                <c:pt idx="9">
                  <c:v>117.10785766895694</c:v>
                </c:pt>
                <c:pt idx="10">
                  <c:v>76.048999263460743</c:v>
                </c:pt>
                <c:pt idx="11">
                  <c:v>117.10785766895694</c:v>
                </c:pt>
                <c:pt idx="12">
                  <c:v>76.048999263460743</c:v>
                </c:pt>
                <c:pt idx="13">
                  <c:v>76.048999263460388</c:v>
                </c:pt>
                <c:pt idx="14">
                  <c:v>76.048999263460388</c:v>
                </c:pt>
                <c:pt idx="15">
                  <c:v>117.1078576689566</c:v>
                </c:pt>
                <c:pt idx="16">
                  <c:v>117.1078576689566</c:v>
                </c:pt>
                <c:pt idx="17">
                  <c:v>117.10785766895694</c:v>
                </c:pt>
              </c:numCache>
            </c:numRef>
          </c:val>
          <c:smooth val="0"/>
          <c:extLst>
            <c:ext xmlns:c16="http://schemas.microsoft.com/office/drawing/2014/chart" uri="{C3380CC4-5D6E-409C-BE32-E72D297353CC}">
              <c16:uniqueId val="{00000001-04C0-E64D-A28D-A99D3269A83A}"/>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'Anon., Leipzig 10, ~1700'!$W$24</c:f>
          <c:strCache>
            <c:ptCount val="1"/>
            <c:pt idx="0">
              <c:v>Anon., Leipzig 10, ~1700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'Anon., Leipzig 10, ~1700'!$F$5</c:f>
              <c:strCache>
                <c:ptCount val="1"/>
                <c:pt idx="0">
                  <c:v>Anon., Leipzig 10,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~1700'!$F$6:$F$23</c:f>
              <c:numCache>
                <c:formatCode>0.00</c:formatCode>
                <c:ptCount val="18"/>
                <c:pt idx="0">
                  <c:v>56.044840148929765</c:v>
                </c:pt>
                <c:pt idx="1">
                  <c:v>52.561233436331733</c:v>
                </c:pt>
                <c:pt idx="2">
                  <c:v>80.869038876130247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C678-FA4A-A996-BDC45C68BA89}"/>
            </c:ext>
          </c:extLst>
        </c:ser>
        <c:ser>
          <c:idx val="1"/>
          <c:order val="1"/>
          <c:tx>
            <c:strRef>
              <c:f>'Anon., Leipzig 10, ~1700'!$W$3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~1700'!$Y$6:$Y$23</c:f>
              <c:numCache>
                <c:formatCode>0.00</c:formatCode>
                <c:ptCount val="18"/>
                <c:pt idx="0">
                  <c:v>100.00000000000007</c:v>
                </c:pt>
                <c:pt idx="1">
                  <c:v>99.99999999999973</c:v>
                </c:pt>
                <c:pt idx="2">
                  <c:v>100.00000000000007</c:v>
                </c:pt>
                <c:pt idx="3">
                  <c:v>100.00000000000007</c:v>
                </c:pt>
                <c:pt idx="4">
                  <c:v>100.00000000000007</c:v>
                </c:pt>
                <c:pt idx="5">
                  <c:v>99.99999999999973</c:v>
                </c:pt>
                <c:pt idx="6">
                  <c:v>100.00000000000007</c:v>
                </c:pt>
                <c:pt idx="7">
                  <c:v>100.00000000000007</c:v>
                </c:pt>
                <c:pt idx="8">
                  <c:v>100.00000000000007</c:v>
                </c:pt>
                <c:pt idx="9">
                  <c:v>100.00000000000007</c:v>
                </c:pt>
                <c:pt idx="10">
                  <c:v>99.99999999999973</c:v>
                </c:pt>
                <c:pt idx="11">
                  <c:v>100.00000000000007</c:v>
                </c:pt>
                <c:pt idx="12">
                  <c:v>100.00000000000007</c:v>
                </c:pt>
                <c:pt idx="13">
                  <c:v>99.99999999999973</c:v>
                </c:pt>
                <c:pt idx="14">
                  <c:v>100.00000000000007</c:v>
                </c:pt>
                <c:pt idx="15">
                  <c:v>99.99999999999973</c:v>
                </c:pt>
                <c:pt idx="16">
                  <c:v>100.00000000000007</c:v>
                </c:pt>
                <c:pt idx="17">
                  <c:v>100.00000000000007</c:v>
                </c:pt>
              </c:numCache>
            </c:numRef>
          </c:val>
          <c:smooth val="0"/>
          <c:extLst>
            <c:ext xmlns:c16="http://schemas.microsoft.com/office/drawing/2014/chart" uri="{C3380CC4-5D6E-409C-BE32-E72D297353CC}">
              <c16:uniqueId val="{00000001-C678-FA4A-A996-BDC45C68BA89}"/>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'Anon., Leipzig 10, ~1700'!$R$24</c:f>
          <c:strCache>
            <c:ptCount val="1"/>
            <c:pt idx="0">
              <c:v>Anon., Leipzig 10, ~1700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'Anon., Leipzig 10, ~1700'!$F$5</c:f>
              <c:strCache>
                <c:ptCount val="1"/>
                <c:pt idx="0">
                  <c:v>Anon., Leipzig 10,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~1700'!$F$6:$F$23</c:f>
              <c:numCache>
                <c:formatCode>0.00</c:formatCode>
                <c:ptCount val="18"/>
                <c:pt idx="0">
                  <c:v>56.044840148929765</c:v>
                </c:pt>
                <c:pt idx="1">
                  <c:v>52.561233436331733</c:v>
                </c:pt>
                <c:pt idx="2">
                  <c:v>80.869038876130247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EBF2-2E48-987C-D83179926EE7}"/>
            </c:ext>
          </c:extLst>
        </c:ser>
        <c:ser>
          <c:idx val="1"/>
          <c:order val="1"/>
          <c:tx>
            <c:strRef>
              <c:f>'Anon., Leipzig 10, ~1700'!$R$3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'Anon., Leipzig 10, ~1700'!$B$6:$B$23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'Anon., Leipzig 10, ~1700'!$T$6:$T$23</c:f>
              <c:numCache>
                <c:formatCode>0.00</c:formatCode>
                <c:ptCount val="18"/>
                <c:pt idx="0">
                  <c:v>76.048999263460743</c:v>
                </c:pt>
                <c:pt idx="1">
                  <c:v>76.048999263460743</c:v>
                </c:pt>
                <c:pt idx="2">
                  <c:v>76.048999263460743</c:v>
                </c:pt>
                <c:pt idx="3">
                  <c:v>117.1078576689566</c:v>
                </c:pt>
                <c:pt idx="4">
                  <c:v>76.048999263460743</c:v>
                </c:pt>
                <c:pt idx="5">
                  <c:v>76.048999263460743</c:v>
                </c:pt>
                <c:pt idx="6">
                  <c:v>76.048999263461113</c:v>
                </c:pt>
                <c:pt idx="7">
                  <c:v>76.048999263460743</c:v>
                </c:pt>
                <c:pt idx="8">
                  <c:v>117.1078576689566</c:v>
                </c:pt>
                <c:pt idx="9">
                  <c:v>76.048999263460743</c:v>
                </c:pt>
                <c:pt idx="10">
                  <c:v>76.048999263460743</c:v>
                </c:pt>
                <c:pt idx="11">
                  <c:v>76.048999263461113</c:v>
                </c:pt>
                <c:pt idx="12">
                  <c:v>76.048999263460743</c:v>
                </c:pt>
                <c:pt idx="13">
                  <c:v>76.048999263460388</c:v>
                </c:pt>
                <c:pt idx="14">
                  <c:v>117.1078576689566</c:v>
                </c:pt>
                <c:pt idx="15">
                  <c:v>117.1078576689566</c:v>
                </c:pt>
                <c:pt idx="16">
                  <c:v>117.1078576689566</c:v>
                </c:pt>
                <c:pt idx="17">
                  <c:v>76.048999263461113</c:v>
                </c:pt>
              </c:numCache>
            </c:numRef>
          </c:val>
          <c:smooth val="0"/>
          <c:extLst>
            <c:ext xmlns:c16="http://schemas.microsoft.com/office/drawing/2014/chart" uri="{C3380CC4-5D6E-409C-BE32-E72D297353CC}">
              <c16:uniqueId val="{00000001-EBF2-2E48-987C-D83179926EE7}"/>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'Gellinger, Namur, 1670'!$H$31</c:f>
          <c:strCache>
            <c:ptCount val="1"/>
            <c:pt idx="0">
              <c:v>Gellinger, Namur, 1670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'Gellinger, Namur, 1670'!$F$5</c:f>
              <c:strCache>
                <c:ptCount val="1"/>
                <c:pt idx="0">
                  <c:v>Gellinger, Namur, 1670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1670'!$F$6:$F$30</c:f>
              <c:numCache>
                <c:formatCode>0.00</c:formatCode>
                <c:ptCount val="25"/>
                <c:pt idx="0">
                  <c:v>72.497712622305187</c:v>
                </c:pt>
                <c:pt idx="1">
                  <c:v>80.835539099999068</c:v>
                </c:pt>
                <c:pt idx="2">
                  <c:v>113.7666259662207</c:v>
                </c:pt>
                <c:pt idx="3">
                  <c:v>69.374252050412878</c:v>
                </c:pt>
                <c:pt idx="4">
                  <c:v>89.274510821946762</c:v>
                </c:pt>
                <c:pt idx="5">
                  <c:v>114.26048082416712</c:v>
                </c:pt>
                <c:pt idx="6">
                  <c:v>111.73128526977776</c:v>
                </c:pt>
                <c:pt idx="7">
                  <c:v>109.65626976884552</c:v>
                </c:pt>
                <c:pt idx="8">
                  <c:v>104.7064006471817</c:v>
                </c:pt>
                <c:pt idx="9">
                  <c:v>77.918682761275704</c:v>
                </c:pt>
                <c:pt idx="10">
                  <c:v>101.594876483261</c:v>
                </c:pt>
                <c:pt idx="11">
                  <c:v>90.303287772525422</c:v>
                </c:pt>
                <c:pt idx="12">
                  <c:v>81.639848985616851</c:v>
                </c:pt>
                <c:pt idx="13">
                  <c:v>117.13295595170682</c:v>
                </c:pt>
                <c:pt idx="14">
                  <c:v>119.65456705887433</c:v>
                </c:pt>
                <c:pt idx="15">
                  <c:v>101.38544456449273</c:v>
                </c:pt>
                <c:pt idx="16">
                  <c:v>104.30108481265601</c:v>
                </c:pt>
                <c:pt idx="17">
                  <c:v>83.540656627082299</c:v>
                </c:pt>
                <c:pt idx="18">
                  <c:v>91.797764968852292</c:v>
                </c:pt>
                <c:pt idx="19">
                  <c:v>96.939185659255074</c:v>
                </c:pt>
                <c:pt idx="20">
                  <c:v>86.821013069620804</c:v>
                </c:pt>
                <c:pt idx="21">
                  <c:v>101.86667710381555</c:v>
                </c:pt>
                <c:pt idx="22">
                  <c:v>118.66279741254915</c:v>
                </c:pt>
                <c:pt idx="23">
                  <c:v>102.3984645597147</c:v>
                </c:pt>
                <c:pt idx="24">
                  <c:v>108.23737076589377</c:v>
                </c:pt>
              </c:numCache>
            </c:numRef>
          </c:val>
          <c:smooth val="0"/>
          <c:extLst>
            <c:ext xmlns:c16="http://schemas.microsoft.com/office/drawing/2014/chart" uri="{C3380CC4-5D6E-409C-BE32-E72D297353CC}">
              <c16:uniqueId val="{00000000-64D5-0D47-B0F2-621EA3E3C056}"/>
            </c:ext>
          </c:extLst>
        </c:ser>
        <c:ser>
          <c:idx val="1"/>
          <c:order val="1"/>
          <c:tx>
            <c:strRef>
              <c:f>'Gellinger, Namur, 1670'!$H$3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1670'!$J$6:$J$30</c:f>
              <c:numCache>
                <c:formatCode>0.00</c:formatCode>
                <c:ptCount val="25"/>
                <c:pt idx="0">
                  <c:v>96.089998269224949</c:v>
                </c:pt>
                <c:pt idx="1">
                  <c:v>90.224995673063063</c:v>
                </c:pt>
                <c:pt idx="2">
                  <c:v>101.95500086538762</c:v>
                </c:pt>
                <c:pt idx="3">
                  <c:v>96.089998269224949</c:v>
                </c:pt>
                <c:pt idx="4">
                  <c:v>90.224995673063063</c:v>
                </c:pt>
                <c:pt idx="5">
                  <c:v>107.82000346154942</c:v>
                </c:pt>
                <c:pt idx="6">
                  <c:v>96.089998269224949</c:v>
                </c:pt>
                <c:pt idx="7">
                  <c:v>107.82000346154977</c:v>
                </c:pt>
                <c:pt idx="8">
                  <c:v>107.82000346154977</c:v>
                </c:pt>
                <c:pt idx="9">
                  <c:v>90.224995673063063</c:v>
                </c:pt>
                <c:pt idx="10">
                  <c:v>101.95500086538762</c:v>
                </c:pt>
                <c:pt idx="11">
                  <c:v>96.089998269224949</c:v>
                </c:pt>
                <c:pt idx="12">
                  <c:v>90.224995673063063</c:v>
                </c:pt>
                <c:pt idx="13">
                  <c:v>107.82000346154942</c:v>
                </c:pt>
                <c:pt idx="14">
                  <c:v>96.089998269224949</c:v>
                </c:pt>
                <c:pt idx="15">
                  <c:v>107.82000346154977</c:v>
                </c:pt>
                <c:pt idx="16">
                  <c:v>107.82000346154977</c:v>
                </c:pt>
                <c:pt idx="17">
                  <c:v>90.224995673063063</c:v>
                </c:pt>
                <c:pt idx="18">
                  <c:v>101.95500086538762</c:v>
                </c:pt>
                <c:pt idx="19">
                  <c:v>96.089998269224949</c:v>
                </c:pt>
                <c:pt idx="20">
                  <c:v>90.224995673063063</c:v>
                </c:pt>
                <c:pt idx="21">
                  <c:v>107.82000346154942</c:v>
                </c:pt>
                <c:pt idx="22">
                  <c:v>96.089998269224949</c:v>
                </c:pt>
                <c:pt idx="23">
                  <c:v>107.82000346154977</c:v>
                </c:pt>
                <c:pt idx="24">
                  <c:v>107.82000346154977</c:v>
                </c:pt>
              </c:numCache>
            </c:numRef>
          </c:val>
          <c:smooth val="0"/>
          <c:extLst>
            <c:ext xmlns:c16="http://schemas.microsoft.com/office/drawing/2014/chart" uri="{C3380CC4-5D6E-409C-BE32-E72D297353CC}">
              <c16:uniqueId val="{00000001-64D5-0D47-B0F2-621EA3E3C056}"/>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'Gellinger, Namur, 1670'!$M$31</c:f>
          <c:strCache>
            <c:ptCount val="1"/>
            <c:pt idx="0">
              <c:v>Gellinger, Namur, 1670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'Gellinger, Namur, 1670'!$F$5</c:f>
              <c:strCache>
                <c:ptCount val="1"/>
                <c:pt idx="0">
                  <c:v>Gellinger, Namur, 1670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1670'!$F$6:$F$30</c:f>
              <c:numCache>
                <c:formatCode>0.00</c:formatCode>
                <c:ptCount val="25"/>
                <c:pt idx="0">
                  <c:v>72.497712622305187</c:v>
                </c:pt>
                <c:pt idx="1">
                  <c:v>80.835539099999068</c:v>
                </c:pt>
                <c:pt idx="2">
                  <c:v>113.7666259662207</c:v>
                </c:pt>
                <c:pt idx="3">
                  <c:v>69.374252050412878</c:v>
                </c:pt>
                <c:pt idx="4">
                  <c:v>89.274510821946762</c:v>
                </c:pt>
                <c:pt idx="5">
                  <c:v>114.26048082416712</c:v>
                </c:pt>
                <c:pt idx="6">
                  <c:v>111.73128526977776</c:v>
                </c:pt>
                <c:pt idx="7">
                  <c:v>109.65626976884552</c:v>
                </c:pt>
                <c:pt idx="8">
                  <c:v>104.7064006471817</c:v>
                </c:pt>
                <c:pt idx="9">
                  <c:v>77.918682761275704</c:v>
                </c:pt>
                <c:pt idx="10">
                  <c:v>101.594876483261</c:v>
                </c:pt>
                <c:pt idx="11">
                  <c:v>90.303287772525422</c:v>
                </c:pt>
                <c:pt idx="12">
                  <c:v>81.639848985616851</c:v>
                </c:pt>
                <c:pt idx="13">
                  <c:v>117.13295595170682</c:v>
                </c:pt>
                <c:pt idx="14">
                  <c:v>119.65456705887433</c:v>
                </c:pt>
                <c:pt idx="15">
                  <c:v>101.38544456449273</c:v>
                </c:pt>
                <c:pt idx="16">
                  <c:v>104.30108481265601</c:v>
                </c:pt>
                <c:pt idx="17">
                  <c:v>83.540656627082299</c:v>
                </c:pt>
                <c:pt idx="18">
                  <c:v>91.797764968852292</c:v>
                </c:pt>
                <c:pt idx="19">
                  <c:v>96.939185659255074</c:v>
                </c:pt>
                <c:pt idx="20">
                  <c:v>86.821013069620804</c:v>
                </c:pt>
                <c:pt idx="21">
                  <c:v>101.86667710381555</c:v>
                </c:pt>
                <c:pt idx="22">
                  <c:v>118.66279741254915</c:v>
                </c:pt>
                <c:pt idx="23">
                  <c:v>102.3984645597147</c:v>
                </c:pt>
                <c:pt idx="24">
                  <c:v>108.23737076589377</c:v>
                </c:pt>
              </c:numCache>
            </c:numRef>
          </c:val>
          <c:smooth val="0"/>
          <c:extLst>
            <c:ext xmlns:c16="http://schemas.microsoft.com/office/drawing/2014/chart" uri="{C3380CC4-5D6E-409C-BE32-E72D297353CC}">
              <c16:uniqueId val="{00000000-76F1-2742-9A74-92A790232846}"/>
            </c:ext>
          </c:extLst>
        </c:ser>
        <c:ser>
          <c:idx val="1"/>
          <c:order val="1"/>
          <c:tx>
            <c:strRef>
              <c:f>'Gellinger, Namur, 1670'!$M$3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1670'!$O$6:$O$30</c:f>
              <c:numCache>
                <c:formatCode>0.00</c:formatCode>
                <c:ptCount val="25"/>
                <c:pt idx="0">
                  <c:v>117.10785766895694</c:v>
                </c:pt>
                <c:pt idx="1">
                  <c:v>76.048999263460743</c:v>
                </c:pt>
                <c:pt idx="2">
                  <c:v>76.048999263460388</c:v>
                </c:pt>
                <c:pt idx="3">
                  <c:v>117.1078576689566</c:v>
                </c:pt>
                <c:pt idx="4">
                  <c:v>117.10785766895694</c:v>
                </c:pt>
                <c:pt idx="5">
                  <c:v>117.1078576689566</c:v>
                </c:pt>
                <c:pt idx="6">
                  <c:v>117.1078576689566</c:v>
                </c:pt>
                <c:pt idx="7">
                  <c:v>76.048999263460388</c:v>
                </c:pt>
                <c:pt idx="8">
                  <c:v>76.048999263460388</c:v>
                </c:pt>
                <c:pt idx="9">
                  <c:v>76.048999263460743</c:v>
                </c:pt>
                <c:pt idx="10">
                  <c:v>76.048999263460388</c:v>
                </c:pt>
                <c:pt idx="11">
                  <c:v>117.1078576689566</c:v>
                </c:pt>
                <c:pt idx="12">
                  <c:v>117.10785766895694</c:v>
                </c:pt>
                <c:pt idx="13">
                  <c:v>117.1078576689566</c:v>
                </c:pt>
                <c:pt idx="14">
                  <c:v>117.1078576689566</c:v>
                </c:pt>
                <c:pt idx="15">
                  <c:v>76.048999263460388</c:v>
                </c:pt>
                <c:pt idx="16">
                  <c:v>76.048999263460388</c:v>
                </c:pt>
                <c:pt idx="17">
                  <c:v>76.048999263460743</c:v>
                </c:pt>
                <c:pt idx="18">
                  <c:v>76.048999263460388</c:v>
                </c:pt>
                <c:pt idx="19">
                  <c:v>117.1078576689566</c:v>
                </c:pt>
                <c:pt idx="20">
                  <c:v>117.10785766895694</c:v>
                </c:pt>
                <c:pt idx="21">
                  <c:v>117.1078576689566</c:v>
                </c:pt>
                <c:pt idx="22">
                  <c:v>117.1078576689566</c:v>
                </c:pt>
                <c:pt idx="23">
                  <c:v>76.048999263460388</c:v>
                </c:pt>
                <c:pt idx="24">
                  <c:v>76.048999263460388</c:v>
                </c:pt>
              </c:numCache>
            </c:numRef>
          </c:val>
          <c:smooth val="0"/>
          <c:extLst>
            <c:ext xmlns:c16="http://schemas.microsoft.com/office/drawing/2014/chart" uri="{C3380CC4-5D6E-409C-BE32-E72D297353CC}">
              <c16:uniqueId val="{00000001-76F1-2742-9A74-92A790232846}"/>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'Guitar, Modern'!$M$25</c:f>
          <c:strCache>
            <c:ptCount val="1"/>
            <c:pt idx="0">
              <c:v>Guitar, Modern Fret Size cents vs. Bendeler 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'Guitar, Modern'!$F$5</c:f>
              <c:strCache>
                <c:ptCount val="1"/>
                <c:pt idx="0">
                  <c:v>Guitar, Modern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Modern'!$F$6:$F$24</c:f>
              <c:numCache>
                <c:formatCode>0.00</c:formatCode>
                <c:ptCount val="19"/>
                <c:pt idx="0">
                  <c:v>99.814522009839067</c:v>
                </c:pt>
                <c:pt idx="1">
                  <c:v>100.03213242927258</c:v>
                </c:pt>
                <c:pt idx="2">
                  <c:v>101.41448066685346</c:v>
                </c:pt>
                <c:pt idx="3">
                  <c:v>99.326980712996701</c:v>
                </c:pt>
                <c:pt idx="4">
                  <c:v>100.03935627370365</c:v>
                </c:pt>
                <c:pt idx="5">
                  <c:v>100.52202923111726</c:v>
                </c:pt>
                <c:pt idx="6">
                  <c:v>98.73322095596987</c:v>
                </c:pt>
                <c:pt idx="7">
                  <c:v>100.47872077074507</c:v>
                </c:pt>
                <c:pt idx="8">
                  <c:v>99.948412033242931</c:v>
                </c:pt>
                <c:pt idx="9">
                  <c:v>98.954592230367936</c:v>
                </c:pt>
                <c:pt idx="10">
                  <c:v>99.930053144287058</c:v>
                </c:pt>
                <c:pt idx="11">
                  <c:v>98.069276921344439</c:v>
                </c:pt>
                <c:pt idx="12">
                  <c:v>101.1426648053706</c:v>
                </c:pt>
                <c:pt idx="13">
                  <c:v>101.44021225400124</c:v>
                </c:pt>
                <c:pt idx="14">
                  <c:v>98.252408465289562</c:v>
                </c:pt>
                <c:pt idx="15">
                  <c:v>100.81393517471032</c:v>
                </c:pt>
                <c:pt idx="16">
                  <c:v>99.93975930245827</c:v>
                </c:pt>
                <c:pt idx="17">
                  <c:v>102.29674394221307</c:v>
                </c:pt>
                <c:pt idx="18">
                  <c:v>100.72658219987521</c:v>
                </c:pt>
              </c:numCache>
            </c:numRef>
          </c:val>
          <c:smooth val="0"/>
          <c:extLst>
            <c:ext xmlns:c16="http://schemas.microsoft.com/office/drawing/2014/chart" uri="{C3380CC4-5D6E-409C-BE32-E72D297353CC}">
              <c16:uniqueId val="{00000000-8D4B-B14E-8D1D-61EA2C0CDDDB}"/>
            </c:ext>
          </c:extLst>
        </c:ser>
        <c:ser>
          <c:idx val="1"/>
          <c:order val="1"/>
          <c:tx>
            <c:strRef>
              <c:f>'Guitar, Modern'!$M$3</c:f>
              <c:strCache>
                <c:ptCount val="1"/>
                <c:pt idx="0">
                  <c:v>BDO Any</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Modern'!$O$6:$O$24</c:f>
              <c:numCache>
                <c:formatCode>0.00</c:formatCode>
                <c:ptCount val="19"/>
                <c:pt idx="0">
                  <c:v>102.00000000000047</c:v>
                </c:pt>
                <c:pt idx="1">
                  <c:v>95.999999999999815</c:v>
                </c:pt>
                <c:pt idx="2">
                  <c:v>108.00000000000021</c:v>
                </c:pt>
                <c:pt idx="3">
                  <c:v>95.999999999999815</c:v>
                </c:pt>
                <c:pt idx="4">
                  <c:v>95.999999999999815</c:v>
                </c:pt>
                <c:pt idx="5">
                  <c:v>102.00000000000013</c:v>
                </c:pt>
                <c:pt idx="6">
                  <c:v>102.00000000000013</c:v>
                </c:pt>
                <c:pt idx="7">
                  <c:v>102.00000000000013</c:v>
                </c:pt>
                <c:pt idx="8">
                  <c:v>95.999999999999815</c:v>
                </c:pt>
                <c:pt idx="9">
                  <c:v>102.00000000000013</c:v>
                </c:pt>
                <c:pt idx="10">
                  <c:v>102.00000000000047</c:v>
                </c:pt>
                <c:pt idx="11">
                  <c:v>95.999999999999474</c:v>
                </c:pt>
                <c:pt idx="12">
                  <c:v>102.00000000000047</c:v>
                </c:pt>
                <c:pt idx="13">
                  <c:v>95.999999999999815</c:v>
                </c:pt>
                <c:pt idx="14">
                  <c:v>108.00000000000021</c:v>
                </c:pt>
                <c:pt idx="15">
                  <c:v>95.999999999999815</c:v>
                </c:pt>
                <c:pt idx="16">
                  <c:v>95.999999999999815</c:v>
                </c:pt>
                <c:pt idx="17">
                  <c:v>102.00000000000013</c:v>
                </c:pt>
                <c:pt idx="18">
                  <c:v>102.00000000000013</c:v>
                </c:pt>
              </c:numCache>
            </c:numRef>
          </c:val>
          <c:smooth val="0"/>
          <c:extLst>
            <c:ext xmlns:c16="http://schemas.microsoft.com/office/drawing/2014/chart" uri="{C3380CC4-5D6E-409C-BE32-E72D297353CC}">
              <c16:uniqueId val="{00000001-8D4B-B14E-8D1D-61EA2C0CDDDB}"/>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'Gellinger, Namur, 1670'!$W$31</c:f>
          <c:strCache>
            <c:ptCount val="1"/>
            <c:pt idx="0">
              <c:v>Gellinger, Namur, 1670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'Gellinger, Namur, 1670'!$F$5</c:f>
              <c:strCache>
                <c:ptCount val="1"/>
                <c:pt idx="0">
                  <c:v>Gellinger, Namur, 1670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1670'!$F$6:$F$30</c:f>
              <c:numCache>
                <c:formatCode>0.00</c:formatCode>
                <c:ptCount val="25"/>
                <c:pt idx="0">
                  <c:v>72.497712622305187</c:v>
                </c:pt>
                <c:pt idx="1">
                  <c:v>80.835539099999068</c:v>
                </c:pt>
                <c:pt idx="2">
                  <c:v>113.7666259662207</c:v>
                </c:pt>
                <c:pt idx="3">
                  <c:v>69.374252050412878</c:v>
                </c:pt>
                <c:pt idx="4">
                  <c:v>89.274510821946762</c:v>
                </c:pt>
                <c:pt idx="5">
                  <c:v>114.26048082416712</c:v>
                </c:pt>
                <c:pt idx="6">
                  <c:v>111.73128526977776</c:v>
                </c:pt>
                <c:pt idx="7">
                  <c:v>109.65626976884552</c:v>
                </c:pt>
                <c:pt idx="8">
                  <c:v>104.7064006471817</c:v>
                </c:pt>
                <c:pt idx="9">
                  <c:v>77.918682761275704</c:v>
                </c:pt>
                <c:pt idx="10">
                  <c:v>101.594876483261</c:v>
                </c:pt>
                <c:pt idx="11">
                  <c:v>90.303287772525422</c:v>
                </c:pt>
                <c:pt idx="12">
                  <c:v>81.639848985616851</c:v>
                </c:pt>
                <c:pt idx="13">
                  <c:v>117.13295595170682</c:v>
                </c:pt>
                <c:pt idx="14">
                  <c:v>119.65456705887433</c:v>
                </c:pt>
                <c:pt idx="15">
                  <c:v>101.38544456449273</c:v>
                </c:pt>
                <c:pt idx="16">
                  <c:v>104.30108481265601</c:v>
                </c:pt>
                <c:pt idx="17">
                  <c:v>83.540656627082299</c:v>
                </c:pt>
                <c:pt idx="18">
                  <c:v>91.797764968852292</c:v>
                </c:pt>
                <c:pt idx="19">
                  <c:v>96.939185659255074</c:v>
                </c:pt>
                <c:pt idx="20">
                  <c:v>86.821013069620804</c:v>
                </c:pt>
                <c:pt idx="21">
                  <c:v>101.86667710381555</c:v>
                </c:pt>
                <c:pt idx="22">
                  <c:v>118.66279741254915</c:v>
                </c:pt>
                <c:pt idx="23">
                  <c:v>102.3984645597147</c:v>
                </c:pt>
                <c:pt idx="24">
                  <c:v>108.23737076589377</c:v>
                </c:pt>
              </c:numCache>
            </c:numRef>
          </c:val>
          <c:smooth val="0"/>
          <c:extLst>
            <c:ext xmlns:c16="http://schemas.microsoft.com/office/drawing/2014/chart" uri="{C3380CC4-5D6E-409C-BE32-E72D297353CC}">
              <c16:uniqueId val="{00000000-BEFE-1347-AB26-CABCC88F2608}"/>
            </c:ext>
          </c:extLst>
        </c:ser>
        <c:ser>
          <c:idx val="1"/>
          <c:order val="1"/>
          <c:tx>
            <c:strRef>
              <c:f>'Gellinger, Namur, 1670'!$W$3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1670'!$Y$6:$Y$30</c:f>
              <c:numCache>
                <c:formatCode>0.00</c:formatCode>
                <c:ptCount val="25"/>
                <c:pt idx="0">
                  <c:v>100.00000000000007</c:v>
                </c:pt>
                <c:pt idx="1">
                  <c:v>100.00000000000007</c:v>
                </c:pt>
                <c:pt idx="2">
                  <c:v>99.99999999999973</c:v>
                </c:pt>
                <c:pt idx="3">
                  <c:v>100.00000000000007</c:v>
                </c:pt>
                <c:pt idx="4">
                  <c:v>100.00000000000007</c:v>
                </c:pt>
                <c:pt idx="5">
                  <c:v>99.99999999999973</c:v>
                </c:pt>
                <c:pt idx="6">
                  <c:v>100.00000000000007</c:v>
                </c:pt>
                <c:pt idx="7">
                  <c:v>100.00000000000007</c:v>
                </c:pt>
                <c:pt idx="8">
                  <c:v>100.00000000000007</c:v>
                </c:pt>
                <c:pt idx="9">
                  <c:v>100.00000000000007</c:v>
                </c:pt>
                <c:pt idx="10">
                  <c:v>99.99999999999973</c:v>
                </c:pt>
                <c:pt idx="11">
                  <c:v>100.00000000000007</c:v>
                </c:pt>
                <c:pt idx="12">
                  <c:v>100.00000000000007</c:v>
                </c:pt>
                <c:pt idx="13">
                  <c:v>99.99999999999973</c:v>
                </c:pt>
                <c:pt idx="14">
                  <c:v>100.00000000000007</c:v>
                </c:pt>
                <c:pt idx="15">
                  <c:v>100.00000000000007</c:v>
                </c:pt>
                <c:pt idx="16">
                  <c:v>100.00000000000007</c:v>
                </c:pt>
                <c:pt idx="17">
                  <c:v>100.00000000000007</c:v>
                </c:pt>
                <c:pt idx="18">
                  <c:v>99.99999999999973</c:v>
                </c:pt>
                <c:pt idx="19">
                  <c:v>100.00000000000007</c:v>
                </c:pt>
                <c:pt idx="20">
                  <c:v>100.00000000000007</c:v>
                </c:pt>
                <c:pt idx="21">
                  <c:v>99.99999999999973</c:v>
                </c:pt>
                <c:pt idx="22">
                  <c:v>100.00000000000007</c:v>
                </c:pt>
                <c:pt idx="23">
                  <c:v>100.00000000000007</c:v>
                </c:pt>
                <c:pt idx="24">
                  <c:v>100.00000000000007</c:v>
                </c:pt>
              </c:numCache>
            </c:numRef>
          </c:val>
          <c:smooth val="0"/>
          <c:extLst>
            <c:ext xmlns:c16="http://schemas.microsoft.com/office/drawing/2014/chart" uri="{C3380CC4-5D6E-409C-BE32-E72D297353CC}">
              <c16:uniqueId val="{00000001-BEFE-1347-AB26-CABCC88F2608}"/>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'Gellinger, Namur, 1670'!$R$31</c:f>
          <c:strCache>
            <c:ptCount val="1"/>
            <c:pt idx="0">
              <c:v>Gellinger, Namur, 1670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'Gellinger, Namur, 1670'!$F$5</c:f>
              <c:strCache>
                <c:ptCount val="1"/>
                <c:pt idx="0">
                  <c:v>Gellinger, Namur, 1670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1670'!$F$6:$F$30</c:f>
              <c:numCache>
                <c:formatCode>0.00</c:formatCode>
                <c:ptCount val="25"/>
                <c:pt idx="0">
                  <c:v>72.497712622305187</c:v>
                </c:pt>
                <c:pt idx="1">
                  <c:v>80.835539099999068</c:v>
                </c:pt>
                <c:pt idx="2">
                  <c:v>113.7666259662207</c:v>
                </c:pt>
                <c:pt idx="3">
                  <c:v>69.374252050412878</c:v>
                </c:pt>
                <c:pt idx="4">
                  <c:v>89.274510821946762</c:v>
                </c:pt>
                <c:pt idx="5">
                  <c:v>114.26048082416712</c:v>
                </c:pt>
                <c:pt idx="6">
                  <c:v>111.73128526977776</c:v>
                </c:pt>
                <c:pt idx="7">
                  <c:v>109.65626976884552</c:v>
                </c:pt>
                <c:pt idx="8">
                  <c:v>104.7064006471817</c:v>
                </c:pt>
                <c:pt idx="9">
                  <c:v>77.918682761275704</c:v>
                </c:pt>
                <c:pt idx="10">
                  <c:v>101.594876483261</c:v>
                </c:pt>
                <c:pt idx="11">
                  <c:v>90.303287772525422</c:v>
                </c:pt>
                <c:pt idx="12">
                  <c:v>81.639848985616851</c:v>
                </c:pt>
                <c:pt idx="13">
                  <c:v>117.13295595170682</c:v>
                </c:pt>
                <c:pt idx="14">
                  <c:v>119.65456705887433</c:v>
                </c:pt>
                <c:pt idx="15">
                  <c:v>101.38544456449273</c:v>
                </c:pt>
                <c:pt idx="16">
                  <c:v>104.30108481265601</c:v>
                </c:pt>
                <c:pt idx="17">
                  <c:v>83.540656627082299</c:v>
                </c:pt>
                <c:pt idx="18">
                  <c:v>91.797764968852292</c:v>
                </c:pt>
                <c:pt idx="19">
                  <c:v>96.939185659255074</c:v>
                </c:pt>
                <c:pt idx="20">
                  <c:v>86.821013069620804</c:v>
                </c:pt>
                <c:pt idx="21">
                  <c:v>101.86667710381555</c:v>
                </c:pt>
                <c:pt idx="22">
                  <c:v>118.66279741254915</c:v>
                </c:pt>
                <c:pt idx="23">
                  <c:v>102.3984645597147</c:v>
                </c:pt>
                <c:pt idx="24">
                  <c:v>108.23737076589377</c:v>
                </c:pt>
              </c:numCache>
            </c:numRef>
          </c:val>
          <c:smooth val="0"/>
          <c:extLst>
            <c:ext xmlns:c16="http://schemas.microsoft.com/office/drawing/2014/chart" uri="{C3380CC4-5D6E-409C-BE32-E72D297353CC}">
              <c16:uniqueId val="{00000000-9E47-B146-BEDB-2A6A3CF8FCC4}"/>
            </c:ext>
          </c:extLst>
        </c:ser>
        <c:ser>
          <c:idx val="1"/>
          <c:order val="1"/>
          <c:tx>
            <c:strRef>
              <c:f>'Gellinger, Namur, 1670'!$R$3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'Gellinger, Namur, 1670'!$B$6:$B$30</c:f>
              <c:strCache>
                <c:ptCount val="25"/>
                <c:pt idx="0">
                  <c:v>A#</c:v>
                </c:pt>
                <c:pt idx="1">
                  <c:v>C</c:v>
                </c:pt>
                <c:pt idx="2">
                  <c:v>D</c:v>
                </c:pt>
                <c:pt idx="3">
                  <c:v>D#</c:v>
                </c:pt>
                <c:pt idx="4">
                  <c:v>F</c:v>
                </c:pt>
                <c:pt idx="5">
                  <c:v>F#</c:v>
                </c:pt>
                <c:pt idx="6">
                  <c:v>G#</c:v>
                </c:pt>
                <c:pt idx="7">
                  <c:v>A</c:v>
                </c:pt>
                <c:pt idx="8">
                  <c:v>B</c:v>
                </c:pt>
                <c:pt idx="9">
                  <c:v>C</c:v>
                </c:pt>
                <c:pt idx="10">
                  <c:v>D</c:v>
                </c:pt>
                <c:pt idx="11">
                  <c:v>D#</c:v>
                </c:pt>
                <c:pt idx="12">
                  <c:v>F</c:v>
                </c:pt>
                <c:pt idx="13">
                  <c:v>F#</c:v>
                </c:pt>
                <c:pt idx="14">
                  <c:v>G#</c:v>
                </c:pt>
                <c:pt idx="15">
                  <c:v>A</c:v>
                </c:pt>
                <c:pt idx="16">
                  <c:v>B</c:v>
                </c:pt>
                <c:pt idx="17">
                  <c:v>C</c:v>
                </c:pt>
                <c:pt idx="18">
                  <c:v>D</c:v>
                </c:pt>
                <c:pt idx="19">
                  <c:v>D#</c:v>
                </c:pt>
                <c:pt idx="20">
                  <c:v>F</c:v>
                </c:pt>
                <c:pt idx="21">
                  <c:v>F#</c:v>
                </c:pt>
                <c:pt idx="22">
                  <c:v>G#</c:v>
                </c:pt>
                <c:pt idx="23">
                  <c:v>A</c:v>
                </c:pt>
                <c:pt idx="24">
                  <c:v>B</c:v>
                </c:pt>
              </c:strCache>
            </c:strRef>
          </c:cat>
          <c:val>
            <c:numRef>
              <c:f>'Gellinger, Namur, 1670'!$T$6:$T$30</c:f>
              <c:numCache>
                <c:formatCode>0.00</c:formatCode>
                <c:ptCount val="25"/>
                <c:pt idx="0">
                  <c:v>76.048999263461113</c:v>
                </c:pt>
                <c:pt idx="1">
                  <c:v>76.048999263460743</c:v>
                </c:pt>
                <c:pt idx="2">
                  <c:v>76.048999263460388</c:v>
                </c:pt>
                <c:pt idx="3">
                  <c:v>117.1078576689566</c:v>
                </c:pt>
                <c:pt idx="4">
                  <c:v>76.048999263460743</c:v>
                </c:pt>
                <c:pt idx="5">
                  <c:v>117.1078576689566</c:v>
                </c:pt>
                <c:pt idx="6">
                  <c:v>117.1078576689566</c:v>
                </c:pt>
                <c:pt idx="7">
                  <c:v>117.10785766895623</c:v>
                </c:pt>
                <c:pt idx="8">
                  <c:v>117.1078576689566</c:v>
                </c:pt>
                <c:pt idx="9">
                  <c:v>76.048999263460743</c:v>
                </c:pt>
                <c:pt idx="10">
                  <c:v>76.048999263460388</c:v>
                </c:pt>
                <c:pt idx="11">
                  <c:v>117.1078576689566</c:v>
                </c:pt>
                <c:pt idx="12">
                  <c:v>76.048999263460743</c:v>
                </c:pt>
                <c:pt idx="13">
                  <c:v>117.1078576689566</c:v>
                </c:pt>
                <c:pt idx="14">
                  <c:v>117.1078576689566</c:v>
                </c:pt>
                <c:pt idx="15">
                  <c:v>117.10785766895623</c:v>
                </c:pt>
                <c:pt idx="16">
                  <c:v>117.1078576689566</c:v>
                </c:pt>
                <c:pt idx="17">
                  <c:v>76.048999263460743</c:v>
                </c:pt>
                <c:pt idx="18">
                  <c:v>76.048999263460388</c:v>
                </c:pt>
                <c:pt idx="19">
                  <c:v>117.1078576689566</c:v>
                </c:pt>
                <c:pt idx="20">
                  <c:v>76.048999263460743</c:v>
                </c:pt>
                <c:pt idx="21">
                  <c:v>117.1078576689566</c:v>
                </c:pt>
                <c:pt idx="22">
                  <c:v>117.1078576689566</c:v>
                </c:pt>
                <c:pt idx="23">
                  <c:v>117.10785766895623</c:v>
                </c:pt>
                <c:pt idx="24">
                  <c:v>117.1078576689566</c:v>
                </c:pt>
              </c:numCache>
            </c:numRef>
          </c:val>
          <c:smooth val="0"/>
          <c:extLst>
            <c:ext xmlns:c16="http://schemas.microsoft.com/office/drawing/2014/chart" uri="{C3380CC4-5D6E-409C-BE32-E72D297353CC}">
              <c16:uniqueId val="{00000001-9E47-B146-BEDB-2A6A3CF8FCC4}"/>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'Bavington, Donat, L 12, ~1700'!$H$22</c:f>
          <c:strCache>
            <c:ptCount val="1"/>
            <c:pt idx="0">
              <c:v>Bavington, Donat, L 12, ~1700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'Bavington, Donat, L 12, ~1700'!$F$5</c:f>
              <c:strCache>
                <c:ptCount val="1"/>
                <c:pt idx="0">
                  <c:v>Bavington, Donat, L 12,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~1700'!$F$6:$F$21</c:f>
              <c:numCache>
                <c:formatCode>0.00</c:formatCode>
                <c:ptCount val="16"/>
                <c:pt idx="0">
                  <c:v>55.8903036870988</c:v>
                </c:pt>
                <c:pt idx="1">
                  <c:v>54.105467434245831</c:v>
                </c:pt>
                <c:pt idx="2">
                  <c:v>74.058941383698794</c:v>
                </c:pt>
                <c:pt idx="3">
                  <c:v>73.544544940974774</c:v>
                </c:pt>
                <c:pt idx="4">
                  <c:v>70.242253163704603</c:v>
                </c:pt>
                <c:pt idx="5">
                  <c:v>59.635082584645779</c:v>
                </c:pt>
                <c:pt idx="6">
                  <c:v>81.941687479769755</c:v>
                </c:pt>
                <c:pt idx="7">
                  <c:v>74.313298971842073</c:v>
                </c:pt>
                <c:pt idx="8">
                  <c:v>75.991122442595156</c:v>
                </c:pt>
                <c:pt idx="9">
                  <c:v>90.032454489628321</c:v>
                </c:pt>
                <c:pt idx="10">
                  <c:v>84.125086157218291</c:v>
                </c:pt>
                <c:pt idx="11">
                  <c:v>102.56321062721935</c:v>
                </c:pt>
                <c:pt idx="12">
                  <c:v>103.81079190560995</c:v>
                </c:pt>
                <c:pt idx="13">
                  <c:v>117.96248833416463</c:v>
                </c:pt>
                <c:pt idx="14">
                  <c:v>111.73128526977776</c:v>
                </c:pt>
                <c:pt idx="15">
                  <c:v>130.44751133099999</c:v>
                </c:pt>
              </c:numCache>
            </c:numRef>
          </c:val>
          <c:smooth val="0"/>
          <c:extLst>
            <c:ext xmlns:c16="http://schemas.microsoft.com/office/drawing/2014/chart" uri="{C3380CC4-5D6E-409C-BE32-E72D297353CC}">
              <c16:uniqueId val="{00000000-AD8E-2F46-9DAB-6BCB2E7CC595}"/>
            </c:ext>
          </c:extLst>
        </c:ser>
        <c:ser>
          <c:idx val="1"/>
          <c:order val="1"/>
          <c:tx>
            <c:strRef>
              <c:f>'Bavington, Donat, L 12, ~1700'!$H$3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~1700'!$J$6:$J$21</c:f>
              <c:numCache>
                <c:formatCode>0.00</c:formatCode>
                <c:ptCount val="16"/>
                <c:pt idx="0">
                  <c:v>90.224995673063063</c:v>
                </c:pt>
                <c:pt idx="1">
                  <c:v>96.089998269224949</c:v>
                </c:pt>
                <c:pt idx="2">
                  <c:v>90.224995673063063</c:v>
                </c:pt>
                <c:pt idx="3">
                  <c:v>96.089998269225319</c:v>
                </c:pt>
                <c:pt idx="4">
                  <c:v>96.089998269224949</c:v>
                </c:pt>
                <c:pt idx="5">
                  <c:v>90.224995673063063</c:v>
                </c:pt>
                <c:pt idx="6">
                  <c:v>101.95500086538762</c:v>
                </c:pt>
                <c:pt idx="7">
                  <c:v>90.224995673063063</c:v>
                </c:pt>
                <c:pt idx="8">
                  <c:v>96.089998269225319</c:v>
                </c:pt>
                <c:pt idx="9">
                  <c:v>107.82000346154977</c:v>
                </c:pt>
                <c:pt idx="10">
                  <c:v>90.224995673063063</c:v>
                </c:pt>
                <c:pt idx="11">
                  <c:v>101.95500086538762</c:v>
                </c:pt>
                <c:pt idx="12">
                  <c:v>90.224995673063063</c:v>
                </c:pt>
                <c:pt idx="13">
                  <c:v>96.089998269225319</c:v>
                </c:pt>
                <c:pt idx="14">
                  <c:v>107.82000346154977</c:v>
                </c:pt>
                <c:pt idx="15">
                  <c:v>107.82000346154977</c:v>
                </c:pt>
              </c:numCache>
            </c:numRef>
          </c:val>
          <c:smooth val="0"/>
          <c:extLst>
            <c:ext xmlns:c16="http://schemas.microsoft.com/office/drawing/2014/chart" uri="{C3380CC4-5D6E-409C-BE32-E72D297353CC}">
              <c16:uniqueId val="{00000001-AD8E-2F46-9DAB-6BCB2E7CC595}"/>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'Bavington, Donat, L 12, ~1700'!$M$22</c:f>
          <c:strCache>
            <c:ptCount val="1"/>
            <c:pt idx="0">
              <c:v>Bavington, Donat, L 12, ~1700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'Bavington, Donat, L 12, ~1700'!$F$5</c:f>
              <c:strCache>
                <c:ptCount val="1"/>
                <c:pt idx="0">
                  <c:v>Bavington, Donat, L 12,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~1700'!$F$6:$F$21</c:f>
              <c:numCache>
                <c:formatCode>0.00</c:formatCode>
                <c:ptCount val="16"/>
                <c:pt idx="0">
                  <c:v>55.8903036870988</c:v>
                </c:pt>
                <c:pt idx="1">
                  <c:v>54.105467434245831</c:v>
                </c:pt>
                <c:pt idx="2">
                  <c:v>74.058941383698794</c:v>
                </c:pt>
                <c:pt idx="3">
                  <c:v>73.544544940974774</c:v>
                </c:pt>
                <c:pt idx="4">
                  <c:v>70.242253163704603</c:v>
                </c:pt>
                <c:pt idx="5">
                  <c:v>59.635082584645779</c:v>
                </c:pt>
                <c:pt idx="6">
                  <c:v>81.941687479769755</c:v>
                </c:pt>
                <c:pt idx="7">
                  <c:v>74.313298971842073</c:v>
                </c:pt>
                <c:pt idx="8">
                  <c:v>75.991122442595156</c:v>
                </c:pt>
                <c:pt idx="9">
                  <c:v>90.032454489628321</c:v>
                </c:pt>
                <c:pt idx="10">
                  <c:v>84.125086157218291</c:v>
                </c:pt>
                <c:pt idx="11">
                  <c:v>102.56321062721935</c:v>
                </c:pt>
                <c:pt idx="12">
                  <c:v>103.81079190560995</c:v>
                </c:pt>
                <c:pt idx="13">
                  <c:v>117.96248833416463</c:v>
                </c:pt>
                <c:pt idx="14">
                  <c:v>111.73128526977776</c:v>
                </c:pt>
                <c:pt idx="15">
                  <c:v>130.44751133099999</c:v>
                </c:pt>
              </c:numCache>
            </c:numRef>
          </c:val>
          <c:smooth val="0"/>
          <c:extLst>
            <c:ext xmlns:c16="http://schemas.microsoft.com/office/drawing/2014/chart" uri="{C3380CC4-5D6E-409C-BE32-E72D297353CC}">
              <c16:uniqueId val="{00000000-7FEB-AA40-8670-0A9955EB95D9}"/>
            </c:ext>
          </c:extLst>
        </c:ser>
        <c:ser>
          <c:idx val="1"/>
          <c:order val="1"/>
          <c:tx>
            <c:strRef>
              <c:f>'Bavington, Donat, L 12, ~1700'!$M$3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~1700'!$O$6:$O$21</c:f>
              <c:numCache>
                <c:formatCode>0.00</c:formatCode>
                <c:ptCount val="16"/>
                <c:pt idx="0">
                  <c:v>76.048999263460743</c:v>
                </c:pt>
                <c:pt idx="1">
                  <c:v>117.1078576689566</c:v>
                </c:pt>
                <c:pt idx="2">
                  <c:v>117.10785766895694</c:v>
                </c:pt>
                <c:pt idx="3">
                  <c:v>76.048999263460743</c:v>
                </c:pt>
                <c:pt idx="4">
                  <c:v>117.10785766895694</c:v>
                </c:pt>
                <c:pt idx="5">
                  <c:v>76.048999263460743</c:v>
                </c:pt>
                <c:pt idx="6">
                  <c:v>76.048999263460388</c:v>
                </c:pt>
                <c:pt idx="7">
                  <c:v>117.10785766895694</c:v>
                </c:pt>
                <c:pt idx="8">
                  <c:v>76.048999263460743</c:v>
                </c:pt>
                <c:pt idx="9">
                  <c:v>76.048999263460388</c:v>
                </c:pt>
                <c:pt idx="10">
                  <c:v>76.048999263460743</c:v>
                </c:pt>
                <c:pt idx="11">
                  <c:v>76.048999263460388</c:v>
                </c:pt>
                <c:pt idx="12">
                  <c:v>117.10785766895694</c:v>
                </c:pt>
                <c:pt idx="13">
                  <c:v>76.048999263460743</c:v>
                </c:pt>
                <c:pt idx="14">
                  <c:v>76.048999263460388</c:v>
                </c:pt>
                <c:pt idx="15">
                  <c:v>76.048999263460388</c:v>
                </c:pt>
              </c:numCache>
            </c:numRef>
          </c:val>
          <c:smooth val="0"/>
          <c:extLst>
            <c:ext xmlns:c16="http://schemas.microsoft.com/office/drawing/2014/chart" uri="{C3380CC4-5D6E-409C-BE32-E72D297353CC}">
              <c16:uniqueId val="{00000001-7FEB-AA40-8670-0A9955EB95D9}"/>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'Bavington, Donat, L 12, ~1700'!$W$22</c:f>
          <c:strCache>
            <c:ptCount val="1"/>
            <c:pt idx="0">
              <c:v>Bavington, Donat, L 12, ~1700 Fret Size cents vs. Meantone by Bavington for Donat Instrument Leipzig 12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'Bavington, Donat, L 12, ~1700'!$F$5</c:f>
              <c:strCache>
                <c:ptCount val="1"/>
                <c:pt idx="0">
                  <c:v>Bavington, Donat, L 12,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~1700'!$F$6:$F$21</c:f>
              <c:numCache>
                <c:formatCode>0.00</c:formatCode>
                <c:ptCount val="16"/>
                <c:pt idx="0">
                  <c:v>55.8903036870988</c:v>
                </c:pt>
                <c:pt idx="1">
                  <c:v>54.105467434245831</c:v>
                </c:pt>
                <c:pt idx="2">
                  <c:v>74.058941383698794</c:v>
                </c:pt>
                <c:pt idx="3">
                  <c:v>73.544544940974774</c:v>
                </c:pt>
                <c:pt idx="4">
                  <c:v>70.242253163704603</c:v>
                </c:pt>
                <c:pt idx="5">
                  <c:v>59.635082584645779</c:v>
                </c:pt>
                <c:pt idx="6">
                  <c:v>81.941687479769755</c:v>
                </c:pt>
                <c:pt idx="7">
                  <c:v>74.313298971842073</c:v>
                </c:pt>
                <c:pt idx="8">
                  <c:v>75.991122442595156</c:v>
                </c:pt>
                <c:pt idx="9">
                  <c:v>90.032454489628321</c:v>
                </c:pt>
                <c:pt idx="10">
                  <c:v>84.125086157218291</c:v>
                </c:pt>
                <c:pt idx="11">
                  <c:v>102.56321062721935</c:v>
                </c:pt>
                <c:pt idx="12">
                  <c:v>103.81079190560995</c:v>
                </c:pt>
                <c:pt idx="13">
                  <c:v>117.96248833416463</c:v>
                </c:pt>
                <c:pt idx="14">
                  <c:v>111.73128526977776</c:v>
                </c:pt>
                <c:pt idx="15">
                  <c:v>130.44751133099999</c:v>
                </c:pt>
              </c:numCache>
            </c:numRef>
          </c:val>
          <c:smooth val="0"/>
          <c:extLst>
            <c:ext xmlns:c16="http://schemas.microsoft.com/office/drawing/2014/chart" uri="{C3380CC4-5D6E-409C-BE32-E72D297353CC}">
              <c16:uniqueId val="{00000000-0A28-8E4A-BC2C-51E3718478BF}"/>
            </c:ext>
          </c:extLst>
        </c:ser>
        <c:ser>
          <c:idx val="1"/>
          <c:order val="1"/>
          <c:tx>
            <c:strRef>
              <c:f>'Bavington, Donat, L 12, ~1700'!$W$3</c:f>
              <c:strCache>
                <c:ptCount val="1"/>
                <c:pt idx="0">
                  <c:v>Meantone Bav Donat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~1700'!$Y$6:$Y$21</c:f>
              <c:numCache>
                <c:formatCode>0.00</c:formatCode>
                <c:ptCount val="16"/>
                <c:pt idx="0">
                  <c:v>70.672426864281974</c:v>
                </c:pt>
                <c:pt idx="1">
                  <c:v>102.77033162958514</c:v>
                </c:pt>
                <c:pt idx="2">
                  <c:v>74.095279550841866</c:v>
                </c:pt>
                <c:pt idx="3">
                  <c:v>76.048999263460388</c:v>
                </c:pt>
                <c:pt idx="4">
                  <c:v>88.432805590213519</c:v>
                </c:pt>
                <c:pt idx="5">
                  <c:v>70.672426864281974</c:v>
                </c:pt>
                <c:pt idx="6">
                  <c:v>90.386525302831956</c:v>
                </c:pt>
                <c:pt idx="7">
                  <c:v>74.095279550841866</c:v>
                </c:pt>
                <c:pt idx="8">
                  <c:v>76.048999263460388</c:v>
                </c:pt>
                <c:pt idx="9">
                  <c:v>104.72405134220378</c:v>
                </c:pt>
                <c:pt idx="10">
                  <c:v>70.672426864281974</c:v>
                </c:pt>
                <c:pt idx="11">
                  <c:v>90.386525302831956</c:v>
                </c:pt>
                <c:pt idx="12">
                  <c:v>74.095279550841866</c:v>
                </c:pt>
                <c:pt idx="13">
                  <c:v>76.048999263460388</c:v>
                </c:pt>
                <c:pt idx="14">
                  <c:v>104.72405134220378</c:v>
                </c:pt>
                <c:pt idx="15">
                  <c:v>119.0615773815753</c:v>
                </c:pt>
              </c:numCache>
            </c:numRef>
          </c:val>
          <c:smooth val="0"/>
          <c:extLst>
            <c:ext xmlns:c16="http://schemas.microsoft.com/office/drawing/2014/chart" uri="{C3380CC4-5D6E-409C-BE32-E72D297353CC}">
              <c16:uniqueId val="{00000001-0A28-8E4A-BC2C-51E3718478BF}"/>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'Bavington, Donat, L 12, ~1700'!$R$22</c:f>
          <c:strCache>
            <c:ptCount val="1"/>
            <c:pt idx="0">
              <c:v>Bavington, Donat, L 12, ~1700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'Bavington, Donat, L 12, ~1700'!$F$5</c:f>
              <c:strCache>
                <c:ptCount val="1"/>
                <c:pt idx="0">
                  <c:v>Bavington, Donat, L 12, ~1700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~1700'!$F$6:$F$21</c:f>
              <c:numCache>
                <c:formatCode>0.00</c:formatCode>
                <c:ptCount val="16"/>
                <c:pt idx="0">
                  <c:v>55.8903036870988</c:v>
                </c:pt>
                <c:pt idx="1">
                  <c:v>54.105467434245831</c:v>
                </c:pt>
                <c:pt idx="2">
                  <c:v>74.058941383698794</c:v>
                </c:pt>
                <c:pt idx="3">
                  <c:v>73.544544940974774</c:v>
                </c:pt>
                <c:pt idx="4">
                  <c:v>70.242253163704603</c:v>
                </c:pt>
                <c:pt idx="5">
                  <c:v>59.635082584645779</c:v>
                </c:pt>
                <c:pt idx="6">
                  <c:v>81.941687479769755</c:v>
                </c:pt>
                <c:pt idx="7">
                  <c:v>74.313298971842073</c:v>
                </c:pt>
                <c:pt idx="8">
                  <c:v>75.991122442595156</c:v>
                </c:pt>
                <c:pt idx="9">
                  <c:v>90.032454489628321</c:v>
                </c:pt>
                <c:pt idx="10">
                  <c:v>84.125086157218291</c:v>
                </c:pt>
                <c:pt idx="11">
                  <c:v>102.56321062721935</c:v>
                </c:pt>
                <c:pt idx="12">
                  <c:v>103.81079190560995</c:v>
                </c:pt>
                <c:pt idx="13">
                  <c:v>117.96248833416463</c:v>
                </c:pt>
                <c:pt idx="14">
                  <c:v>111.73128526977776</c:v>
                </c:pt>
                <c:pt idx="15">
                  <c:v>130.44751133099999</c:v>
                </c:pt>
              </c:numCache>
            </c:numRef>
          </c:val>
          <c:smooth val="0"/>
          <c:extLst>
            <c:ext xmlns:c16="http://schemas.microsoft.com/office/drawing/2014/chart" uri="{C3380CC4-5D6E-409C-BE32-E72D297353CC}">
              <c16:uniqueId val="{00000000-6B7A-E040-8434-C66832B3FAF5}"/>
            </c:ext>
          </c:extLst>
        </c:ser>
        <c:ser>
          <c:idx val="1"/>
          <c:order val="1"/>
          <c:tx>
            <c:strRef>
              <c:f>'Bavington, Donat, L 12, ~1700'!$R$3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'Bavington, Donat, L 12, ~1700'!$B$6:$B$21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'Bavington, Donat, L 12, ~1700'!$T$6:$T$21</c:f>
              <c:numCache>
                <c:formatCode>0.00</c:formatCode>
                <c:ptCount val="16"/>
                <c:pt idx="0">
                  <c:v>76.048999263460743</c:v>
                </c:pt>
                <c:pt idx="1">
                  <c:v>117.1078576689566</c:v>
                </c:pt>
                <c:pt idx="2">
                  <c:v>76.048999263460743</c:v>
                </c:pt>
                <c:pt idx="3">
                  <c:v>76.048999263460743</c:v>
                </c:pt>
                <c:pt idx="4">
                  <c:v>76.048999263461113</c:v>
                </c:pt>
                <c:pt idx="5">
                  <c:v>76.048999263460743</c:v>
                </c:pt>
                <c:pt idx="6">
                  <c:v>76.048999263460388</c:v>
                </c:pt>
                <c:pt idx="7">
                  <c:v>76.048999263460743</c:v>
                </c:pt>
                <c:pt idx="8">
                  <c:v>76.048999263460743</c:v>
                </c:pt>
                <c:pt idx="9">
                  <c:v>117.10785766895623</c:v>
                </c:pt>
                <c:pt idx="10">
                  <c:v>76.048999263460743</c:v>
                </c:pt>
                <c:pt idx="11">
                  <c:v>76.048999263460388</c:v>
                </c:pt>
                <c:pt idx="12">
                  <c:v>76.048999263460743</c:v>
                </c:pt>
                <c:pt idx="13">
                  <c:v>76.048999263460743</c:v>
                </c:pt>
                <c:pt idx="14">
                  <c:v>117.10785766895623</c:v>
                </c:pt>
                <c:pt idx="15">
                  <c:v>117.1078576689566</c:v>
                </c:pt>
              </c:numCache>
            </c:numRef>
          </c:val>
          <c:smooth val="0"/>
          <c:extLst>
            <c:ext xmlns:c16="http://schemas.microsoft.com/office/drawing/2014/chart" uri="{C3380CC4-5D6E-409C-BE32-E72D297353CC}">
              <c16:uniqueId val="{00000001-6B7A-E040-8434-C66832B3FAF5}"/>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'Wahlström, 1752'!$H$22</c:f>
          <c:strCache>
            <c:ptCount val="1"/>
            <c:pt idx="0">
              <c:v>Wahlström, 1752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'Wahlström, 1752'!$F$5</c:f>
              <c:strCache>
                <c:ptCount val="1"/>
                <c:pt idx="0">
                  <c:v>Wahlström, 1752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1752'!$F$6:$F$21</c:f>
              <c:numCache>
                <c:formatCode>0.00</c:formatCode>
                <c:ptCount val="16"/>
                <c:pt idx="0">
                  <c:v>78.995683516733891</c:v>
                </c:pt>
                <c:pt idx="1">
                  <c:v>119.63483688411776</c:v>
                </c:pt>
                <c:pt idx="2">
                  <c:v>85.393234705486719</c:v>
                </c:pt>
                <c:pt idx="3">
                  <c:v>75.432028606291922</c:v>
                </c:pt>
                <c:pt idx="4">
                  <c:v>101.3145373928474</c:v>
                </c:pt>
                <c:pt idx="5">
                  <c:v>81.333737321832018</c:v>
                </c:pt>
                <c:pt idx="6">
                  <c:v>109.2773740877484</c:v>
                </c:pt>
                <c:pt idx="7">
                  <c:v>82.849973315581707</c:v>
                </c:pt>
                <c:pt idx="8">
                  <c:v>85.060183387811605</c:v>
                </c:pt>
                <c:pt idx="9">
                  <c:v>107.81594085897656</c:v>
                </c:pt>
                <c:pt idx="10">
                  <c:v>78.349752302062981</c:v>
                </c:pt>
                <c:pt idx="11">
                  <c:v>121.84563175447477</c:v>
                </c:pt>
                <c:pt idx="12">
                  <c:v>103.08008808677664</c:v>
                </c:pt>
                <c:pt idx="13">
                  <c:v>92.354378177860951</c:v>
                </c:pt>
                <c:pt idx="14">
                  <c:v>129.25658076030385</c:v>
                </c:pt>
                <c:pt idx="15">
                  <c:v>117.4167880777735</c:v>
                </c:pt>
              </c:numCache>
            </c:numRef>
          </c:val>
          <c:smooth val="0"/>
          <c:extLst>
            <c:ext xmlns:c16="http://schemas.microsoft.com/office/drawing/2014/chart" uri="{C3380CC4-5D6E-409C-BE32-E72D297353CC}">
              <c16:uniqueId val="{00000000-26DB-0649-8F98-AB8BB903CDD8}"/>
            </c:ext>
          </c:extLst>
        </c:ser>
        <c:ser>
          <c:idx val="1"/>
          <c:order val="1"/>
          <c:tx>
            <c:strRef>
              <c:f>'Wahlström, 1752'!$H$3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1752'!$J$6:$J$21</c:f>
              <c:numCache>
                <c:formatCode>0.00</c:formatCode>
                <c:ptCount val="16"/>
                <c:pt idx="0">
                  <c:v>90.224995673063063</c:v>
                </c:pt>
                <c:pt idx="1">
                  <c:v>101.95500086538762</c:v>
                </c:pt>
                <c:pt idx="2">
                  <c:v>90.224995673063063</c:v>
                </c:pt>
                <c:pt idx="3">
                  <c:v>96.089998269225319</c:v>
                </c:pt>
                <c:pt idx="4">
                  <c:v>107.82000346154977</c:v>
                </c:pt>
                <c:pt idx="5">
                  <c:v>90.224995673063063</c:v>
                </c:pt>
                <c:pt idx="6">
                  <c:v>101.95500086538762</c:v>
                </c:pt>
                <c:pt idx="7">
                  <c:v>90.224995673063063</c:v>
                </c:pt>
                <c:pt idx="8">
                  <c:v>96.089998269225319</c:v>
                </c:pt>
                <c:pt idx="9">
                  <c:v>107.82000346154977</c:v>
                </c:pt>
                <c:pt idx="10">
                  <c:v>90.224995673063063</c:v>
                </c:pt>
                <c:pt idx="11">
                  <c:v>101.95500086538762</c:v>
                </c:pt>
                <c:pt idx="12">
                  <c:v>90.224995673063063</c:v>
                </c:pt>
                <c:pt idx="13">
                  <c:v>96.089998269225319</c:v>
                </c:pt>
                <c:pt idx="14">
                  <c:v>107.82000346154977</c:v>
                </c:pt>
                <c:pt idx="15">
                  <c:v>107.82000346154977</c:v>
                </c:pt>
              </c:numCache>
            </c:numRef>
          </c:val>
          <c:smooth val="0"/>
          <c:extLst>
            <c:ext xmlns:c16="http://schemas.microsoft.com/office/drawing/2014/chart" uri="{C3380CC4-5D6E-409C-BE32-E72D297353CC}">
              <c16:uniqueId val="{00000001-26DB-0649-8F98-AB8BB903CDD8}"/>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'Wahlström, 1752'!$M$22</c:f>
          <c:strCache>
            <c:ptCount val="1"/>
            <c:pt idx="0">
              <c:v>Wahlström, 1752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'Wahlström, 1752'!$F$5</c:f>
              <c:strCache>
                <c:ptCount val="1"/>
                <c:pt idx="0">
                  <c:v>Wahlström, 1752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1752'!$F$6:$F$21</c:f>
              <c:numCache>
                <c:formatCode>0.00</c:formatCode>
                <c:ptCount val="16"/>
                <c:pt idx="0">
                  <c:v>78.995683516733891</c:v>
                </c:pt>
                <c:pt idx="1">
                  <c:v>119.63483688411776</c:v>
                </c:pt>
                <c:pt idx="2">
                  <c:v>85.393234705486719</c:v>
                </c:pt>
                <c:pt idx="3">
                  <c:v>75.432028606291922</c:v>
                </c:pt>
                <c:pt idx="4">
                  <c:v>101.3145373928474</c:v>
                </c:pt>
                <c:pt idx="5">
                  <c:v>81.333737321832018</c:v>
                </c:pt>
                <c:pt idx="6">
                  <c:v>109.2773740877484</c:v>
                </c:pt>
                <c:pt idx="7">
                  <c:v>82.849973315581707</c:v>
                </c:pt>
                <c:pt idx="8">
                  <c:v>85.060183387811605</c:v>
                </c:pt>
                <c:pt idx="9">
                  <c:v>107.81594085897656</c:v>
                </c:pt>
                <c:pt idx="10">
                  <c:v>78.349752302062981</c:v>
                </c:pt>
                <c:pt idx="11">
                  <c:v>121.84563175447477</c:v>
                </c:pt>
                <c:pt idx="12">
                  <c:v>103.08008808677664</c:v>
                </c:pt>
                <c:pt idx="13">
                  <c:v>92.354378177860951</c:v>
                </c:pt>
                <c:pt idx="14">
                  <c:v>129.25658076030385</c:v>
                </c:pt>
                <c:pt idx="15">
                  <c:v>117.4167880777735</c:v>
                </c:pt>
              </c:numCache>
            </c:numRef>
          </c:val>
          <c:smooth val="0"/>
          <c:extLst>
            <c:ext xmlns:c16="http://schemas.microsoft.com/office/drawing/2014/chart" uri="{C3380CC4-5D6E-409C-BE32-E72D297353CC}">
              <c16:uniqueId val="{00000000-6704-E046-BDD7-74962975D221}"/>
            </c:ext>
          </c:extLst>
        </c:ser>
        <c:ser>
          <c:idx val="1"/>
          <c:order val="1"/>
          <c:tx>
            <c:strRef>
              <c:f>'Wahlström, 1752'!$M$3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1752'!$O$6:$O$21</c:f>
              <c:numCache>
                <c:formatCode>0.00</c:formatCode>
                <c:ptCount val="16"/>
                <c:pt idx="0">
                  <c:v>76.048999263460743</c:v>
                </c:pt>
                <c:pt idx="1">
                  <c:v>76.048999263460388</c:v>
                </c:pt>
                <c:pt idx="2">
                  <c:v>117.10785766895694</c:v>
                </c:pt>
                <c:pt idx="3">
                  <c:v>76.048999263460743</c:v>
                </c:pt>
                <c:pt idx="4">
                  <c:v>76.048999263460388</c:v>
                </c:pt>
                <c:pt idx="5">
                  <c:v>76.048999263460743</c:v>
                </c:pt>
                <c:pt idx="6">
                  <c:v>76.048999263460388</c:v>
                </c:pt>
                <c:pt idx="7">
                  <c:v>117.10785766895694</c:v>
                </c:pt>
                <c:pt idx="8">
                  <c:v>76.048999263460743</c:v>
                </c:pt>
                <c:pt idx="9">
                  <c:v>76.048999263460388</c:v>
                </c:pt>
                <c:pt idx="10">
                  <c:v>76.048999263460743</c:v>
                </c:pt>
                <c:pt idx="11">
                  <c:v>76.048999263460388</c:v>
                </c:pt>
                <c:pt idx="12">
                  <c:v>117.10785766895694</c:v>
                </c:pt>
                <c:pt idx="13">
                  <c:v>76.048999263460743</c:v>
                </c:pt>
                <c:pt idx="14">
                  <c:v>76.048999263460388</c:v>
                </c:pt>
                <c:pt idx="15">
                  <c:v>76.048999263460388</c:v>
                </c:pt>
              </c:numCache>
            </c:numRef>
          </c:val>
          <c:smooth val="0"/>
          <c:extLst>
            <c:ext xmlns:c16="http://schemas.microsoft.com/office/drawing/2014/chart" uri="{C3380CC4-5D6E-409C-BE32-E72D297353CC}">
              <c16:uniqueId val="{00000001-6704-E046-BDD7-74962975D221}"/>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'Wahlström, 1752'!$W$22</c:f>
          <c:strCache>
            <c:ptCount val="1"/>
            <c:pt idx="0">
              <c:v>Wahlström, 1752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'Wahlström, 1752'!$F$5</c:f>
              <c:strCache>
                <c:ptCount val="1"/>
                <c:pt idx="0">
                  <c:v>Wahlström, 1752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1752'!$F$6:$F$21</c:f>
              <c:numCache>
                <c:formatCode>0.00</c:formatCode>
                <c:ptCount val="16"/>
                <c:pt idx="0">
                  <c:v>78.995683516733891</c:v>
                </c:pt>
                <c:pt idx="1">
                  <c:v>119.63483688411776</c:v>
                </c:pt>
                <c:pt idx="2">
                  <c:v>85.393234705486719</c:v>
                </c:pt>
                <c:pt idx="3">
                  <c:v>75.432028606291922</c:v>
                </c:pt>
                <c:pt idx="4">
                  <c:v>101.3145373928474</c:v>
                </c:pt>
                <c:pt idx="5">
                  <c:v>81.333737321832018</c:v>
                </c:pt>
                <c:pt idx="6">
                  <c:v>109.2773740877484</c:v>
                </c:pt>
                <c:pt idx="7">
                  <c:v>82.849973315581707</c:v>
                </c:pt>
                <c:pt idx="8">
                  <c:v>85.060183387811605</c:v>
                </c:pt>
                <c:pt idx="9">
                  <c:v>107.81594085897656</c:v>
                </c:pt>
                <c:pt idx="10">
                  <c:v>78.349752302062981</c:v>
                </c:pt>
                <c:pt idx="11">
                  <c:v>121.84563175447477</c:v>
                </c:pt>
                <c:pt idx="12">
                  <c:v>103.08008808677664</c:v>
                </c:pt>
                <c:pt idx="13">
                  <c:v>92.354378177860951</c:v>
                </c:pt>
                <c:pt idx="14">
                  <c:v>129.25658076030385</c:v>
                </c:pt>
                <c:pt idx="15">
                  <c:v>117.4167880777735</c:v>
                </c:pt>
              </c:numCache>
            </c:numRef>
          </c:val>
          <c:smooth val="0"/>
          <c:extLst>
            <c:ext xmlns:c16="http://schemas.microsoft.com/office/drawing/2014/chart" uri="{C3380CC4-5D6E-409C-BE32-E72D297353CC}">
              <c16:uniqueId val="{00000000-7CAE-014A-8A61-27C4FE1038A4}"/>
            </c:ext>
          </c:extLst>
        </c:ser>
        <c:ser>
          <c:idx val="1"/>
          <c:order val="1"/>
          <c:tx>
            <c:strRef>
              <c:f>'Wahlström, 1752'!$W$3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1752'!$Y$6:$Y$21</c:f>
              <c:numCache>
                <c:formatCode>0.00</c:formatCode>
                <c:ptCount val="16"/>
                <c:pt idx="0">
                  <c:v>100.00000000000007</c:v>
                </c:pt>
                <c:pt idx="1">
                  <c:v>99.99999999999973</c:v>
                </c:pt>
                <c:pt idx="2">
                  <c:v>100.00000000000007</c:v>
                </c:pt>
                <c:pt idx="3">
                  <c:v>99.99999999999973</c:v>
                </c:pt>
                <c:pt idx="4">
                  <c:v>100.00000000000007</c:v>
                </c:pt>
                <c:pt idx="5">
                  <c:v>100.00000000000007</c:v>
                </c:pt>
                <c:pt idx="6">
                  <c:v>99.99999999999973</c:v>
                </c:pt>
                <c:pt idx="7">
                  <c:v>100.00000000000007</c:v>
                </c:pt>
                <c:pt idx="8">
                  <c:v>99.99999999999973</c:v>
                </c:pt>
                <c:pt idx="9">
                  <c:v>100.00000000000007</c:v>
                </c:pt>
                <c:pt idx="10">
                  <c:v>100.00000000000007</c:v>
                </c:pt>
                <c:pt idx="11">
                  <c:v>99.99999999999973</c:v>
                </c:pt>
                <c:pt idx="12">
                  <c:v>100.00000000000007</c:v>
                </c:pt>
                <c:pt idx="13">
                  <c:v>99.99999999999973</c:v>
                </c:pt>
                <c:pt idx="14">
                  <c:v>100.00000000000007</c:v>
                </c:pt>
                <c:pt idx="15">
                  <c:v>100.00000000000007</c:v>
                </c:pt>
              </c:numCache>
            </c:numRef>
          </c:val>
          <c:smooth val="0"/>
          <c:extLst>
            <c:ext xmlns:c16="http://schemas.microsoft.com/office/drawing/2014/chart" uri="{C3380CC4-5D6E-409C-BE32-E72D297353CC}">
              <c16:uniqueId val="{00000001-7CAE-014A-8A61-27C4FE1038A4}"/>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'Wahlström, 1752'!$R$22</c:f>
          <c:strCache>
            <c:ptCount val="1"/>
            <c:pt idx="0">
              <c:v>Wahlström, 1752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'Wahlström, 1752'!$F$5</c:f>
              <c:strCache>
                <c:ptCount val="1"/>
                <c:pt idx="0">
                  <c:v>Wahlström, 1752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1752'!$F$6:$F$21</c:f>
              <c:numCache>
                <c:formatCode>0.00</c:formatCode>
                <c:ptCount val="16"/>
                <c:pt idx="0">
                  <c:v>78.995683516733891</c:v>
                </c:pt>
                <c:pt idx="1">
                  <c:v>119.63483688411776</c:v>
                </c:pt>
                <c:pt idx="2">
                  <c:v>85.393234705486719</c:v>
                </c:pt>
                <c:pt idx="3">
                  <c:v>75.432028606291922</c:v>
                </c:pt>
                <c:pt idx="4">
                  <c:v>101.3145373928474</c:v>
                </c:pt>
                <c:pt idx="5">
                  <c:v>81.333737321832018</c:v>
                </c:pt>
                <c:pt idx="6">
                  <c:v>109.2773740877484</c:v>
                </c:pt>
                <c:pt idx="7">
                  <c:v>82.849973315581707</c:v>
                </c:pt>
                <c:pt idx="8">
                  <c:v>85.060183387811605</c:v>
                </c:pt>
                <c:pt idx="9">
                  <c:v>107.81594085897656</c:v>
                </c:pt>
                <c:pt idx="10">
                  <c:v>78.349752302062981</c:v>
                </c:pt>
                <c:pt idx="11">
                  <c:v>121.84563175447477</c:v>
                </c:pt>
                <c:pt idx="12">
                  <c:v>103.08008808677664</c:v>
                </c:pt>
                <c:pt idx="13">
                  <c:v>92.354378177860951</c:v>
                </c:pt>
                <c:pt idx="14">
                  <c:v>129.25658076030385</c:v>
                </c:pt>
                <c:pt idx="15">
                  <c:v>117.4167880777735</c:v>
                </c:pt>
              </c:numCache>
            </c:numRef>
          </c:val>
          <c:smooth val="0"/>
          <c:extLst>
            <c:ext xmlns:c16="http://schemas.microsoft.com/office/drawing/2014/chart" uri="{C3380CC4-5D6E-409C-BE32-E72D297353CC}">
              <c16:uniqueId val="{00000000-ABEA-F541-8239-ED306E2D25BB}"/>
            </c:ext>
          </c:extLst>
        </c:ser>
        <c:ser>
          <c:idx val="1"/>
          <c:order val="1"/>
          <c:tx>
            <c:strRef>
              <c:f>'Wahlström, 1752'!$R$3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'Wahlström, 1752'!$B$6:$B$21</c:f>
              <c:strCache>
                <c:ptCount val="16"/>
                <c:pt idx="0">
                  <c:v>C</c:v>
                </c:pt>
                <c:pt idx="1">
                  <c:v>D</c:v>
                </c:pt>
                <c:pt idx="2">
                  <c:v>F</c:v>
                </c:pt>
                <c:pt idx="3">
                  <c:v>G</c:v>
                </c:pt>
                <c:pt idx="4">
                  <c:v>A</c:v>
                </c:pt>
                <c:pt idx="5">
                  <c:v>C</c:v>
                </c:pt>
                <c:pt idx="6">
                  <c:v>D</c:v>
                </c:pt>
                <c:pt idx="7">
                  <c:v>F</c:v>
                </c:pt>
                <c:pt idx="8">
                  <c:v>G</c:v>
                </c:pt>
                <c:pt idx="9">
                  <c:v>A</c:v>
                </c:pt>
                <c:pt idx="10">
                  <c:v>C</c:v>
                </c:pt>
                <c:pt idx="11">
                  <c:v>D</c:v>
                </c:pt>
                <c:pt idx="12">
                  <c:v>F</c:v>
                </c:pt>
                <c:pt idx="13">
                  <c:v>G</c:v>
                </c:pt>
                <c:pt idx="14">
                  <c:v>A</c:v>
                </c:pt>
                <c:pt idx="15">
                  <c:v>B</c:v>
                </c:pt>
              </c:strCache>
            </c:strRef>
          </c:cat>
          <c:val>
            <c:numRef>
              <c:f>'Wahlström, 1752'!$T$6:$T$21</c:f>
              <c:numCache>
                <c:formatCode>0.00</c:formatCode>
                <c:ptCount val="16"/>
                <c:pt idx="0">
                  <c:v>76.048999263460743</c:v>
                </c:pt>
                <c:pt idx="1">
                  <c:v>76.048999263460388</c:v>
                </c:pt>
                <c:pt idx="2">
                  <c:v>76.048999263460743</c:v>
                </c:pt>
                <c:pt idx="3">
                  <c:v>76.048999263460743</c:v>
                </c:pt>
                <c:pt idx="4">
                  <c:v>117.10785766895623</c:v>
                </c:pt>
                <c:pt idx="5">
                  <c:v>76.048999263460743</c:v>
                </c:pt>
                <c:pt idx="6">
                  <c:v>76.048999263460388</c:v>
                </c:pt>
                <c:pt idx="7">
                  <c:v>76.048999263460743</c:v>
                </c:pt>
                <c:pt idx="8">
                  <c:v>76.048999263460743</c:v>
                </c:pt>
                <c:pt idx="9">
                  <c:v>117.10785766895623</c:v>
                </c:pt>
                <c:pt idx="10">
                  <c:v>76.048999263460743</c:v>
                </c:pt>
                <c:pt idx="11">
                  <c:v>76.048999263460388</c:v>
                </c:pt>
                <c:pt idx="12">
                  <c:v>76.048999263460743</c:v>
                </c:pt>
                <c:pt idx="13">
                  <c:v>76.048999263460743</c:v>
                </c:pt>
                <c:pt idx="14">
                  <c:v>117.10785766895623</c:v>
                </c:pt>
                <c:pt idx="15">
                  <c:v>117.1078576689566</c:v>
                </c:pt>
              </c:numCache>
            </c:numRef>
          </c:val>
          <c:smooth val="0"/>
          <c:extLst>
            <c:ext xmlns:c16="http://schemas.microsoft.com/office/drawing/2014/chart" uri="{C3380CC4-5D6E-409C-BE32-E72D297353CC}">
              <c16:uniqueId val="{00000001-ABEA-F541-8239-ED306E2D25BB}"/>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'Guitar, Modern'!$W$25</c:f>
          <c:strCache>
            <c:ptCount val="1"/>
            <c:pt idx="0">
              <c:v>Guitar, Modern Fret Size cents vs. Vallotti-Young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'Guitar, Modern'!$F$5</c:f>
              <c:strCache>
                <c:ptCount val="1"/>
                <c:pt idx="0">
                  <c:v>Guitar, Modern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Modern'!$F$6:$F$24</c:f>
              <c:numCache>
                <c:formatCode>0.00</c:formatCode>
                <c:ptCount val="19"/>
                <c:pt idx="0">
                  <c:v>99.814522009839067</c:v>
                </c:pt>
                <c:pt idx="1">
                  <c:v>100.03213242927258</c:v>
                </c:pt>
                <c:pt idx="2">
                  <c:v>101.41448066685346</c:v>
                </c:pt>
                <c:pt idx="3">
                  <c:v>99.326980712996701</c:v>
                </c:pt>
                <c:pt idx="4">
                  <c:v>100.03935627370365</c:v>
                </c:pt>
                <c:pt idx="5">
                  <c:v>100.52202923111726</c:v>
                </c:pt>
                <c:pt idx="6">
                  <c:v>98.73322095596987</c:v>
                </c:pt>
                <c:pt idx="7">
                  <c:v>100.47872077074507</c:v>
                </c:pt>
                <c:pt idx="8">
                  <c:v>99.948412033242931</c:v>
                </c:pt>
                <c:pt idx="9">
                  <c:v>98.954592230367936</c:v>
                </c:pt>
                <c:pt idx="10">
                  <c:v>99.930053144287058</c:v>
                </c:pt>
                <c:pt idx="11">
                  <c:v>98.069276921344439</c:v>
                </c:pt>
                <c:pt idx="12">
                  <c:v>101.1426648053706</c:v>
                </c:pt>
                <c:pt idx="13">
                  <c:v>101.44021225400124</c:v>
                </c:pt>
                <c:pt idx="14">
                  <c:v>98.252408465289562</c:v>
                </c:pt>
                <c:pt idx="15">
                  <c:v>100.81393517471032</c:v>
                </c:pt>
                <c:pt idx="16">
                  <c:v>99.93975930245827</c:v>
                </c:pt>
                <c:pt idx="17">
                  <c:v>102.29674394221307</c:v>
                </c:pt>
                <c:pt idx="18">
                  <c:v>100.72658219987521</c:v>
                </c:pt>
              </c:numCache>
            </c:numRef>
          </c:val>
          <c:smooth val="0"/>
          <c:extLst>
            <c:ext xmlns:c16="http://schemas.microsoft.com/office/drawing/2014/chart" uri="{C3380CC4-5D6E-409C-BE32-E72D297353CC}">
              <c16:uniqueId val="{00000000-2B8E-7A4D-A783-AB42B848F8DE}"/>
            </c:ext>
          </c:extLst>
        </c:ser>
        <c:ser>
          <c:idx val="1"/>
          <c:order val="1"/>
          <c:tx>
            <c:strRef>
              <c:f>'Guitar, Modern'!$W$3</c:f>
              <c:strCache>
                <c:ptCount val="1"/>
                <c:pt idx="0">
                  <c:v>Vallotti-Young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Modern'!$Y$6:$Y$24</c:f>
              <c:numCache>
                <c:formatCode>0.00</c:formatCode>
                <c:ptCount val="19"/>
                <c:pt idx="0">
                  <c:v>101.95500086538762</c:v>
                </c:pt>
                <c:pt idx="1">
                  <c:v>94.134997403837588</c:v>
                </c:pt>
                <c:pt idx="2">
                  <c:v>109.77500432693741</c:v>
                </c:pt>
                <c:pt idx="3">
                  <c:v>90.224995673063063</c:v>
                </c:pt>
                <c:pt idx="4">
                  <c:v>105.86500259616219</c:v>
                </c:pt>
                <c:pt idx="5">
                  <c:v>98.044999134612695</c:v>
                </c:pt>
                <c:pt idx="6">
                  <c:v>98.044999134612354</c:v>
                </c:pt>
                <c:pt idx="7">
                  <c:v>105.86500259616255</c:v>
                </c:pt>
                <c:pt idx="8">
                  <c:v>90.224995673062693</c:v>
                </c:pt>
                <c:pt idx="9">
                  <c:v>109.77500432693707</c:v>
                </c:pt>
                <c:pt idx="10">
                  <c:v>94.134997403837943</c:v>
                </c:pt>
                <c:pt idx="11">
                  <c:v>101.95500086538728</c:v>
                </c:pt>
                <c:pt idx="12">
                  <c:v>101.95500086538762</c:v>
                </c:pt>
                <c:pt idx="13">
                  <c:v>94.134997403837588</c:v>
                </c:pt>
                <c:pt idx="14">
                  <c:v>109.77500432693741</c:v>
                </c:pt>
                <c:pt idx="15">
                  <c:v>90.224995673063063</c:v>
                </c:pt>
                <c:pt idx="16">
                  <c:v>105.86500259616219</c:v>
                </c:pt>
                <c:pt idx="17">
                  <c:v>98.044999134612695</c:v>
                </c:pt>
                <c:pt idx="18">
                  <c:v>98.044999134612354</c:v>
                </c:pt>
              </c:numCache>
            </c:numRef>
          </c:val>
          <c:smooth val="0"/>
          <c:extLst>
            <c:ext xmlns:c16="http://schemas.microsoft.com/office/drawing/2014/chart" uri="{C3380CC4-5D6E-409C-BE32-E72D297353CC}">
              <c16:uniqueId val="{00000001-2B8E-7A4D-A783-AB42B848F8DE}"/>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Edinburgh, 1784'!$H$21</c:f>
          <c:strCache>
            <c:ptCount val="1"/>
            <c:pt idx="0">
              <c:v>Hubert, Edinburgh, 1784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'Hubert, Edinburgh, 1784'!$F$5</c:f>
              <c:strCache>
                <c:ptCount val="1"/>
                <c:pt idx="0">
                  <c:v>Hubert, Edinburgh, 1784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1784'!$F$6:$F$20</c:f>
              <c:numCache>
                <c:formatCode>0.00</c:formatCode>
                <c:ptCount val="15"/>
                <c:pt idx="0">
                  <c:v>88.41735624318494</c:v>
                </c:pt>
                <c:pt idx="1">
                  <c:v>92.718151592043412</c:v>
                </c:pt>
                <c:pt idx="2">
                  <c:v>85.237486718900072</c:v>
                </c:pt>
                <c:pt idx="3">
                  <c:v>95.516191797100333</c:v>
                </c:pt>
                <c:pt idx="4">
                  <c:v>90.971524410781115</c:v>
                </c:pt>
                <c:pt idx="5">
                  <c:v>86.404525655796107</c:v>
                </c:pt>
                <c:pt idx="6">
                  <c:v>94.741609673786215</c:v>
                </c:pt>
                <c:pt idx="7">
                  <c:v>100.38951485629148</c:v>
                </c:pt>
                <c:pt idx="8">
                  <c:v>83.449119903692434</c:v>
                </c:pt>
                <c:pt idx="9">
                  <c:v>100.87711774616946</c:v>
                </c:pt>
                <c:pt idx="10">
                  <c:v>99.496364742711421</c:v>
                </c:pt>
                <c:pt idx="11">
                  <c:v>79.55001445101928</c:v>
                </c:pt>
                <c:pt idx="12">
                  <c:v>104.95540950040728</c:v>
                </c:pt>
                <c:pt idx="13">
                  <c:v>116.42934527383767</c:v>
                </c:pt>
                <c:pt idx="14">
                  <c:v>125.63685440003186</c:v>
                </c:pt>
              </c:numCache>
            </c:numRef>
          </c:val>
          <c:smooth val="0"/>
          <c:extLst>
            <c:ext xmlns:c16="http://schemas.microsoft.com/office/drawing/2014/chart" uri="{C3380CC4-5D6E-409C-BE32-E72D297353CC}">
              <c16:uniqueId val="{00000000-761D-DA4F-BC3D-08432E2BB38D}"/>
            </c:ext>
          </c:extLst>
        </c:ser>
        <c:ser>
          <c:idx val="1"/>
          <c:order val="1"/>
          <c:tx>
            <c:strRef>
              <c:f>'Hubert, Edinburgh, 1784'!$H$3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1784'!$J$6:$J$20</c:f>
              <c:numCache>
                <c:formatCode>0.00</c:formatCode>
                <c:ptCount val="15"/>
                <c:pt idx="0">
                  <c:v>90.224995673063063</c:v>
                </c:pt>
                <c:pt idx="1">
                  <c:v>96.089998269225319</c:v>
                </c:pt>
                <c:pt idx="2">
                  <c:v>96.089998269224949</c:v>
                </c:pt>
                <c:pt idx="3">
                  <c:v>90.224995673063063</c:v>
                </c:pt>
                <c:pt idx="4">
                  <c:v>96.089998269224949</c:v>
                </c:pt>
                <c:pt idx="5">
                  <c:v>90.224995673063063</c:v>
                </c:pt>
                <c:pt idx="6">
                  <c:v>96.089998269225319</c:v>
                </c:pt>
                <c:pt idx="7">
                  <c:v>96.089998269224949</c:v>
                </c:pt>
                <c:pt idx="8">
                  <c:v>90.224995673063063</c:v>
                </c:pt>
                <c:pt idx="9">
                  <c:v>96.089998269224949</c:v>
                </c:pt>
                <c:pt idx="10">
                  <c:v>90.224995673063063</c:v>
                </c:pt>
                <c:pt idx="11">
                  <c:v>96.089998269225319</c:v>
                </c:pt>
                <c:pt idx="12">
                  <c:v>96.089998269224949</c:v>
                </c:pt>
                <c:pt idx="13">
                  <c:v>90.224995673063063</c:v>
                </c:pt>
                <c:pt idx="14">
                  <c:v>96.089998269224949</c:v>
                </c:pt>
              </c:numCache>
            </c:numRef>
          </c:val>
          <c:smooth val="0"/>
          <c:extLst>
            <c:ext xmlns:c16="http://schemas.microsoft.com/office/drawing/2014/chart" uri="{C3380CC4-5D6E-409C-BE32-E72D297353CC}">
              <c16:uniqueId val="{00000001-761D-DA4F-BC3D-08432E2BB38D}"/>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Edinburgh, 1784'!$M$21</c:f>
          <c:strCache>
            <c:ptCount val="1"/>
            <c:pt idx="0">
              <c:v>Hubert, Edinburgh, 1784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'Hubert, Edinburgh, 1784'!$F$5</c:f>
              <c:strCache>
                <c:ptCount val="1"/>
                <c:pt idx="0">
                  <c:v>Hubert, Edinburgh, 1784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1784'!$F$6:$F$20</c:f>
              <c:numCache>
                <c:formatCode>0.00</c:formatCode>
                <c:ptCount val="15"/>
                <c:pt idx="0">
                  <c:v>88.41735624318494</c:v>
                </c:pt>
                <c:pt idx="1">
                  <c:v>92.718151592043412</c:v>
                </c:pt>
                <c:pt idx="2">
                  <c:v>85.237486718900072</c:v>
                </c:pt>
                <c:pt idx="3">
                  <c:v>95.516191797100333</c:v>
                </c:pt>
                <c:pt idx="4">
                  <c:v>90.971524410781115</c:v>
                </c:pt>
                <c:pt idx="5">
                  <c:v>86.404525655796107</c:v>
                </c:pt>
                <c:pt idx="6">
                  <c:v>94.741609673786215</c:v>
                </c:pt>
                <c:pt idx="7">
                  <c:v>100.38951485629148</c:v>
                </c:pt>
                <c:pt idx="8">
                  <c:v>83.449119903692434</c:v>
                </c:pt>
                <c:pt idx="9">
                  <c:v>100.87711774616946</c:v>
                </c:pt>
                <c:pt idx="10">
                  <c:v>99.496364742711421</c:v>
                </c:pt>
                <c:pt idx="11">
                  <c:v>79.55001445101928</c:v>
                </c:pt>
                <c:pt idx="12">
                  <c:v>104.95540950040728</c:v>
                </c:pt>
                <c:pt idx="13">
                  <c:v>116.42934527383767</c:v>
                </c:pt>
                <c:pt idx="14">
                  <c:v>125.63685440003186</c:v>
                </c:pt>
              </c:numCache>
            </c:numRef>
          </c:val>
          <c:smooth val="0"/>
          <c:extLst>
            <c:ext xmlns:c16="http://schemas.microsoft.com/office/drawing/2014/chart" uri="{C3380CC4-5D6E-409C-BE32-E72D297353CC}">
              <c16:uniqueId val="{00000000-47D5-7542-A7C1-90F7049AF68F}"/>
            </c:ext>
          </c:extLst>
        </c:ser>
        <c:ser>
          <c:idx val="1"/>
          <c:order val="1"/>
          <c:tx>
            <c:strRef>
              <c:f>'Hubert, Edinburgh, 1784'!$M$3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1784'!$O$6:$O$20</c:f>
              <c:numCache>
                <c:formatCode>0.00</c:formatCode>
                <c:ptCount val="15"/>
                <c:pt idx="0">
                  <c:v>117.10785766895694</c:v>
                </c:pt>
                <c:pt idx="1">
                  <c:v>76.048999263460743</c:v>
                </c:pt>
                <c:pt idx="2">
                  <c:v>117.10785766895694</c:v>
                </c:pt>
                <c:pt idx="3">
                  <c:v>76.048999263460743</c:v>
                </c:pt>
                <c:pt idx="4">
                  <c:v>117.1078576689566</c:v>
                </c:pt>
                <c:pt idx="5">
                  <c:v>117.10785766895694</c:v>
                </c:pt>
                <c:pt idx="6">
                  <c:v>76.048999263460743</c:v>
                </c:pt>
                <c:pt idx="7">
                  <c:v>117.10785766895694</c:v>
                </c:pt>
                <c:pt idx="8">
                  <c:v>76.048999263460743</c:v>
                </c:pt>
                <c:pt idx="9">
                  <c:v>117.1078576689566</c:v>
                </c:pt>
                <c:pt idx="10">
                  <c:v>117.10785766895694</c:v>
                </c:pt>
                <c:pt idx="11">
                  <c:v>76.048999263460743</c:v>
                </c:pt>
                <c:pt idx="12">
                  <c:v>117.10785766895694</c:v>
                </c:pt>
                <c:pt idx="13">
                  <c:v>76.048999263460743</c:v>
                </c:pt>
                <c:pt idx="14">
                  <c:v>117.1078576689566</c:v>
                </c:pt>
              </c:numCache>
            </c:numRef>
          </c:val>
          <c:smooth val="0"/>
          <c:extLst>
            <c:ext xmlns:c16="http://schemas.microsoft.com/office/drawing/2014/chart" uri="{C3380CC4-5D6E-409C-BE32-E72D297353CC}">
              <c16:uniqueId val="{00000001-47D5-7542-A7C1-90F7049AF68F}"/>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Edinburgh, 1784'!$W$21</c:f>
          <c:strCache>
            <c:ptCount val="1"/>
            <c:pt idx="0">
              <c:v>Hubert, Edinburgh, 1784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'Hubert, Edinburgh, 1784'!$F$5</c:f>
              <c:strCache>
                <c:ptCount val="1"/>
                <c:pt idx="0">
                  <c:v>Hubert, Edinburgh, 1784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1784'!$F$6:$F$20</c:f>
              <c:numCache>
                <c:formatCode>0.00</c:formatCode>
                <c:ptCount val="15"/>
                <c:pt idx="0">
                  <c:v>88.41735624318494</c:v>
                </c:pt>
                <c:pt idx="1">
                  <c:v>92.718151592043412</c:v>
                </c:pt>
                <c:pt idx="2">
                  <c:v>85.237486718900072</c:v>
                </c:pt>
                <c:pt idx="3">
                  <c:v>95.516191797100333</c:v>
                </c:pt>
                <c:pt idx="4">
                  <c:v>90.971524410781115</c:v>
                </c:pt>
                <c:pt idx="5">
                  <c:v>86.404525655796107</c:v>
                </c:pt>
                <c:pt idx="6">
                  <c:v>94.741609673786215</c:v>
                </c:pt>
                <c:pt idx="7">
                  <c:v>100.38951485629148</c:v>
                </c:pt>
                <c:pt idx="8">
                  <c:v>83.449119903692434</c:v>
                </c:pt>
                <c:pt idx="9">
                  <c:v>100.87711774616946</c:v>
                </c:pt>
                <c:pt idx="10">
                  <c:v>99.496364742711421</c:v>
                </c:pt>
                <c:pt idx="11">
                  <c:v>79.55001445101928</c:v>
                </c:pt>
                <c:pt idx="12">
                  <c:v>104.95540950040728</c:v>
                </c:pt>
                <c:pt idx="13">
                  <c:v>116.42934527383767</c:v>
                </c:pt>
                <c:pt idx="14">
                  <c:v>125.63685440003186</c:v>
                </c:pt>
              </c:numCache>
            </c:numRef>
          </c:val>
          <c:smooth val="0"/>
          <c:extLst>
            <c:ext xmlns:c16="http://schemas.microsoft.com/office/drawing/2014/chart" uri="{C3380CC4-5D6E-409C-BE32-E72D297353CC}">
              <c16:uniqueId val="{00000000-90A3-2549-B975-BC5D722D0B0F}"/>
            </c:ext>
          </c:extLst>
        </c:ser>
        <c:ser>
          <c:idx val="1"/>
          <c:order val="1"/>
          <c:tx>
            <c:strRef>
              <c:f>'Hubert, Edinburgh, 1784'!$W$3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1784'!$Y$6:$Y$20</c:f>
              <c:numCache>
                <c:formatCode>0.00</c:formatCode>
                <c:ptCount val="15"/>
                <c:pt idx="0">
                  <c:v>100.00000000000007</c:v>
                </c:pt>
                <c:pt idx="1">
                  <c:v>99.99999999999973</c:v>
                </c:pt>
                <c:pt idx="2">
                  <c:v>100.00000000000007</c:v>
                </c:pt>
                <c:pt idx="3">
                  <c:v>100.00000000000007</c:v>
                </c:pt>
                <c:pt idx="4">
                  <c:v>100.00000000000007</c:v>
                </c:pt>
                <c:pt idx="5">
                  <c:v>100.00000000000007</c:v>
                </c:pt>
                <c:pt idx="6">
                  <c:v>99.99999999999973</c:v>
                </c:pt>
                <c:pt idx="7">
                  <c:v>100.00000000000007</c:v>
                </c:pt>
                <c:pt idx="8">
                  <c:v>100.00000000000007</c:v>
                </c:pt>
                <c:pt idx="9">
                  <c:v>100.00000000000007</c:v>
                </c:pt>
                <c:pt idx="10">
                  <c:v>100.00000000000007</c:v>
                </c:pt>
                <c:pt idx="11">
                  <c:v>99.99999999999973</c:v>
                </c:pt>
                <c:pt idx="12">
                  <c:v>100.00000000000007</c:v>
                </c:pt>
                <c:pt idx="13">
                  <c:v>100.00000000000007</c:v>
                </c:pt>
                <c:pt idx="14">
                  <c:v>100.00000000000007</c:v>
                </c:pt>
              </c:numCache>
            </c:numRef>
          </c:val>
          <c:smooth val="0"/>
          <c:extLst>
            <c:ext xmlns:c16="http://schemas.microsoft.com/office/drawing/2014/chart" uri="{C3380CC4-5D6E-409C-BE32-E72D297353CC}">
              <c16:uniqueId val="{00000001-90A3-2549-B975-BC5D722D0B0F}"/>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Edinburgh, 1784'!$R$21</c:f>
          <c:strCache>
            <c:ptCount val="1"/>
            <c:pt idx="0">
              <c:v>Hubert, Edinburgh, 1784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'Hubert, Edinburgh, 1784'!$F$5</c:f>
              <c:strCache>
                <c:ptCount val="1"/>
                <c:pt idx="0">
                  <c:v>Hubert, Edinburgh, 1784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1784'!$F$6:$F$20</c:f>
              <c:numCache>
                <c:formatCode>0.00</c:formatCode>
                <c:ptCount val="15"/>
                <c:pt idx="0">
                  <c:v>88.41735624318494</c:v>
                </c:pt>
                <c:pt idx="1">
                  <c:v>92.718151592043412</c:v>
                </c:pt>
                <c:pt idx="2">
                  <c:v>85.237486718900072</c:v>
                </c:pt>
                <c:pt idx="3">
                  <c:v>95.516191797100333</c:v>
                </c:pt>
                <c:pt idx="4">
                  <c:v>90.971524410781115</c:v>
                </c:pt>
                <c:pt idx="5">
                  <c:v>86.404525655796107</c:v>
                </c:pt>
                <c:pt idx="6">
                  <c:v>94.741609673786215</c:v>
                </c:pt>
                <c:pt idx="7">
                  <c:v>100.38951485629148</c:v>
                </c:pt>
                <c:pt idx="8">
                  <c:v>83.449119903692434</c:v>
                </c:pt>
                <c:pt idx="9">
                  <c:v>100.87711774616946</c:v>
                </c:pt>
                <c:pt idx="10">
                  <c:v>99.496364742711421</c:v>
                </c:pt>
                <c:pt idx="11">
                  <c:v>79.55001445101928</c:v>
                </c:pt>
                <c:pt idx="12">
                  <c:v>104.95540950040728</c:v>
                </c:pt>
                <c:pt idx="13">
                  <c:v>116.42934527383767</c:v>
                </c:pt>
                <c:pt idx="14">
                  <c:v>125.63685440003186</c:v>
                </c:pt>
              </c:numCache>
            </c:numRef>
          </c:val>
          <c:smooth val="0"/>
          <c:extLst>
            <c:ext xmlns:c16="http://schemas.microsoft.com/office/drawing/2014/chart" uri="{C3380CC4-5D6E-409C-BE32-E72D297353CC}">
              <c16:uniqueId val="{00000000-F1B2-BD47-B1E5-C89C91DCF733}"/>
            </c:ext>
          </c:extLst>
        </c:ser>
        <c:ser>
          <c:idx val="1"/>
          <c:order val="1"/>
          <c:tx>
            <c:strRef>
              <c:f>'Hubert, Edinburgh, 1784'!$R$3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'Hubert, Edinburgh, 1784'!$B$6:$B$20</c:f>
              <c:strCache>
                <c:ptCount val="15"/>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strCache>
            </c:strRef>
          </c:cat>
          <c:val>
            <c:numRef>
              <c:f>'Hubert, Edinburgh, 1784'!$T$6:$T$20</c:f>
              <c:numCache>
                <c:formatCode>0.00</c:formatCode>
                <c:ptCount val="15"/>
                <c:pt idx="0">
                  <c:v>76.048999263460743</c:v>
                </c:pt>
                <c:pt idx="1">
                  <c:v>76.048999263460743</c:v>
                </c:pt>
                <c:pt idx="2">
                  <c:v>76.048999263461113</c:v>
                </c:pt>
                <c:pt idx="3">
                  <c:v>76.048999263460743</c:v>
                </c:pt>
                <c:pt idx="4">
                  <c:v>117.1078576689566</c:v>
                </c:pt>
                <c:pt idx="5">
                  <c:v>76.048999263460743</c:v>
                </c:pt>
                <c:pt idx="6">
                  <c:v>76.048999263460743</c:v>
                </c:pt>
                <c:pt idx="7">
                  <c:v>76.048999263461113</c:v>
                </c:pt>
                <c:pt idx="8">
                  <c:v>76.048999263460743</c:v>
                </c:pt>
                <c:pt idx="9">
                  <c:v>117.1078576689566</c:v>
                </c:pt>
                <c:pt idx="10">
                  <c:v>76.048999263460743</c:v>
                </c:pt>
                <c:pt idx="11">
                  <c:v>76.048999263460743</c:v>
                </c:pt>
                <c:pt idx="12">
                  <c:v>76.048999263461113</c:v>
                </c:pt>
                <c:pt idx="13">
                  <c:v>76.048999263460743</c:v>
                </c:pt>
                <c:pt idx="14">
                  <c:v>117.1078576689566</c:v>
                </c:pt>
              </c:numCache>
            </c:numRef>
          </c:val>
          <c:smooth val="0"/>
          <c:extLst>
            <c:ext xmlns:c16="http://schemas.microsoft.com/office/drawing/2014/chart" uri="{C3380CC4-5D6E-409C-BE32-E72D297353CC}">
              <c16:uniqueId val="{00000001-F1B2-BD47-B1E5-C89C91DCF733}"/>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Nürnberg, 1789'!$H$22:$K$22</c:f>
          <c:strCache>
            <c:ptCount val="4"/>
            <c:pt idx="0">
              <c:v>Hubert, Nürnberg, 1789 Fret Size cents vs. Werckmeister III</c:v>
            </c:pt>
          </c:strCache>
        </c:strRef>
      </c:tx>
      <c:overlay val="0"/>
      <c:spPr>
        <a:noFill/>
        <a:ln w="0">
          <a:noFill/>
        </a:ln>
      </c:spPr>
      <c:txPr>
        <a:bodyPr rot="0"/>
        <a:lstStyle/>
        <a:p>
          <a:pPr>
            <a:defRPr sz="1300" b="0" u="none" strike="noStrike">
              <a:uFillTx/>
              <a:latin typeface="Arial"/>
            </a:defRPr>
          </a:pPr>
          <a:endParaRPr lang="en-DE"/>
        </a:p>
      </c:txPr>
    </c:title>
    <c:autoTitleDeleted val="0"/>
    <c:plotArea>
      <c:layout/>
      <c:lineChart>
        <c:grouping val="standard"/>
        <c:varyColors val="0"/>
        <c:ser>
          <c:idx val="0"/>
          <c:order val="0"/>
          <c:tx>
            <c:strRef>
              <c:f>'Hubert, Nürnberg, 1789'!$F$5</c:f>
              <c:strCache>
                <c:ptCount val="1"/>
                <c:pt idx="0">
                  <c:v>Hubert, Nürnberg, 1789 Fret Size cents</c:v>
                </c:pt>
              </c:strCache>
            </c:strRef>
          </c:tx>
          <c:spPr>
            <a:ln w="28440" cap="rnd">
              <a:solidFill>
                <a:srgbClr val="156082"/>
              </a:solidFill>
              <a:round/>
            </a:ln>
          </c:spPr>
          <c:marker>
            <c:symbol val="circle"/>
            <c:size val="5"/>
            <c:spPr>
              <a:solidFill>
                <a:srgbClr val="15608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1789'!$F$6:$F$21</c:f>
              <c:numCache>
                <c:formatCode>0.00</c:formatCode>
                <c:ptCount val="16"/>
                <c:pt idx="0">
                  <c:v>81.78657247104006</c:v>
                </c:pt>
                <c:pt idx="1">
                  <c:v>90.717142672991173</c:v>
                </c:pt>
                <c:pt idx="2">
                  <c:v>86.890194633660073</c:v>
                </c:pt>
                <c:pt idx="3">
                  <c:v>93.229541409233306</c:v>
                </c:pt>
                <c:pt idx="4">
                  <c:v>101.98673078085611</c:v>
                </c:pt>
                <c:pt idx="5">
                  <c:v>95.823969227057518</c:v>
                </c:pt>
                <c:pt idx="6">
                  <c:v>101.27062474844713</c:v>
                </c:pt>
                <c:pt idx="7">
                  <c:v>89.721322082366555</c:v>
                </c:pt>
                <c:pt idx="8">
                  <c:v>108.23737076589377</c:v>
                </c:pt>
                <c:pt idx="9">
                  <c:v>103.98525870501851</c:v>
                </c:pt>
                <c:pt idx="10">
                  <c:v>93.844688729981499</c:v>
                </c:pt>
                <c:pt idx="11">
                  <c:v>107.12080571650476</c:v>
                </c:pt>
                <c:pt idx="12">
                  <c:v>103.84410056159425</c:v>
                </c:pt>
                <c:pt idx="13">
                  <c:v>98.152909396376813</c:v>
                </c:pt>
                <c:pt idx="14">
                  <c:v>132.21950130050743</c:v>
                </c:pt>
                <c:pt idx="15">
                  <c:v>154.21768862721646</c:v>
                </c:pt>
              </c:numCache>
            </c:numRef>
          </c:val>
          <c:smooth val="0"/>
          <c:extLst>
            <c:ext xmlns:c16="http://schemas.microsoft.com/office/drawing/2014/chart" uri="{C3380CC4-5D6E-409C-BE32-E72D297353CC}">
              <c16:uniqueId val="{00000000-251E-C74C-89EA-3B77D17B973C}"/>
            </c:ext>
          </c:extLst>
        </c:ser>
        <c:ser>
          <c:idx val="1"/>
          <c:order val="1"/>
          <c:tx>
            <c:strRef>
              <c:f>'Hubert, Nürnberg, 1789'!$H$3</c:f>
              <c:strCache>
                <c:ptCount val="1"/>
                <c:pt idx="0">
                  <c:v>Werckmeister III</c:v>
                </c:pt>
              </c:strCache>
            </c:strRef>
          </c:tx>
          <c:spPr>
            <a:ln w="28440" cap="rnd">
              <a:solidFill>
                <a:srgbClr val="E97132"/>
              </a:solidFill>
              <a:round/>
            </a:ln>
          </c:spPr>
          <c:marker>
            <c:symbol val="circle"/>
            <c:size val="5"/>
            <c:spPr>
              <a:solidFill>
                <a:srgbClr val="E9713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1789'!$J$6:$J$21</c:f>
              <c:numCache>
                <c:formatCode>0.00</c:formatCode>
                <c:ptCount val="16"/>
                <c:pt idx="0">
                  <c:v>90.224995673063063</c:v>
                </c:pt>
                <c:pt idx="1">
                  <c:v>96.089998269225319</c:v>
                </c:pt>
                <c:pt idx="2">
                  <c:v>96.089998269224949</c:v>
                </c:pt>
                <c:pt idx="3">
                  <c:v>90.224995673063063</c:v>
                </c:pt>
                <c:pt idx="4">
                  <c:v>96.089998269224949</c:v>
                </c:pt>
                <c:pt idx="5">
                  <c:v>90.224995673063063</c:v>
                </c:pt>
                <c:pt idx="6">
                  <c:v>96.089998269225319</c:v>
                </c:pt>
                <c:pt idx="7">
                  <c:v>96.089998269224949</c:v>
                </c:pt>
                <c:pt idx="8">
                  <c:v>90.224995673063063</c:v>
                </c:pt>
                <c:pt idx="9">
                  <c:v>96.089998269224949</c:v>
                </c:pt>
                <c:pt idx="10">
                  <c:v>90.224995673063063</c:v>
                </c:pt>
                <c:pt idx="11">
                  <c:v>96.089998269225319</c:v>
                </c:pt>
                <c:pt idx="12">
                  <c:v>96.089998269224949</c:v>
                </c:pt>
                <c:pt idx="13">
                  <c:v>90.224995673063063</c:v>
                </c:pt>
                <c:pt idx="14">
                  <c:v>96.089998269224949</c:v>
                </c:pt>
                <c:pt idx="15">
                  <c:v>90.224995673063063</c:v>
                </c:pt>
              </c:numCache>
            </c:numRef>
          </c:val>
          <c:smooth val="0"/>
          <c:extLst>
            <c:ext xmlns:c16="http://schemas.microsoft.com/office/drawing/2014/chart" uri="{C3380CC4-5D6E-409C-BE32-E72D297353CC}">
              <c16:uniqueId val="{00000001-251E-C74C-89EA-3B77D17B973C}"/>
            </c:ext>
          </c:extLst>
        </c:ser>
        <c:dLbls>
          <c:showLegendKey val="0"/>
          <c:showVal val="0"/>
          <c:showCatName val="0"/>
          <c:showSerName val="0"/>
          <c:showPercent val="0"/>
          <c:showBubbleSize val="0"/>
        </c:dLbls>
        <c:hiLowLines>
          <c:spPr>
            <a:ln w="0">
              <a:noFill/>
            </a:ln>
          </c:spPr>
        </c:hiLowLines>
        <c:marker val="1"/>
        <c:smooth val="0"/>
        <c:axId val="14863823"/>
        <c:axId val="20565719"/>
      </c:lineChart>
      <c:catAx>
        <c:axId val="14863823"/>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u="none" strike="noStrike">
                <a:solidFill>
                  <a:srgbClr val="595959"/>
                </a:solidFill>
                <a:uFillTx/>
                <a:latin typeface="Aptos Narrow"/>
              </a:defRPr>
            </a:pPr>
            <a:endParaRPr lang="en-DE"/>
          </a:p>
        </c:txPr>
        <c:crossAx val="20565719"/>
        <c:crosses val="autoZero"/>
        <c:auto val="1"/>
        <c:lblAlgn val="ctr"/>
        <c:lblOffset val="100"/>
        <c:noMultiLvlLbl val="0"/>
      </c:catAx>
      <c:valAx>
        <c:axId val="20565719"/>
        <c:scaling>
          <c:orientation val="minMax"/>
          <c:min val="50"/>
        </c:scaling>
        <c:delete val="0"/>
        <c:axPos val="l"/>
        <c:majorGridlines>
          <c:spPr>
            <a:ln w="9360">
              <a:solidFill>
                <a:srgbClr val="D9D9D9"/>
              </a:solidFill>
              <a:round/>
            </a:ln>
          </c:spPr>
        </c:majorGridlines>
        <c:numFmt formatCode="0" sourceLinked="0"/>
        <c:majorTickMark val="none"/>
        <c:minorTickMark val="none"/>
        <c:tickLblPos val="nextTo"/>
        <c:spPr>
          <a:ln w="12600">
            <a:noFill/>
          </a:ln>
        </c:spPr>
        <c:txPr>
          <a:bodyPr/>
          <a:lstStyle/>
          <a:p>
            <a:pPr>
              <a:defRPr sz="900" b="0" u="none" strike="noStrike">
                <a:solidFill>
                  <a:srgbClr val="595959"/>
                </a:solidFill>
                <a:uFillTx/>
                <a:latin typeface="Aptos Narrow"/>
              </a:defRPr>
            </a:pPr>
            <a:endParaRPr lang="en-DE"/>
          </a:p>
        </c:txPr>
        <c:crossAx val="14863823"/>
        <c:crosses val="autoZero"/>
        <c:crossBetween val="between"/>
      </c:valAx>
      <c:spPr>
        <a:noFill/>
        <a:ln w="0">
          <a:noFill/>
        </a:ln>
      </c:spPr>
    </c:plotArea>
    <c:legend>
      <c:legendPos val="b"/>
      <c:overlay val="0"/>
      <c:spPr>
        <a:noFill/>
        <a:ln w="0">
          <a:noFill/>
        </a:ln>
      </c:spPr>
      <c:txPr>
        <a:bodyPr/>
        <a:lstStyle/>
        <a:p>
          <a:pPr>
            <a:defRPr sz="900" b="0" u="none" strike="noStrike">
              <a:solidFill>
                <a:srgbClr val="595959"/>
              </a:solidFill>
              <a:uFillTx/>
              <a:latin typeface="Aptos Narrow"/>
            </a:defRPr>
          </a:pPr>
          <a:endParaRPr lang="en-DE"/>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Nürnberg, 1789'!$M$22:$P$22</c:f>
          <c:strCache>
            <c:ptCount val="4"/>
            <c:pt idx="0">
              <c:v>Hubert, Nürnberg, 1789 Fret Size cents vs. Meantone Quarter Comma</c:v>
            </c:pt>
          </c:strCache>
        </c:strRef>
      </c:tx>
      <c:overlay val="0"/>
      <c:spPr>
        <a:noFill/>
        <a:ln w="0">
          <a:noFill/>
        </a:ln>
      </c:spPr>
      <c:txPr>
        <a:bodyPr rot="0"/>
        <a:lstStyle/>
        <a:p>
          <a:pPr>
            <a:defRPr sz="1300" b="0" u="none" strike="noStrike">
              <a:uFillTx/>
              <a:latin typeface="Arial"/>
            </a:defRPr>
          </a:pPr>
          <a:endParaRPr lang="en-DE"/>
        </a:p>
      </c:txPr>
    </c:title>
    <c:autoTitleDeleted val="0"/>
    <c:plotArea>
      <c:layout/>
      <c:lineChart>
        <c:grouping val="standard"/>
        <c:varyColors val="0"/>
        <c:ser>
          <c:idx val="0"/>
          <c:order val="0"/>
          <c:tx>
            <c:strRef>
              <c:f>'Hubert, Nürnberg, 1789'!$F$5</c:f>
              <c:strCache>
                <c:ptCount val="1"/>
                <c:pt idx="0">
                  <c:v>Hubert, Nürnberg, 1789 Fret Size cents</c:v>
                </c:pt>
              </c:strCache>
            </c:strRef>
          </c:tx>
          <c:spPr>
            <a:ln w="28440" cap="rnd">
              <a:solidFill>
                <a:srgbClr val="156082"/>
              </a:solidFill>
              <a:round/>
            </a:ln>
          </c:spPr>
          <c:marker>
            <c:symbol val="circle"/>
            <c:size val="5"/>
            <c:spPr>
              <a:solidFill>
                <a:srgbClr val="15608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1789'!$F$6:$F$21</c:f>
              <c:numCache>
                <c:formatCode>0.00</c:formatCode>
                <c:ptCount val="16"/>
                <c:pt idx="0">
                  <c:v>81.78657247104006</c:v>
                </c:pt>
                <c:pt idx="1">
                  <c:v>90.717142672991173</c:v>
                </c:pt>
                <c:pt idx="2">
                  <c:v>86.890194633660073</c:v>
                </c:pt>
                <c:pt idx="3">
                  <c:v>93.229541409233306</c:v>
                </c:pt>
                <c:pt idx="4">
                  <c:v>101.98673078085611</c:v>
                </c:pt>
                <c:pt idx="5">
                  <c:v>95.823969227057518</c:v>
                </c:pt>
                <c:pt idx="6">
                  <c:v>101.27062474844713</c:v>
                </c:pt>
                <c:pt idx="7">
                  <c:v>89.721322082366555</c:v>
                </c:pt>
                <c:pt idx="8">
                  <c:v>108.23737076589377</c:v>
                </c:pt>
                <c:pt idx="9">
                  <c:v>103.98525870501851</c:v>
                </c:pt>
                <c:pt idx="10">
                  <c:v>93.844688729981499</c:v>
                </c:pt>
                <c:pt idx="11">
                  <c:v>107.12080571650476</c:v>
                </c:pt>
                <c:pt idx="12">
                  <c:v>103.84410056159425</c:v>
                </c:pt>
                <c:pt idx="13">
                  <c:v>98.152909396376813</c:v>
                </c:pt>
                <c:pt idx="14">
                  <c:v>132.21950130050743</c:v>
                </c:pt>
                <c:pt idx="15">
                  <c:v>154.21768862721646</c:v>
                </c:pt>
              </c:numCache>
            </c:numRef>
          </c:val>
          <c:smooth val="0"/>
          <c:extLst>
            <c:ext xmlns:c16="http://schemas.microsoft.com/office/drawing/2014/chart" uri="{C3380CC4-5D6E-409C-BE32-E72D297353CC}">
              <c16:uniqueId val="{00000000-A757-F34B-BC72-F8313F731362}"/>
            </c:ext>
          </c:extLst>
        </c:ser>
        <c:ser>
          <c:idx val="1"/>
          <c:order val="1"/>
          <c:tx>
            <c:strRef>
              <c:f>'Hubert, Nürnberg, 1789'!$M$3</c:f>
              <c:strCache>
                <c:ptCount val="1"/>
                <c:pt idx="0">
                  <c:v>Meantone q. comma</c:v>
                </c:pt>
              </c:strCache>
            </c:strRef>
          </c:tx>
          <c:spPr>
            <a:ln w="28440" cap="rnd">
              <a:solidFill>
                <a:srgbClr val="E97132"/>
              </a:solidFill>
              <a:round/>
            </a:ln>
          </c:spPr>
          <c:marker>
            <c:symbol val="circle"/>
            <c:size val="5"/>
            <c:spPr>
              <a:solidFill>
                <a:srgbClr val="E9713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1789'!$O$6:$O$21</c:f>
              <c:numCache>
                <c:formatCode>0.00</c:formatCode>
                <c:ptCount val="16"/>
                <c:pt idx="0">
                  <c:v>117.10785766895694</c:v>
                </c:pt>
                <c:pt idx="1">
                  <c:v>76.048999263460743</c:v>
                </c:pt>
                <c:pt idx="2">
                  <c:v>117.10785766895694</c:v>
                </c:pt>
                <c:pt idx="3">
                  <c:v>76.048999263460743</c:v>
                </c:pt>
                <c:pt idx="4">
                  <c:v>117.1078576689566</c:v>
                </c:pt>
                <c:pt idx="5">
                  <c:v>117.10785766895694</c:v>
                </c:pt>
                <c:pt idx="6">
                  <c:v>76.048999263460743</c:v>
                </c:pt>
                <c:pt idx="7">
                  <c:v>117.10785766895694</c:v>
                </c:pt>
                <c:pt idx="8">
                  <c:v>76.048999263460743</c:v>
                </c:pt>
                <c:pt idx="9">
                  <c:v>117.1078576689566</c:v>
                </c:pt>
                <c:pt idx="10">
                  <c:v>117.10785766895694</c:v>
                </c:pt>
                <c:pt idx="11">
                  <c:v>76.048999263460743</c:v>
                </c:pt>
                <c:pt idx="12">
                  <c:v>117.10785766895694</c:v>
                </c:pt>
                <c:pt idx="13">
                  <c:v>76.048999263460743</c:v>
                </c:pt>
                <c:pt idx="14">
                  <c:v>117.1078576689566</c:v>
                </c:pt>
                <c:pt idx="15">
                  <c:v>117.10785766895694</c:v>
                </c:pt>
              </c:numCache>
            </c:numRef>
          </c:val>
          <c:smooth val="0"/>
          <c:extLst>
            <c:ext xmlns:c16="http://schemas.microsoft.com/office/drawing/2014/chart" uri="{C3380CC4-5D6E-409C-BE32-E72D297353CC}">
              <c16:uniqueId val="{00000001-A757-F34B-BC72-F8313F731362}"/>
            </c:ext>
          </c:extLst>
        </c:ser>
        <c:dLbls>
          <c:showLegendKey val="0"/>
          <c:showVal val="0"/>
          <c:showCatName val="0"/>
          <c:showSerName val="0"/>
          <c:showPercent val="0"/>
          <c:showBubbleSize val="0"/>
        </c:dLbls>
        <c:hiLowLines>
          <c:spPr>
            <a:ln w="0">
              <a:noFill/>
            </a:ln>
          </c:spPr>
        </c:hiLowLines>
        <c:marker val="1"/>
        <c:smooth val="0"/>
        <c:axId val="94946370"/>
        <c:axId val="49718224"/>
      </c:lineChart>
      <c:catAx>
        <c:axId val="94946370"/>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u="none" strike="noStrike">
                <a:solidFill>
                  <a:srgbClr val="595959"/>
                </a:solidFill>
                <a:uFillTx/>
                <a:latin typeface="Aptos Narrow"/>
              </a:defRPr>
            </a:pPr>
            <a:endParaRPr lang="en-DE"/>
          </a:p>
        </c:txPr>
        <c:crossAx val="49718224"/>
        <c:crosses val="autoZero"/>
        <c:auto val="1"/>
        <c:lblAlgn val="ctr"/>
        <c:lblOffset val="100"/>
        <c:noMultiLvlLbl val="0"/>
      </c:catAx>
      <c:valAx>
        <c:axId val="49718224"/>
        <c:scaling>
          <c:orientation val="minMax"/>
          <c:max val="170"/>
          <c:min val="50"/>
        </c:scaling>
        <c:delete val="0"/>
        <c:axPos val="l"/>
        <c:majorGridlines>
          <c:spPr>
            <a:ln w="9360">
              <a:solidFill>
                <a:srgbClr val="D9D9D9"/>
              </a:solidFill>
              <a:round/>
            </a:ln>
          </c:spPr>
        </c:majorGridlines>
        <c:numFmt formatCode="#,##0" sourceLinked="0"/>
        <c:majorTickMark val="none"/>
        <c:minorTickMark val="none"/>
        <c:tickLblPos val="nextTo"/>
        <c:spPr>
          <a:ln w="12600">
            <a:noFill/>
          </a:ln>
        </c:spPr>
        <c:txPr>
          <a:bodyPr/>
          <a:lstStyle/>
          <a:p>
            <a:pPr>
              <a:defRPr sz="900" b="0" u="none" strike="noStrike">
                <a:solidFill>
                  <a:srgbClr val="595959"/>
                </a:solidFill>
                <a:uFillTx/>
                <a:latin typeface="Aptos Narrow"/>
              </a:defRPr>
            </a:pPr>
            <a:endParaRPr lang="en-DE"/>
          </a:p>
        </c:txPr>
        <c:crossAx val="94946370"/>
        <c:crosses val="autoZero"/>
        <c:crossBetween val="between"/>
      </c:valAx>
      <c:spPr>
        <a:noFill/>
        <a:ln w="0">
          <a:noFill/>
        </a:ln>
      </c:spPr>
    </c:plotArea>
    <c:legend>
      <c:legendPos val="b"/>
      <c:overlay val="0"/>
      <c:spPr>
        <a:noFill/>
        <a:ln w="0">
          <a:noFill/>
        </a:ln>
      </c:spPr>
      <c:txPr>
        <a:bodyPr/>
        <a:lstStyle/>
        <a:p>
          <a:pPr>
            <a:defRPr sz="900" b="0" u="none" strike="noStrike">
              <a:solidFill>
                <a:srgbClr val="595959"/>
              </a:solidFill>
              <a:uFillTx/>
              <a:latin typeface="Aptos Narrow"/>
            </a:defRPr>
          </a:pPr>
          <a:endParaRPr lang="en-DE"/>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Nürnberg, 1789'!$W$22:$Z$22</c:f>
          <c:strCache>
            <c:ptCount val="4"/>
            <c:pt idx="0">
              <c:v>Hubert, Nürnberg, 1789 Fret Size cents vs. Equal Temperament</c:v>
            </c:pt>
          </c:strCache>
        </c:strRef>
      </c:tx>
      <c:overlay val="0"/>
      <c:spPr>
        <a:noFill/>
        <a:ln w="0">
          <a:noFill/>
        </a:ln>
      </c:spPr>
      <c:txPr>
        <a:bodyPr rot="0"/>
        <a:lstStyle/>
        <a:p>
          <a:pPr>
            <a:defRPr sz="1300" b="0" u="none" strike="noStrike">
              <a:uFillTx/>
              <a:latin typeface="Arial"/>
            </a:defRPr>
          </a:pPr>
          <a:endParaRPr lang="en-DE"/>
        </a:p>
      </c:txPr>
    </c:title>
    <c:autoTitleDeleted val="0"/>
    <c:plotArea>
      <c:layout/>
      <c:lineChart>
        <c:grouping val="standard"/>
        <c:varyColors val="0"/>
        <c:ser>
          <c:idx val="0"/>
          <c:order val="0"/>
          <c:tx>
            <c:strRef>
              <c:f>'Hubert, Nürnberg, 1789'!$F$5</c:f>
              <c:strCache>
                <c:ptCount val="1"/>
                <c:pt idx="0">
                  <c:v>Hubert, Nürnberg, 1789 Fret Size cents</c:v>
                </c:pt>
              </c:strCache>
            </c:strRef>
          </c:tx>
          <c:spPr>
            <a:ln w="28440" cap="rnd">
              <a:solidFill>
                <a:srgbClr val="156082"/>
              </a:solidFill>
              <a:round/>
            </a:ln>
          </c:spPr>
          <c:marker>
            <c:symbol val="circle"/>
            <c:size val="5"/>
            <c:spPr>
              <a:solidFill>
                <a:srgbClr val="15608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1789'!$F$6:$F$21</c:f>
              <c:numCache>
                <c:formatCode>0.00</c:formatCode>
                <c:ptCount val="16"/>
                <c:pt idx="0">
                  <c:v>81.78657247104006</c:v>
                </c:pt>
                <c:pt idx="1">
                  <c:v>90.717142672991173</c:v>
                </c:pt>
                <c:pt idx="2">
                  <c:v>86.890194633660073</c:v>
                </c:pt>
                <c:pt idx="3">
                  <c:v>93.229541409233306</c:v>
                </c:pt>
                <c:pt idx="4">
                  <c:v>101.98673078085611</c:v>
                </c:pt>
                <c:pt idx="5">
                  <c:v>95.823969227057518</c:v>
                </c:pt>
                <c:pt idx="6">
                  <c:v>101.27062474844713</c:v>
                </c:pt>
                <c:pt idx="7">
                  <c:v>89.721322082366555</c:v>
                </c:pt>
                <c:pt idx="8">
                  <c:v>108.23737076589377</c:v>
                </c:pt>
                <c:pt idx="9">
                  <c:v>103.98525870501851</c:v>
                </c:pt>
                <c:pt idx="10">
                  <c:v>93.844688729981499</c:v>
                </c:pt>
                <c:pt idx="11">
                  <c:v>107.12080571650476</c:v>
                </c:pt>
                <c:pt idx="12">
                  <c:v>103.84410056159425</c:v>
                </c:pt>
                <c:pt idx="13">
                  <c:v>98.152909396376813</c:v>
                </c:pt>
                <c:pt idx="14">
                  <c:v>132.21950130050743</c:v>
                </c:pt>
                <c:pt idx="15">
                  <c:v>154.21768862721646</c:v>
                </c:pt>
              </c:numCache>
            </c:numRef>
          </c:val>
          <c:smooth val="0"/>
          <c:extLst>
            <c:ext xmlns:c16="http://schemas.microsoft.com/office/drawing/2014/chart" uri="{C3380CC4-5D6E-409C-BE32-E72D297353CC}">
              <c16:uniqueId val="{00000000-BC54-5748-B3BC-426892944152}"/>
            </c:ext>
          </c:extLst>
        </c:ser>
        <c:ser>
          <c:idx val="1"/>
          <c:order val="1"/>
          <c:tx>
            <c:strRef>
              <c:f>'Hubert, Nürnberg, 1789'!$W$3</c:f>
              <c:strCache>
                <c:ptCount val="1"/>
                <c:pt idx="0">
                  <c:v>Equal</c:v>
                </c:pt>
              </c:strCache>
            </c:strRef>
          </c:tx>
          <c:spPr>
            <a:ln w="28440" cap="rnd">
              <a:solidFill>
                <a:srgbClr val="E97132"/>
              </a:solidFill>
              <a:round/>
            </a:ln>
          </c:spPr>
          <c:marker>
            <c:symbol val="circle"/>
            <c:size val="5"/>
            <c:spPr>
              <a:solidFill>
                <a:srgbClr val="E9713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1789'!$Y$6:$Y$21</c:f>
              <c:numCache>
                <c:formatCode>0.00</c:formatCode>
                <c:ptCount val="16"/>
                <c:pt idx="0">
                  <c:v>100.00000000000007</c:v>
                </c:pt>
                <c:pt idx="1">
                  <c:v>99.99999999999973</c:v>
                </c:pt>
                <c:pt idx="2">
                  <c:v>100.00000000000007</c:v>
                </c:pt>
                <c:pt idx="3">
                  <c:v>100.00000000000007</c:v>
                </c:pt>
                <c:pt idx="4">
                  <c:v>100.00000000000007</c:v>
                </c:pt>
                <c:pt idx="5">
                  <c:v>100.00000000000007</c:v>
                </c:pt>
                <c:pt idx="6">
                  <c:v>99.99999999999973</c:v>
                </c:pt>
                <c:pt idx="7">
                  <c:v>100.00000000000007</c:v>
                </c:pt>
                <c:pt idx="8">
                  <c:v>100.00000000000007</c:v>
                </c:pt>
                <c:pt idx="9">
                  <c:v>100.00000000000007</c:v>
                </c:pt>
                <c:pt idx="10">
                  <c:v>100.00000000000007</c:v>
                </c:pt>
                <c:pt idx="11">
                  <c:v>99.99999999999973</c:v>
                </c:pt>
                <c:pt idx="12">
                  <c:v>100.00000000000007</c:v>
                </c:pt>
                <c:pt idx="13">
                  <c:v>100.00000000000007</c:v>
                </c:pt>
                <c:pt idx="14">
                  <c:v>100.00000000000007</c:v>
                </c:pt>
                <c:pt idx="15">
                  <c:v>100.00000000000007</c:v>
                </c:pt>
              </c:numCache>
            </c:numRef>
          </c:val>
          <c:smooth val="0"/>
          <c:extLst>
            <c:ext xmlns:c16="http://schemas.microsoft.com/office/drawing/2014/chart" uri="{C3380CC4-5D6E-409C-BE32-E72D297353CC}">
              <c16:uniqueId val="{00000001-BC54-5748-B3BC-426892944152}"/>
            </c:ext>
          </c:extLst>
        </c:ser>
        <c:dLbls>
          <c:showLegendKey val="0"/>
          <c:showVal val="0"/>
          <c:showCatName val="0"/>
          <c:showSerName val="0"/>
          <c:showPercent val="0"/>
          <c:showBubbleSize val="0"/>
        </c:dLbls>
        <c:hiLowLines>
          <c:spPr>
            <a:ln w="0">
              <a:noFill/>
            </a:ln>
          </c:spPr>
        </c:hiLowLines>
        <c:marker val="1"/>
        <c:smooth val="0"/>
        <c:axId val="39690282"/>
        <c:axId val="91380494"/>
      </c:lineChart>
      <c:catAx>
        <c:axId val="39690282"/>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u="none" strike="noStrike">
                <a:solidFill>
                  <a:srgbClr val="595959"/>
                </a:solidFill>
                <a:uFillTx/>
                <a:latin typeface="Aptos Narrow"/>
              </a:defRPr>
            </a:pPr>
            <a:endParaRPr lang="en-DE"/>
          </a:p>
        </c:txPr>
        <c:crossAx val="91380494"/>
        <c:crosses val="autoZero"/>
        <c:auto val="1"/>
        <c:lblAlgn val="ctr"/>
        <c:lblOffset val="100"/>
        <c:noMultiLvlLbl val="0"/>
      </c:catAx>
      <c:valAx>
        <c:axId val="91380494"/>
        <c:scaling>
          <c:orientation val="minMax"/>
          <c:max val="170"/>
          <c:min val="50"/>
        </c:scaling>
        <c:delete val="0"/>
        <c:axPos val="l"/>
        <c:majorGridlines>
          <c:spPr>
            <a:ln w="9360">
              <a:solidFill>
                <a:srgbClr val="D9D9D9"/>
              </a:solidFill>
              <a:round/>
            </a:ln>
          </c:spPr>
        </c:majorGridlines>
        <c:numFmt formatCode="0" sourceLinked="0"/>
        <c:majorTickMark val="none"/>
        <c:minorTickMark val="none"/>
        <c:tickLblPos val="nextTo"/>
        <c:spPr>
          <a:ln w="12600">
            <a:noFill/>
          </a:ln>
        </c:spPr>
        <c:txPr>
          <a:bodyPr/>
          <a:lstStyle/>
          <a:p>
            <a:pPr>
              <a:defRPr sz="900" b="0" u="none" strike="noStrike">
                <a:solidFill>
                  <a:srgbClr val="595959"/>
                </a:solidFill>
                <a:uFillTx/>
                <a:latin typeface="Aptos Narrow"/>
              </a:defRPr>
            </a:pPr>
            <a:endParaRPr lang="en-DE"/>
          </a:p>
        </c:txPr>
        <c:crossAx val="39690282"/>
        <c:crosses val="autoZero"/>
        <c:crossBetween val="between"/>
      </c:valAx>
      <c:spPr>
        <a:noFill/>
        <a:ln w="0">
          <a:noFill/>
        </a:ln>
      </c:spPr>
    </c:plotArea>
    <c:legend>
      <c:legendPos val="b"/>
      <c:overlay val="0"/>
      <c:spPr>
        <a:noFill/>
        <a:ln w="0">
          <a:noFill/>
        </a:ln>
      </c:spPr>
      <c:txPr>
        <a:bodyPr/>
        <a:lstStyle/>
        <a:p>
          <a:pPr>
            <a:defRPr sz="900" b="0" u="none" strike="noStrike">
              <a:solidFill>
                <a:srgbClr val="595959"/>
              </a:solidFill>
              <a:uFillTx/>
              <a:latin typeface="Aptos Narrow"/>
            </a:defRPr>
          </a:pPr>
          <a:endParaRPr lang="en-DE"/>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'Hubert, Nürnberg, 1789'!$R$22:$U$22</c:f>
          <c:strCache>
            <c:ptCount val="4"/>
            <c:pt idx="0">
              <c:v>Hubert, Nürnberg, 1789 Fret Size cents vs. Meantone Octave with Matching Octaves</c:v>
            </c:pt>
          </c:strCache>
        </c:strRef>
      </c:tx>
      <c:overlay val="0"/>
      <c:spPr>
        <a:noFill/>
        <a:ln w="0">
          <a:noFill/>
        </a:ln>
      </c:spPr>
      <c:txPr>
        <a:bodyPr rot="0"/>
        <a:lstStyle/>
        <a:p>
          <a:pPr>
            <a:defRPr sz="1300" b="0" u="none" strike="noStrike">
              <a:uFillTx/>
              <a:latin typeface="Arial"/>
            </a:defRPr>
          </a:pPr>
          <a:endParaRPr lang="en-DE"/>
        </a:p>
      </c:txPr>
    </c:title>
    <c:autoTitleDeleted val="0"/>
    <c:plotArea>
      <c:layout/>
      <c:lineChart>
        <c:grouping val="standard"/>
        <c:varyColors val="0"/>
        <c:ser>
          <c:idx val="0"/>
          <c:order val="0"/>
          <c:tx>
            <c:strRef>
              <c:f>'Hubert, Nürnberg, 1789'!$F$5</c:f>
              <c:strCache>
                <c:ptCount val="1"/>
                <c:pt idx="0">
                  <c:v>Hubert, Nürnberg, 1789 Fret Size cents</c:v>
                </c:pt>
              </c:strCache>
            </c:strRef>
          </c:tx>
          <c:spPr>
            <a:ln w="28440" cap="rnd">
              <a:solidFill>
                <a:srgbClr val="156082"/>
              </a:solidFill>
              <a:round/>
            </a:ln>
          </c:spPr>
          <c:marker>
            <c:symbol val="circle"/>
            <c:size val="5"/>
            <c:spPr>
              <a:solidFill>
                <a:srgbClr val="15608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1789'!$F$6:$F$21</c:f>
              <c:numCache>
                <c:formatCode>0.00</c:formatCode>
                <c:ptCount val="16"/>
                <c:pt idx="0">
                  <c:v>81.78657247104006</c:v>
                </c:pt>
                <c:pt idx="1">
                  <c:v>90.717142672991173</c:v>
                </c:pt>
                <c:pt idx="2">
                  <c:v>86.890194633660073</c:v>
                </c:pt>
                <c:pt idx="3">
                  <c:v>93.229541409233306</c:v>
                </c:pt>
                <c:pt idx="4">
                  <c:v>101.98673078085611</c:v>
                </c:pt>
                <c:pt idx="5">
                  <c:v>95.823969227057518</c:v>
                </c:pt>
                <c:pt idx="6">
                  <c:v>101.27062474844713</c:v>
                </c:pt>
                <c:pt idx="7">
                  <c:v>89.721322082366555</c:v>
                </c:pt>
                <c:pt idx="8">
                  <c:v>108.23737076589377</c:v>
                </c:pt>
                <c:pt idx="9">
                  <c:v>103.98525870501851</c:v>
                </c:pt>
                <c:pt idx="10">
                  <c:v>93.844688729981499</c:v>
                </c:pt>
                <c:pt idx="11">
                  <c:v>107.12080571650476</c:v>
                </c:pt>
                <c:pt idx="12">
                  <c:v>103.84410056159425</c:v>
                </c:pt>
                <c:pt idx="13">
                  <c:v>98.152909396376813</c:v>
                </c:pt>
                <c:pt idx="14">
                  <c:v>132.21950130050743</c:v>
                </c:pt>
                <c:pt idx="15">
                  <c:v>154.21768862721646</c:v>
                </c:pt>
              </c:numCache>
            </c:numRef>
          </c:val>
          <c:smooth val="0"/>
          <c:extLst>
            <c:ext xmlns:c16="http://schemas.microsoft.com/office/drawing/2014/chart" uri="{C3380CC4-5D6E-409C-BE32-E72D297353CC}">
              <c16:uniqueId val="{00000000-1805-0848-9C0B-D093022149EF}"/>
            </c:ext>
          </c:extLst>
        </c:ser>
        <c:ser>
          <c:idx val="1"/>
          <c:order val="1"/>
          <c:tx>
            <c:strRef>
              <c:f>'Hubert, Nürnberg, 1789'!$R$3</c:f>
              <c:strCache>
                <c:ptCount val="1"/>
                <c:pt idx="0">
                  <c:v>Meantone Oct 1</c:v>
                </c:pt>
              </c:strCache>
            </c:strRef>
          </c:tx>
          <c:spPr>
            <a:ln w="28440" cap="rnd">
              <a:solidFill>
                <a:srgbClr val="E97132"/>
              </a:solidFill>
              <a:round/>
            </a:ln>
          </c:spPr>
          <c:marker>
            <c:symbol val="circle"/>
            <c:size val="5"/>
            <c:spPr>
              <a:solidFill>
                <a:srgbClr val="E97132"/>
              </a:solidFill>
            </c:spPr>
          </c:marker>
          <c:dLbls>
            <c:spPr>
              <a:noFill/>
              <a:ln>
                <a:noFill/>
              </a:ln>
              <a:effectLst/>
            </c:spPr>
            <c:txPr>
              <a:bodyPr wrap="square"/>
              <a:lstStyle/>
              <a:p>
                <a:pPr>
                  <a:defRPr sz="1000" b="0" u="none" strike="noStrike">
                    <a:solidFill>
                      <a:srgbClr val="000000"/>
                    </a:solidFill>
                    <a:uFillTx/>
                    <a:latin typeface="Aptos Narrow"/>
                  </a:defRPr>
                </a:pPr>
                <a:endParaRPr lang="en-DE"/>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a:solidFill>
                        <a:srgbClr val="000000"/>
                      </a:solidFill>
                    </a:ln>
                  </c:spPr>
                </c15:leaderLines>
              </c:ext>
            </c:extLst>
          </c:dLbls>
          <c:cat>
            <c:strRef>
              <c:f>'Hubert, Nürnberg, 1789'!$B$6:$B$21</c:f>
              <c:strCache>
                <c:ptCount val="16"/>
                <c:pt idx="0">
                  <c:v>F</c:v>
                </c:pt>
                <c:pt idx="1">
                  <c:v>G</c:v>
                </c:pt>
                <c:pt idx="2">
                  <c:v>A#</c:v>
                </c:pt>
                <c:pt idx="3">
                  <c:v>C</c:v>
                </c:pt>
                <c:pt idx="4">
                  <c:v>D#</c:v>
                </c:pt>
                <c:pt idx="5">
                  <c:v>F</c:v>
                </c:pt>
                <c:pt idx="6">
                  <c:v>G</c:v>
                </c:pt>
                <c:pt idx="7">
                  <c:v>A#</c:v>
                </c:pt>
                <c:pt idx="8">
                  <c:v>C</c:v>
                </c:pt>
                <c:pt idx="9">
                  <c:v>D#</c:v>
                </c:pt>
                <c:pt idx="10">
                  <c:v>F</c:v>
                </c:pt>
                <c:pt idx="11">
                  <c:v>G</c:v>
                </c:pt>
                <c:pt idx="12">
                  <c:v>A#</c:v>
                </c:pt>
                <c:pt idx="13">
                  <c:v>C</c:v>
                </c:pt>
                <c:pt idx="14">
                  <c:v>D#</c:v>
                </c:pt>
                <c:pt idx="15">
                  <c:v>F</c:v>
                </c:pt>
              </c:strCache>
            </c:strRef>
          </c:cat>
          <c:val>
            <c:numRef>
              <c:f>'Hubert, Nürnberg, 1789'!$T$6:$T$21</c:f>
              <c:numCache>
                <c:formatCode>0.00</c:formatCode>
                <c:ptCount val="16"/>
                <c:pt idx="0">
                  <c:v>76.048999263460743</c:v>
                </c:pt>
                <c:pt idx="1">
                  <c:v>76.048999263460743</c:v>
                </c:pt>
                <c:pt idx="2">
                  <c:v>76.048999263461113</c:v>
                </c:pt>
                <c:pt idx="3">
                  <c:v>76.048999263460743</c:v>
                </c:pt>
                <c:pt idx="4">
                  <c:v>117.1078576689566</c:v>
                </c:pt>
                <c:pt idx="5">
                  <c:v>76.048999263460743</c:v>
                </c:pt>
                <c:pt idx="6">
                  <c:v>76.048999263460743</c:v>
                </c:pt>
                <c:pt idx="7">
                  <c:v>76.048999263461113</c:v>
                </c:pt>
                <c:pt idx="8">
                  <c:v>76.048999263460743</c:v>
                </c:pt>
                <c:pt idx="9">
                  <c:v>117.1078576689566</c:v>
                </c:pt>
                <c:pt idx="10">
                  <c:v>76.048999263460743</c:v>
                </c:pt>
                <c:pt idx="11">
                  <c:v>76.048999263460743</c:v>
                </c:pt>
                <c:pt idx="12">
                  <c:v>76.048999263461113</c:v>
                </c:pt>
                <c:pt idx="13">
                  <c:v>76.048999263460743</c:v>
                </c:pt>
                <c:pt idx="14">
                  <c:v>117.1078576689566</c:v>
                </c:pt>
                <c:pt idx="15">
                  <c:v>76.048999263460743</c:v>
                </c:pt>
              </c:numCache>
            </c:numRef>
          </c:val>
          <c:smooth val="0"/>
          <c:extLst>
            <c:ext xmlns:c16="http://schemas.microsoft.com/office/drawing/2014/chart" uri="{C3380CC4-5D6E-409C-BE32-E72D297353CC}">
              <c16:uniqueId val="{00000001-1805-0848-9C0B-D093022149EF}"/>
            </c:ext>
          </c:extLst>
        </c:ser>
        <c:dLbls>
          <c:showLegendKey val="0"/>
          <c:showVal val="0"/>
          <c:showCatName val="0"/>
          <c:showSerName val="0"/>
          <c:showPercent val="0"/>
          <c:showBubbleSize val="0"/>
        </c:dLbls>
        <c:hiLowLines>
          <c:spPr>
            <a:ln w="0">
              <a:noFill/>
            </a:ln>
          </c:spPr>
        </c:hiLowLines>
        <c:marker val="1"/>
        <c:smooth val="0"/>
        <c:axId val="20106576"/>
        <c:axId val="62919023"/>
      </c:lineChart>
      <c:catAx>
        <c:axId val="2010657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u="none" strike="noStrike">
                <a:solidFill>
                  <a:srgbClr val="595959"/>
                </a:solidFill>
                <a:uFillTx/>
                <a:latin typeface="Aptos Narrow"/>
              </a:defRPr>
            </a:pPr>
            <a:endParaRPr lang="en-DE"/>
          </a:p>
        </c:txPr>
        <c:crossAx val="62919023"/>
        <c:crosses val="autoZero"/>
        <c:auto val="1"/>
        <c:lblAlgn val="ctr"/>
        <c:lblOffset val="100"/>
        <c:noMultiLvlLbl val="0"/>
      </c:catAx>
      <c:valAx>
        <c:axId val="62919023"/>
        <c:scaling>
          <c:orientation val="minMax"/>
          <c:max val="170"/>
          <c:min val="50"/>
        </c:scaling>
        <c:delete val="0"/>
        <c:axPos val="l"/>
        <c:majorGridlines>
          <c:spPr>
            <a:ln w="9360">
              <a:solidFill>
                <a:srgbClr val="D9D9D9"/>
              </a:solidFill>
              <a:round/>
            </a:ln>
          </c:spPr>
        </c:majorGridlines>
        <c:numFmt formatCode="0" sourceLinked="0"/>
        <c:majorTickMark val="none"/>
        <c:minorTickMark val="none"/>
        <c:tickLblPos val="nextTo"/>
        <c:spPr>
          <a:ln w="12600">
            <a:noFill/>
          </a:ln>
        </c:spPr>
        <c:txPr>
          <a:bodyPr/>
          <a:lstStyle/>
          <a:p>
            <a:pPr>
              <a:defRPr sz="900" b="0" u="none" strike="noStrike">
                <a:solidFill>
                  <a:srgbClr val="595959"/>
                </a:solidFill>
                <a:uFillTx/>
                <a:latin typeface="Aptos Narrow"/>
              </a:defRPr>
            </a:pPr>
            <a:endParaRPr lang="en-DE"/>
          </a:p>
        </c:txPr>
        <c:crossAx val="20106576"/>
        <c:crosses val="autoZero"/>
        <c:crossBetween val="between"/>
      </c:valAx>
      <c:spPr>
        <a:noFill/>
        <a:ln w="0">
          <a:noFill/>
        </a:ln>
      </c:spPr>
    </c:plotArea>
    <c:legend>
      <c:legendPos val="b"/>
      <c:overlay val="0"/>
      <c:spPr>
        <a:noFill/>
        <a:ln w="0">
          <a:noFill/>
        </a:ln>
      </c:spPr>
      <c:txPr>
        <a:bodyPr/>
        <a:lstStyle/>
        <a:p>
          <a:pPr>
            <a:defRPr sz="900" b="0" u="none" strike="noStrike">
              <a:solidFill>
                <a:srgbClr val="595959"/>
              </a:solidFill>
              <a:uFillTx/>
              <a:latin typeface="Aptos Narrow"/>
            </a:defRPr>
          </a:pPr>
          <a:endParaRPr lang="en-DE"/>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'BDO Any'!$R$9</c:f>
              <c:strCache>
                <c:ptCount val="1"/>
                <c:pt idx="0">
                  <c:v>Difference to ET Scale in Cents</c:v>
                </c:pt>
              </c:strCache>
            </c:strRef>
          </c:tx>
          <c:spPr>
            <a:solidFill>
              <a:schemeClr val="accent1">
                <a:lumMod val="60000"/>
              </a:schemeClr>
            </a:solidFill>
            <a:ln>
              <a:noFill/>
            </a:ln>
            <a:effectLst/>
          </c:spPr>
          <c:invertIfNegative val="0"/>
          <c:cat>
            <c:strRef>
              <c:f>'BDO Any'!$P$10:$P$22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'BDO Any'!$R$10:$R$22</c:f>
              <c:numCache>
                <c:formatCode>0.00</c:formatCode>
                <c:ptCount val="13"/>
                <c:pt idx="0">
                  <c:v>0</c:v>
                </c:pt>
                <c:pt idx="1">
                  <c:v>-4.0000000000001297</c:v>
                </c:pt>
                <c:pt idx="2">
                  <c:v>-8.0000000000003801</c:v>
                </c:pt>
                <c:pt idx="3">
                  <c:v>-6.0000000000004725</c:v>
                </c:pt>
                <c:pt idx="4">
                  <c:v>-4.0000000000003215</c:v>
                </c:pt>
                <c:pt idx="5">
                  <c:v>-2.0000000000002003</c:v>
                </c:pt>
                <c:pt idx="6">
                  <c:v>-6.0000000000006652</c:v>
                </c:pt>
                <c:pt idx="7">
                  <c:v>-4.0000000000005143</c:v>
                </c:pt>
                <c:pt idx="8">
                  <c:v>-2.000000000000008</c:v>
                </c:pt>
                <c:pt idx="9">
                  <c:v>-6.0000000000006652</c:v>
                </c:pt>
                <c:pt idx="10">
                  <c:v>-4.0000000000003215</c:v>
                </c:pt>
                <c:pt idx="11">
                  <c:v>-8.0000000000003801</c:v>
                </c:pt>
                <c:pt idx="12">
                  <c:v>0</c:v>
                </c:pt>
              </c:numCache>
            </c:numRef>
          </c:val>
          <c:extLst>
            <c:ext xmlns:c16="http://schemas.microsoft.com/office/drawing/2014/chart" uri="{C3380CC4-5D6E-409C-BE32-E72D297353CC}">
              <c16:uniqueId val="{00000000-A3F1-FC41-B18B-D273E03B94A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'BDO Any'!$U$9</c:f>
              <c:strCache>
                <c:ptCount val="1"/>
                <c:pt idx="0">
                  <c:v>Difference to ET Fifths in Cents</c:v>
                </c:pt>
              </c:strCache>
            </c:strRef>
          </c:tx>
          <c:spPr>
            <a:solidFill>
              <a:schemeClr val="accent1">
                <a:lumMod val="60000"/>
              </a:schemeClr>
            </a:solidFill>
            <a:ln>
              <a:noFill/>
            </a:ln>
            <a:effectLst/>
          </c:spPr>
          <c:invertIfNegative val="0"/>
          <c:cat>
            <c:strRef>
              <c:f>'BDO Any'!$S$10:$S$22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'BDO Any'!$U$10:$U$22</c:f>
              <c:numCache>
                <c:formatCode>0.00</c:formatCode>
                <c:ptCount val="13"/>
                <c:pt idx="0">
                  <c:v>0</c:v>
                </c:pt>
                <c:pt idx="1">
                  <c:v>-4.0000000000005143</c:v>
                </c:pt>
                <c:pt idx="2">
                  <c:v>-8.0000000000003801</c:v>
                </c:pt>
                <c:pt idx="3">
                  <c:v>-6.0000000000006652</c:v>
                </c:pt>
                <c:pt idx="4">
                  <c:v>-4.0000000000003215</c:v>
                </c:pt>
                <c:pt idx="5">
                  <c:v>-8.0000000000003801</c:v>
                </c:pt>
                <c:pt idx="6">
                  <c:v>-6.0000000000006652</c:v>
                </c:pt>
                <c:pt idx="7">
                  <c:v>-4.0000000000001297</c:v>
                </c:pt>
                <c:pt idx="8">
                  <c:v>-2.000000000000008</c:v>
                </c:pt>
                <c:pt idx="9">
                  <c:v>-6.0000000000004725</c:v>
                </c:pt>
                <c:pt idx="10">
                  <c:v>-4.0000000000003215</c:v>
                </c:pt>
                <c:pt idx="11">
                  <c:v>-2.0000000000002003</c:v>
                </c:pt>
                <c:pt idx="12">
                  <c:v>0</c:v>
                </c:pt>
              </c:numCache>
            </c:numRef>
          </c:val>
          <c:extLst>
            <c:ext xmlns:c16="http://schemas.microsoft.com/office/drawing/2014/chart" uri="{C3380CC4-5D6E-409C-BE32-E72D297353CC}">
              <c16:uniqueId val="{00000000-8D0F-E941-9CC7-995D9075E73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'Guitar, Modern'!$R$25</c:f>
          <c:strCache>
            <c:ptCount val="1"/>
            <c:pt idx="0">
              <c:v>Guitar, Modern Fret Size cents vs. Neidhardt 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'Guitar, Modern'!$F$5</c:f>
              <c:strCache>
                <c:ptCount val="1"/>
                <c:pt idx="0">
                  <c:v>Guitar, Modern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Modern'!$F$6:$F$24</c:f>
              <c:numCache>
                <c:formatCode>0.00</c:formatCode>
                <c:ptCount val="19"/>
                <c:pt idx="0">
                  <c:v>99.814522009839067</c:v>
                </c:pt>
                <c:pt idx="1">
                  <c:v>100.03213242927258</c:v>
                </c:pt>
                <c:pt idx="2">
                  <c:v>101.41448066685346</c:v>
                </c:pt>
                <c:pt idx="3">
                  <c:v>99.326980712996701</c:v>
                </c:pt>
                <c:pt idx="4">
                  <c:v>100.03935627370365</c:v>
                </c:pt>
                <c:pt idx="5">
                  <c:v>100.52202923111726</c:v>
                </c:pt>
                <c:pt idx="6">
                  <c:v>98.73322095596987</c:v>
                </c:pt>
                <c:pt idx="7">
                  <c:v>100.47872077074507</c:v>
                </c:pt>
                <c:pt idx="8">
                  <c:v>99.948412033242931</c:v>
                </c:pt>
                <c:pt idx="9">
                  <c:v>98.954592230367936</c:v>
                </c:pt>
                <c:pt idx="10">
                  <c:v>99.930053144287058</c:v>
                </c:pt>
                <c:pt idx="11">
                  <c:v>98.069276921344439</c:v>
                </c:pt>
                <c:pt idx="12">
                  <c:v>101.1426648053706</c:v>
                </c:pt>
                <c:pt idx="13">
                  <c:v>101.44021225400124</c:v>
                </c:pt>
                <c:pt idx="14">
                  <c:v>98.252408465289562</c:v>
                </c:pt>
                <c:pt idx="15">
                  <c:v>100.81393517471032</c:v>
                </c:pt>
                <c:pt idx="16">
                  <c:v>99.93975930245827</c:v>
                </c:pt>
                <c:pt idx="17">
                  <c:v>102.29674394221307</c:v>
                </c:pt>
                <c:pt idx="18">
                  <c:v>100.72658219987521</c:v>
                </c:pt>
              </c:numCache>
            </c:numRef>
          </c:val>
          <c:smooth val="0"/>
          <c:extLst>
            <c:ext xmlns:c16="http://schemas.microsoft.com/office/drawing/2014/chart" uri="{C3380CC4-5D6E-409C-BE32-E72D297353CC}">
              <c16:uniqueId val="{00000000-102A-F34E-8019-982057A44951}"/>
            </c:ext>
          </c:extLst>
        </c:ser>
        <c:ser>
          <c:idx val="1"/>
          <c:order val="1"/>
          <c:tx>
            <c:strRef>
              <c:f>'Guitar, Modern'!$R$3</c:f>
              <c:strCache>
                <c:ptCount val="1"/>
                <c:pt idx="0">
                  <c:v>Neidhardt 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'Guitar, Modern'!$B$6:$B$24</c:f>
              <c:strCache>
                <c:ptCount val="19"/>
                <c:pt idx="0">
                  <c:v>A</c:v>
                </c:pt>
                <c:pt idx="1">
                  <c:v>A#</c:v>
                </c:pt>
                <c:pt idx="2">
                  <c:v>B</c:v>
                </c:pt>
                <c:pt idx="3">
                  <c:v>C</c:v>
                </c:pt>
                <c:pt idx="4">
                  <c:v>C#</c:v>
                </c:pt>
                <c:pt idx="5">
                  <c:v>D</c:v>
                </c:pt>
                <c:pt idx="6">
                  <c:v>D#</c:v>
                </c:pt>
                <c:pt idx="7">
                  <c:v>E</c:v>
                </c:pt>
                <c:pt idx="8">
                  <c:v>F</c:v>
                </c:pt>
                <c:pt idx="9">
                  <c:v>F#</c:v>
                </c:pt>
                <c:pt idx="10">
                  <c:v>G</c:v>
                </c:pt>
                <c:pt idx="11">
                  <c:v>G#</c:v>
                </c:pt>
                <c:pt idx="12">
                  <c:v>A</c:v>
                </c:pt>
                <c:pt idx="13">
                  <c:v>A#</c:v>
                </c:pt>
                <c:pt idx="14">
                  <c:v>B</c:v>
                </c:pt>
                <c:pt idx="15">
                  <c:v>C</c:v>
                </c:pt>
                <c:pt idx="16">
                  <c:v>C#</c:v>
                </c:pt>
                <c:pt idx="17">
                  <c:v>D</c:v>
                </c:pt>
                <c:pt idx="18">
                  <c:v>D#</c:v>
                </c:pt>
              </c:strCache>
            </c:strRef>
          </c:cat>
          <c:val>
            <c:numRef>
              <c:f>'Guitar, Modern'!$T$6:$T$24</c:f>
              <c:numCache>
                <c:formatCode>0.00</c:formatCode>
                <c:ptCount val="19"/>
                <c:pt idx="0">
                  <c:v>103.91000173077481</c:v>
                </c:pt>
                <c:pt idx="1">
                  <c:v>98.044999134612695</c:v>
                </c:pt>
                <c:pt idx="2">
                  <c:v>101.95500086538762</c:v>
                </c:pt>
                <c:pt idx="3">
                  <c:v>98.044999134612695</c:v>
                </c:pt>
                <c:pt idx="4">
                  <c:v>98.044999134612695</c:v>
                </c:pt>
                <c:pt idx="5">
                  <c:v>103.91000173077481</c:v>
                </c:pt>
                <c:pt idx="6">
                  <c:v>98.044999134612695</c:v>
                </c:pt>
                <c:pt idx="7">
                  <c:v>103.91000173077481</c:v>
                </c:pt>
                <c:pt idx="8">
                  <c:v>96.089998269225319</c:v>
                </c:pt>
                <c:pt idx="9">
                  <c:v>99.99999999999973</c:v>
                </c:pt>
                <c:pt idx="10">
                  <c:v>101.95500086538728</c:v>
                </c:pt>
                <c:pt idx="11">
                  <c:v>96.089998269225319</c:v>
                </c:pt>
                <c:pt idx="12">
                  <c:v>103.91000173077481</c:v>
                </c:pt>
                <c:pt idx="13">
                  <c:v>98.044999134612695</c:v>
                </c:pt>
                <c:pt idx="14">
                  <c:v>101.95500086538762</c:v>
                </c:pt>
                <c:pt idx="15">
                  <c:v>98.044999134612695</c:v>
                </c:pt>
                <c:pt idx="16">
                  <c:v>98.044999134612695</c:v>
                </c:pt>
                <c:pt idx="17">
                  <c:v>103.91000173077481</c:v>
                </c:pt>
                <c:pt idx="18">
                  <c:v>98.044999134612695</c:v>
                </c:pt>
              </c:numCache>
            </c:numRef>
          </c:val>
          <c:smooth val="0"/>
          <c:extLst>
            <c:ext xmlns:c16="http://schemas.microsoft.com/office/drawing/2014/chart" uri="{C3380CC4-5D6E-409C-BE32-E72D297353CC}">
              <c16:uniqueId val="{00000001-102A-F34E-8019-982057A44951}"/>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Equal!$R$9</c:f>
              <c:strCache>
                <c:ptCount val="1"/>
                <c:pt idx="0">
                  <c:v>Difference to ET Scale in Cents</c:v>
                </c:pt>
              </c:strCache>
            </c:strRef>
          </c:tx>
          <c:spPr>
            <a:solidFill>
              <a:schemeClr val="accent1">
                <a:lumMod val="60000"/>
              </a:schemeClr>
            </a:solidFill>
            <a:ln>
              <a:noFill/>
            </a:ln>
            <a:effectLst/>
          </c:spPr>
          <c:invertIfNegative val="0"/>
          <c:cat>
            <c:strRef>
              <c:f>Equal!$P$10:$P$22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Equal!$R$10:$R$22</c:f>
              <c:numCache>
                <c:formatCode>0.00</c:formatCode>
                <c:ptCount val="13"/>
                <c:pt idx="0">
                  <c:v>0</c:v>
                </c:pt>
                <c:pt idx="1">
                  <c:v>0</c:v>
                </c:pt>
                <c:pt idx="2">
                  <c:v>0</c:v>
                </c:pt>
                <c:pt idx="3">
                  <c:v>-3.8441118045779024E-13</c:v>
                </c:pt>
                <c:pt idx="4">
                  <c:v>-3.8441118045779024E-13</c:v>
                </c:pt>
                <c:pt idx="5">
                  <c:v>-1.9220559022889507E-13</c:v>
                </c:pt>
                <c:pt idx="6">
                  <c:v>-1.9220559022889507E-13</c:v>
                </c:pt>
                <c:pt idx="7">
                  <c:v>-5.7661677068668525E-13</c:v>
                </c:pt>
                <c:pt idx="8">
                  <c:v>-7.6882236091558047E-13</c:v>
                </c:pt>
                <c:pt idx="9">
                  <c:v>-5.7661677068668525E-13</c:v>
                </c:pt>
                <c:pt idx="10">
                  <c:v>-5.7661677068668525E-13</c:v>
                </c:pt>
                <c:pt idx="11">
                  <c:v>-5.7661677068668525E-13</c:v>
                </c:pt>
                <c:pt idx="12">
                  <c:v>-7.6882236091558047E-13</c:v>
                </c:pt>
              </c:numCache>
            </c:numRef>
          </c:val>
          <c:extLst>
            <c:ext xmlns:c16="http://schemas.microsoft.com/office/drawing/2014/chart" uri="{C3380CC4-5D6E-409C-BE32-E72D297353CC}">
              <c16:uniqueId val="{00000000-A4D9-D840-BCFA-AD79C4737C70}"/>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Equal!$U$9</c:f>
              <c:strCache>
                <c:ptCount val="1"/>
                <c:pt idx="0">
                  <c:v>Difference to ET Fifths in Cents</c:v>
                </c:pt>
              </c:strCache>
            </c:strRef>
          </c:tx>
          <c:spPr>
            <a:solidFill>
              <a:schemeClr val="accent1">
                <a:lumMod val="60000"/>
              </a:schemeClr>
            </a:solidFill>
            <a:ln>
              <a:noFill/>
            </a:ln>
            <a:effectLst/>
          </c:spPr>
          <c:invertIfNegative val="0"/>
          <c:cat>
            <c:strRef>
              <c:f>Equal!$S$10:$S$22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Equal!$U$10:$U$22</c:f>
              <c:numCache>
                <c:formatCode>0.00</c:formatCode>
                <c:ptCount val="13"/>
                <c:pt idx="0">
                  <c:v>0</c:v>
                </c:pt>
                <c:pt idx="1">
                  <c:v>-5.7661677068668525E-13</c:v>
                </c:pt>
                <c:pt idx="2">
                  <c:v>0</c:v>
                </c:pt>
                <c:pt idx="3">
                  <c:v>-5.7661677068668525E-13</c:v>
                </c:pt>
                <c:pt idx="4">
                  <c:v>-3.8441118045779024E-13</c:v>
                </c:pt>
                <c:pt idx="5">
                  <c:v>-5.7661677068668525E-13</c:v>
                </c:pt>
                <c:pt idx="6">
                  <c:v>-1.9220559022889507E-13</c:v>
                </c:pt>
                <c:pt idx="7">
                  <c:v>0</c:v>
                </c:pt>
                <c:pt idx="8">
                  <c:v>-7.6882236091558047E-13</c:v>
                </c:pt>
                <c:pt idx="9">
                  <c:v>-3.8441118045779024E-13</c:v>
                </c:pt>
                <c:pt idx="10">
                  <c:v>-5.7661677068668525E-13</c:v>
                </c:pt>
                <c:pt idx="11">
                  <c:v>-1.9220559022889507E-13</c:v>
                </c:pt>
                <c:pt idx="12">
                  <c:v>-7.6882236091558047E-13</c:v>
                </c:pt>
              </c:numCache>
            </c:numRef>
          </c:val>
          <c:extLst>
            <c:ext xmlns:c16="http://schemas.microsoft.com/office/drawing/2014/chart" uri="{C3380CC4-5D6E-409C-BE32-E72D297353CC}">
              <c16:uniqueId val="{00000000-8A37-1B41-94EB-AF4CEF46B126}"/>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'Grote 5th'!$R$8</c:f>
              <c:strCache>
                <c:ptCount val="1"/>
                <c:pt idx="0">
                  <c:v>Difference to ET Scale in Cents</c:v>
                </c:pt>
              </c:strCache>
            </c:strRef>
          </c:tx>
          <c:spPr>
            <a:solidFill>
              <a:schemeClr val="accent1">
                <a:lumMod val="60000"/>
              </a:schemeClr>
            </a:solidFill>
            <a:ln>
              <a:noFill/>
            </a:ln>
            <a:effectLst/>
          </c:spPr>
          <c:invertIfNegative val="0"/>
          <c:cat>
            <c:strRef>
              <c:f>'Grote 5th'!$P$9:$P$21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'Grote 5th'!$R$9:$R$21</c:f>
              <c:numCache>
                <c:formatCode>0.00</c:formatCode>
                <c:ptCount val="13"/>
                <c:pt idx="0">
                  <c:v>0</c:v>
                </c:pt>
                <c:pt idx="1">
                  <c:v>-5.0830022500075858</c:v>
                </c:pt>
                <c:pt idx="2">
                  <c:v>-5.4740024230851878</c:v>
                </c:pt>
                <c:pt idx="3">
                  <c:v>-5.8650025961624666</c:v>
                </c:pt>
                <c:pt idx="4">
                  <c:v>-6.2560027692399389</c:v>
                </c:pt>
                <c:pt idx="5">
                  <c:v>-1.9550008653877775</c:v>
                </c:pt>
                <c:pt idx="6">
                  <c:v>-7.0380031153949947</c:v>
                </c:pt>
                <c:pt idx="7">
                  <c:v>-2.7370012115429714</c:v>
                </c:pt>
                <c:pt idx="8">
                  <c:v>-3.1280013846205721</c:v>
                </c:pt>
                <c:pt idx="9">
                  <c:v>-8.2110036346280708</c:v>
                </c:pt>
                <c:pt idx="10">
                  <c:v>-3.910001730775829</c:v>
                </c:pt>
                <c:pt idx="11">
                  <c:v>-8.9930039807829854</c:v>
                </c:pt>
                <c:pt idx="12">
                  <c:v>-1.1532335413733707E-12</c:v>
                </c:pt>
              </c:numCache>
            </c:numRef>
          </c:val>
          <c:extLst>
            <c:ext xmlns:c16="http://schemas.microsoft.com/office/drawing/2014/chart" uri="{C3380CC4-5D6E-409C-BE32-E72D297353CC}">
              <c16:uniqueId val="{00000000-455E-8343-A990-D340C2178445}"/>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'Grote 5th'!$U$8</c:f>
              <c:strCache>
                <c:ptCount val="1"/>
                <c:pt idx="0">
                  <c:v>Difference to ET Fifths in Cents</c:v>
                </c:pt>
              </c:strCache>
            </c:strRef>
          </c:tx>
          <c:spPr>
            <a:solidFill>
              <a:schemeClr val="accent1">
                <a:lumMod val="60000"/>
              </a:schemeClr>
            </a:solidFill>
            <a:ln>
              <a:noFill/>
            </a:ln>
            <a:effectLst/>
          </c:spPr>
          <c:invertIfNegative val="0"/>
          <c:cat>
            <c:strRef>
              <c:f>'Grote 5th'!$S$9:$S$21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'Grote 5th'!$U$9:$U$21</c:f>
              <c:numCache>
                <c:formatCode>0.00</c:formatCode>
                <c:ptCount val="13"/>
                <c:pt idx="0">
                  <c:v>0</c:v>
                </c:pt>
                <c:pt idx="1">
                  <c:v>-2.7370012115429714</c:v>
                </c:pt>
                <c:pt idx="2">
                  <c:v>-5.4740024230851878</c:v>
                </c:pt>
                <c:pt idx="3">
                  <c:v>-8.2110036346280708</c:v>
                </c:pt>
                <c:pt idx="4">
                  <c:v>-6.2560027692399389</c:v>
                </c:pt>
                <c:pt idx="5">
                  <c:v>-8.9930039807829854</c:v>
                </c:pt>
                <c:pt idx="6">
                  <c:v>-7.0380031153949947</c:v>
                </c:pt>
                <c:pt idx="7">
                  <c:v>-5.0830022500075858</c:v>
                </c:pt>
                <c:pt idx="8">
                  <c:v>-3.1280013846205721</c:v>
                </c:pt>
                <c:pt idx="9">
                  <c:v>-5.8650025961624666</c:v>
                </c:pt>
                <c:pt idx="10">
                  <c:v>-3.910001730775829</c:v>
                </c:pt>
                <c:pt idx="11">
                  <c:v>-1.9550008653877775</c:v>
                </c:pt>
                <c:pt idx="12">
                  <c:v>-1.1532335413733707E-12</c:v>
                </c:pt>
              </c:numCache>
            </c:numRef>
          </c:val>
          <c:extLst>
            <c:ext xmlns:c16="http://schemas.microsoft.com/office/drawing/2014/chart" uri="{C3380CC4-5D6E-409C-BE32-E72D297353CC}">
              <c16:uniqueId val="{00000000-3771-D94B-95FC-CAF7C3B712F7}"/>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'Altstedt, Scholsskappelle 1'!$R$9</c:f>
              <c:strCache>
                <c:ptCount val="1"/>
                <c:pt idx="0">
                  <c:v>Difference to ET Scale in Cents</c:v>
                </c:pt>
              </c:strCache>
            </c:strRef>
          </c:tx>
          <c:spPr>
            <a:solidFill>
              <a:schemeClr val="accent1">
                <a:lumMod val="60000"/>
              </a:schemeClr>
            </a:solidFill>
            <a:ln>
              <a:noFill/>
            </a:ln>
            <a:effectLst/>
          </c:spPr>
          <c:invertIfNegative val="0"/>
          <c:cat>
            <c:strRef>
              <c:f>'Altstedt, Scholsskappelle 1'!$P$10:$P$22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'Altstedt, Scholsskappelle 1'!$R$10:$R$22</c:f>
              <c:numCache>
                <c:formatCode>0.00</c:formatCode>
                <c:ptCount val="13"/>
                <c:pt idx="0">
                  <c:v>0</c:v>
                </c:pt>
                <c:pt idx="1">
                  <c:v>-9.7750043269371272</c:v>
                </c:pt>
                <c:pt idx="2">
                  <c:v>-5.4740024230851878</c:v>
                </c:pt>
                <c:pt idx="3">
                  <c:v>-5.8650025961624666</c:v>
                </c:pt>
                <c:pt idx="4">
                  <c:v>-10.948004846169963</c:v>
                </c:pt>
                <c:pt idx="5">
                  <c:v>-1.9550008653877775</c:v>
                </c:pt>
                <c:pt idx="6">
                  <c:v>-11.730005192324823</c:v>
                </c:pt>
                <c:pt idx="7">
                  <c:v>-2.7370012115429714</c:v>
                </c:pt>
                <c:pt idx="8">
                  <c:v>-7.8200034615502698</c:v>
                </c:pt>
                <c:pt idx="9">
                  <c:v>-8.2110036346280708</c:v>
                </c:pt>
                <c:pt idx="10">
                  <c:v>-3.910001730775829</c:v>
                </c:pt>
                <c:pt idx="11">
                  <c:v>-13.685006057712771</c:v>
                </c:pt>
                <c:pt idx="12">
                  <c:v>-1.1532335413733707E-12</c:v>
                </c:pt>
              </c:numCache>
            </c:numRef>
          </c:val>
          <c:extLst>
            <c:ext xmlns:c16="http://schemas.microsoft.com/office/drawing/2014/chart" uri="{C3380CC4-5D6E-409C-BE32-E72D297353CC}">
              <c16:uniqueId val="{00000000-8BF1-974C-9580-8FFE0E7EBA3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'Altstedt, Scholsskappelle 1'!$U$9</c:f>
              <c:strCache>
                <c:ptCount val="1"/>
                <c:pt idx="0">
                  <c:v>Difference to ET Fifths in Cents</c:v>
                </c:pt>
              </c:strCache>
            </c:strRef>
          </c:tx>
          <c:spPr>
            <a:solidFill>
              <a:schemeClr val="accent1">
                <a:lumMod val="60000"/>
              </a:schemeClr>
            </a:solidFill>
            <a:ln>
              <a:noFill/>
            </a:ln>
            <a:effectLst/>
          </c:spPr>
          <c:invertIfNegative val="0"/>
          <c:cat>
            <c:strRef>
              <c:f>'Altstedt, Scholsskappelle 1'!$S$10:$S$22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'Altstedt, Scholsskappelle 1'!$U$10:$U$22</c:f>
              <c:numCache>
                <c:formatCode>0.00</c:formatCode>
                <c:ptCount val="13"/>
                <c:pt idx="0">
                  <c:v>0</c:v>
                </c:pt>
                <c:pt idx="1">
                  <c:v>-2.7370012115429714</c:v>
                </c:pt>
                <c:pt idx="2">
                  <c:v>-5.4740024230851878</c:v>
                </c:pt>
                <c:pt idx="3">
                  <c:v>-8.2110036346280708</c:v>
                </c:pt>
                <c:pt idx="4">
                  <c:v>-10.948004846169963</c:v>
                </c:pt>
                <c:pt idx="5">
                  <c:v>-13.685006057712771</c:v>
                </c:pt>
                <c:pt idx="6">
                  <c:v>-11.730005192324823</c:v>
                </c:pt>
                <c:pt idx="7">
                  <c:v>-9.7750043269371272</c:v>
                </c:pt>
                <c:pt idx="8">
                  <c:v>-7.8200034615502698</c:v>
                </c:pt>
                <c:pt idx="9">
                  <c:v>-5.8650025961624666</c:v>
                </c:pt>
                <c:pt idx="10">
                  <c:v>-3.910001730775829</c:v>
                </c:pt>
                <c:pt idx="11">
                  <c:v>-1.9550008653877775</c:v>
                </c:pt>
                <c:pt idx="12">
                  <c:v>-1.1532335413733707E-12</c:v>
                </c:pt>
              </c:numCache>
            </c:numRef>
          </c:val>
          <c:extLst>
            <c:ext xmlns:c16="http://schemas.microsoft.com/office/drawing/2014/chart" uri="{C3380CC4-5D6E-409C-BE32-E72D297353CC}">
              <c16:uniqueId val="{00000000-2345-0548-A87E-088DA77E89BE}"/>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'Altstedt, Scholsskappelle 2'!$R$9</c:f>
              <c:strCache>
                <c:ptCount val="1"/>
                <c:pt idx="0">
                  <c:v>Difference to ET Scale in Cents</c:v>
                </c:pt>
              </c:strCache>
            </c:strRef>
          </c:tx>
          <c:spPr>
            <a:solidFill>
              <a:schemeClr val="accent1">
                <a:lumMod val="60000"/>
              </a:schemeClr>
            </a:solidFill>
            <a:ln>
              <a:noFill/>
            </a:ln>
            <a:effectLst/>
          </c:spPr>
          <c:invertIfNegative val="0"/>
          <c:cat>
            <c:strRef>
              <c:f>'Altstedt, Scholsskappelle 2'!$P$10:$P$22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'Altstedt, Scholsskappelle 2'!$R$10:$R$22</c:f>
              <c:numCache>
                <c:formatCode>0.00</c:formatCode>
                <c:ptCount val="13"/>
                <c:pt idx="0">
                  <c:v>0</c:v>
                </c:pt>
                <c:pt idx="1">
                  <c:v>-21.897007269254537</c:v>
                </c:pt>
                <c:pt idx="2">
                  <c:v>-5.4740024230851878</c:v>
                </c:pt>
                <c:pt idx="3">
                  <c:v>10.9489915192016</c:v>
                </c:pt>
                <c:pt idx="4">
                  <c:v>-10.948004846169963</c:v>
                </c:pt>
                <c:pt idx="5">
                  <c:v>5.4749890961166692</c:v>
                </c:pt>
                <c:pt idx="6">
                  <c:v>-19.160006057712369</c:v>
                </c:pt>
                <c:pt idx="7">
                  <c:v>-2.7370012115429714</c:v>
                </c:pt>
                <c:pt idx="8">
                  <c:v>-24.634008480797494</c:v>
                </c:pt>
                <c:pt idx="9">
                  <c:v>-8.2110036346280708</c:v>
                </c:pt>
                <c:pt idx="10">
                  <c:v>8.2119903076584375</c:v>
                </c:pt>
                <c:pt idx="11">
                  <c:v>-13.685006057712771</c:v>
                </c:pt>
                <c:pt idx="12">
                  <c:v>-1.0903884097195454E-5</c:v>
                </c:pt>
              </c:numCache>
            </c:numRef>
          </c:val>
          <c:extLst>
            <c:ext xmlns:c16="http://schemas.microsoft.com/office/drawing/2014/chart" uri="{C3380CC4-5D6E-409C-BE32-E72D297353CC}">
              <c16:uniqueId val="{00000000-71B3-B544-9FDF-C2310CA45733}"/>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'Altstedt, Scholsskappelle 2'!$U$9</c:f>
              <c:strCache>
                <c:ptCount val="1"/>
                <c:pt idx="0">
                  <c:v>Difference to ET Fifths in Cents</c:v>
                </c:pt>
              </c:strCache>
            </c:strRef>
          </c:tx>
          <c:spPr>
            <a:solidFill>
              <a:schemeClr val="accent1">
                <a:lumMod val="60000"/>
              </a:schemeClr>
            </a:solidFill>
            <a:ln>
              <a:noFill/>
            </a:ln>
            <a:effectLst/>
          </c:spPr>
          <c:invertIfNegative val="0"/>
          <c:cat>
            <c:strRef>
              <c:f>'Altstedt, Scholsskappelle 2'!$S$10:$S$22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'Altstedt, Scholsskappelle 2'!$U$10:$U$22</c:f>
              <c:numCache>
                <c:formatCode>0.00</c:formatCode>
                <c:ptCount val="13"/>
                <c:pt idx="0">
                  <c:v>0</c:v>
                </c:pt>
                <c:pt idx="1">
                  <c:v>-2.7370012115429714</c:v>
                </c:pt>
                <c:pt idx="2">
                  <c:v>-5.4740024230851878</c:v>
                </c:pt>
                <c:pt idx="3">
                  <c:v>-8.2110036346280708</c:v>
                </c:pt>
                <c:pt idx="4">
                  <c:v>-10.948004846169963</c:v>
                </c:pt>
                <c:pt idx="5">
                  <c:v>-13.685006057712771</c:v>
                </c:pt>
                <c:pt idx="6">
                  <c:v>-19.160006057712369</c:v>
                </c:pt>
                <c:pt idx="7">
                  <c:v>-21.897007269254537</c:v>
                </c:pt>
                <c:pt idx="8">
                  <c:v>-24.634008480797494</c:v>
                </c:pt>
                <c:pt idx="9">
                  <c:v>10.9489915192016</c:v>
                </c:pt>
                <c:pt idx="10">
                  <c:v>8.2119903076584375</c:v>
                </c:pt>
                <c:pt idx="11">
                  <c:v>5.4749890961166692</c:v>
                </c:pt>
                <c:pt idx="12">
                  <c:v>-1.0903884097195454E-5</c:v>
                </c:pt>
              </c:numCache>
            </c:numRef>
          </c:val>
          <c:extLst>
            <c:ext xmlns:c16="http://schemas.microsoft.com/office/drawing/2014/chart" uri="{C3380CC4-5D6E-409C-BE32-E72D297353CC}">
              <c16:uniqueId val="{00000000-7A5B-DB42-BEBF-301B96D1085E}"/>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1'!$R$9</c:f>
              <c:strCache>
                <c:ptCount val="1"/>
                <c:pt idx="0">
                  <c:v>Difference to ET Scale in Cents</c:v>
                </c:pt>
              </c:strCache>
            </c:strRef>
          </c:tx>
          <c:spPr>
            <a:solidFill>
              <a:schemeClr val="accent1">
                <a:lumMod val="60000"/>
              </a:schemeClr>
            </a:solidFill>
            <a:ln>
              <a:noFill/>
            </a:ln>
            <a:effectLst/>
          </c:spPr>
          <c:invertIfNegative val="0"/>
          <c:cat>
            <c:strRef>
              <c:f>'Kirnberger col. 1'!$P$10:$P$22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'Kirnberger col. 1'!$R$10:$R$22</c:f>
              <c:numCache>
                <c:formatCode>0.00</c:formatCode>
                <c:ptCount val="13"/>
                <c:pt idx="0">
                  <c:v>0</c:v>
                </c:pt>
                <c:pt idx="1">
                  <c:v>-9.7750043269367399</c:v>
                </c:pt>
                <c:pt idx="2">
                  <c:v>3.9100017307747521</c:v>
                </c:pt>
                <c:pt idx="3">
                  <c:v>-5.8650025961616956</c:v>
                </c:pt>
                <c:pt idx="4">
                  <c:v>-13.685006057711416</c:v>
                </c:pt>
                <c:pt idx="5">
                  <c:v>-1.9550008653870075</c:v>
                </c:pt>
                <c:pt idx="6">
                  <c:v>-9.7750043269367399</c:v>
                </c:pt>
                <c:pt idx="7">
                  <c:v>1.9550008653868458</c:v>
                </c:pt>
                <c:pt idx="8">
                  <c:v>-7.8200034615496898</c:v>
                </c:pt>
                <c:pt idx="9">
                  <c:v>-5.8650025961624666</c:v>
                </c:pt>
                <c:pt idx="10">
                  <c:v>-3.9100017307748658</c:v>
                </c:pt>
                <c:pt idx="11">
                  <c:v>-11.730005192324629</c:v>
                </c:pt>
                <c:pt idx="12">
                  <c:v>0</c:v>
                </c:pt>
              </c:numCache>
            </c:numRef>
          </c:val>
          <c:extLst>
            <c:ext xmlns:c16="http://schemas.microsoft.com/office/drawing/2014/chart" uri="{C3380CC4-5D6E-409C-BE32-E72D297353CC}">
              <c16:uniqueId val="{00000000-C33F-0742-BDA0-CA9B7C0C48DD}"/>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1'!$U$9</c:f>
              <c:strCache>
                <c:ptCount val="1"/>
                <c:pt idx="0">
                  <c:v>Difference to ET Fifths in Cents</c:v>
                </c:pt>
              </c:strCache>
            </c:strRef>
          </c:tx>
          <c:spPr>
            <a:solidFill>
              <a:schemeClr val="accent1">
                <a:lumMod val="60000"/>
              </a:schemeClr>
            </a:solidFill>
            <a:ln>
              <a:noFill/>
            </a:ln>
            <a:effectLst/>
          </c:spPr>
          <c:invertIfNegative val="0"/>
          <c:cat>
            <c:strRef>
              <c:f>'Kirnberger col. 1'!$S$10:$S$22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'Kirnberger col. 1'!$U$10:$U$22</c:f>
              <c:numCache>
                <c:formatCode>0.00</c:formatCode>
                <c:ptCount val="13"/>
                <c:pt idx="0">
                  <c:v>0</c:v>
                </c:pt>
                <c:pt idx="1">
                  <c:v>1.9550008653868458</c:v>
                </c:pt>
                <c:pt idx="2">
                  <c:v>3.9100017307747521</c:v>
                </c:pt>
                <c:pt idx="3">
                  <c:v>-5.8650025961624666</c:v>
                </c:pt>
                <c:pt idx="4">
                  <c:v>-13.685006057711416</c:v>
                </c:pt>
                <c:pt idx="5">
                  <c:v>-11.730005192324629</c:v>
                </c:pt>
                <c:pt idx="6">
                  <c:v>-9.7750043269367399</c:v>
                </c:pt>
                <c:pt idx="7">
                  <c:v>-9.7750043269367399</c:v>
                </c:pt>
                <c:pt idx="8">
                  <c:v>-7.8200034615496898</c:v>
                </c:pt>
                <c:pt idx="9">
                  <c:v>-5.8650025961616956</c:v>
                </c:pt>
                <c:pt idx="10">
                  <c:v>-3.9100017307748658</c:v>
                </c:pt>
                <c:pt idx="11">
                  <c:v>-1.9550008653870075</c:v>
                </c:pt>
                <c:pt idx="12">
                  <c:v>0</c:v>
                </c:pt>
              </c:numCache>
            </c:numRef>
          </c:val>
          <c:extLst>
            <c:ext xmlns:c16="http://schemas.microsoft.com/office/drawing/2014/chart" uri="{C3380CC4-5D6E-409C-BE32-E72D297353CC}">
              <c16:uniqueId val="{00000000-65D2-064F-817E-B9A7219EE98C}"/>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'Tournay-Kather Tannenberg, 1992'!$H$19</c:f>
          <c:strCache>
            <c:ptCount val="1"/>
            <c:pt idx="0">
              <c:v>Tournay-Kather Tannenberg, 1992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'Tournay-Kather Tannenberg, 1992'!$F$5</c:f>
              <c:strCache>
                <c:ptCount val="1"/>
                <c:pt idx="0">
                  <c:v>Tournay-Kather Tannenberg, 1992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1992'!$F$6:$F$18</c:f>
              <c:numCache>
                <c:formatCode>0.00</c:formatCode>
                <c:ptCount val="13"/>
                <c:pt idx="0">
                  <c:v>92.588891769282768</c:v>
                </c:pt>
                <c:pt idx="1">
                  <c:v>94.513250520365517</c:v>
                </c:pt>
                <c:pt idx="2">
                  <c:v>95.096101211682978</c:v>
                </c:pt>
                <c:pt idx="3">
                  <c:v>88.713171048367684</c:v>
                </c:pt>
                <c:pt idx="4">
                  <c:v>97.103994460280958</c:v>
                </c:pt>
                <c:pt idx="5">
                  <c:v>88.917669054428501</c:v>
                </c:pt>
                <c:pt idx="6">
                  <c:v>91.945537923494882</c:v>
                </c:pt>
                <c:pt idx="7">
                  <c:v>91.945537923494882</c:v>
                </c:pt>
                <c:pt idx="8">
                  <c:v>88.800697732532129</c:v>
                </c:pt>
                <c:pt idx="9">
                  <c:v>97.103994460280958</c:v>
                </c:pt>
                <c:pt idx="10">
                  <c:v>90.899304823858884</c:v>
                </c:pt>
                <c:pt idx="11">
                  <c:v>91.945537923494882</c:v>
                </c:pt>
                <c:pt idx="12">
                  <c:v>97.217626047671345</c:v>
                </c:pt>
              </c:numCache>
            </c:numRef>
          </c:val>
          <c:smooth val="0"/>
          <c:extLst>
            <c:ext xmlns:c16="http://schemas.microsoft.com/office/drawing/2014/chart" uri="{C3380CC4-5D6E-409C-BE32-E72D297353CC}">
              <c16:uniqueId val="{00000000-9DE0-5A4C-BF03-F8A5A543E805}"/>
            </c:ext>
          </c:extLst>
        </c:ser>
        <c:ser>
          <c:idx val="1"/>
          <c:order val="1"/>
          <c:tx>
            <c:strRef>
              <c:f>'Tournay-Kather Tannenberg, 1992'!$H$3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1992'!$J$6:$J$18</c:f>
              <c:numCache>
                <c:formatCode>0.00</c:formatCode>
                <c:ptCount val="13"/>
                <c:pt idx="0">
                  <c:v>90.224995673063063</c:v>
                </c:pt>
                <c:pt idx="1">
                  <c:v>96.089998269225319</c:v>
                </c:pt>
                <c:pt idx="2">
                  <c:v>96.089998269224949</c:v>
                </c:pt>
                <c:pt idx="3">
                  <c:v>90.224995673063063</c:v>
                </c:pt>
                <c:pt idx="4">
                  <c:v>96.089998269224949</c:v>
                </c:pt>
                <c:pt idx="5">
                  <c:v>90.224995673063063</c:v>
                </c:pt>
                <c:pt idx="6">
                  <c:v>96.089998269225319</c:v>
                </c:pt>
                <c:pt idx="7">
                  <c:v>96.089998269224949</c:v>
                </c:pt>
                <c:pt idx="8">
                  <c:v>90.224995673063063</c:v>
                </c:pt>
                <c:pt idx="9">
                  <c:v>96.089998269224949</c:v>
                </c:pt>
                <c:pt idx="10">
                  <c:v>90.224995673063063</c:v>
                </c:pt>
                <c:pt idx="11">
                  <c:v>96.089998269225319</c:v>
                </c:pt>
                <c:pt idx="12">
                  <c:v>96.089998269224949</c:v>
                </c:pt>
              </c:numCache>
            </c:numRef>
          </c:val>
          <c:smooth val="0"/>
          <c:extLst>
            <c:ext xmlns:c16="http://schemas.microsoft.com/office/drawing/2014/chart" uri="{C3380CC4-5D6E-409C-BE32-E72D297353CC}">
              <c16:uniqueId val="{00000001-9DE0-5A4C-BF03-F8A5A543E805}"/>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2'!$R$9</c:f>
              <c:strCache>
                <c:ptCount val="1"/>
                <c:pt idx="0">
                  <c:v>Difference to ET Scale in Cents</c:v>
                </c:pt>
              </c:strCache>
            </c:strRef>
          </c:tx>
          <c:spPr>
            <a:solidFill>
              <a:schemeClr val="accent1">
                <a:lumMod val="60000"/>
              </a:schemeClr>
            </a:solidFill>
            <a:ln>
              <a:noFill/>
            </a:ln>
            <a:effectLst/>
          </c:spPr>
          <c:invertIfNegative val="0"/>
          <c:cat>
            <c:strRef>
              <c:f>'Kirnberger col. 2'!$P$10:$P$22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'Kirnberger col. 2'!$R$10:$R$22</c:f>
              <c:numCache>
                <c:formatCode>0.00</c:formatCode>
                <c:ptCount val="13"/>
                <c:pt idx="0">
                  <c:v>0</c:v>
                </c:pt>
                <c:pt idx="1">
                  <c:v>-9.7750043269365463</c:v>
                </c:pt>
                <c:pt idx="2">
                  <c:v>3.9100017307747521</c:v>
                </c:pt>
                <c:pt idx="3">
                  <c:v>-5.8650025961616956</c:v>
                </c:pt>
                <c:pt idx="4">
                  <c:v>-13.685006057711607</c:v>
                </c:pt>
                <c:pt idx="5">
                  <c:v>-1.9550008653868154</c:v>
                </c:pt>
                <c:pt idx="6">
                  <c:v>-9.7750043269369336</c:v>
                </c:pt>
                <c:pt idx="7">
                  <c:v>1.9550008653872295</c:v>
                </c:pt>
                <c:pt idx="8">
                  <c:v>-7.820003461549498</c:v>
                </c:pt>
                <c:pt idx="9">
                  <c:v>-4.8875021634690947</c:v>
                </c:pt>
                <c:pt idx="10">
                  <c:v>-3.910001730775059</c:v>
                </c:pt>
                <c:pt idx="11">
                  <c:v>-11.730005192325015</c:v>
                </c:pt>
                <c:pt idx="12">
                  <c:v>-3.8441118045779024E-13</c:v>
                </c:pt>
              </c:numCache>
            </c:numRef>
          </c:val>
          <c:extLst>
            <c:ext xmlns:c16="http://schemas.microsoft.com/office/drawing/2014/chart" uri="{C3380CC4-5D6E-409C-BE32-E72D297353CC}">
              <c16:uniqueId val="{00000000-F1F2-F74D-8E83-B6FE880B3AE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2'!$U$9</c:f>
              <c:strCache>
                <c:ptCount val="1"/>
                <c:pt idx="0">
                  <c:v>Difference to ET Fifths in Cents</c:v>
                </c:pt>
              </c:strCache>
            </c:strRef>
          </c:tx>
          <c:spPr>
            <a:solidFill>
              <a:schemeClr val="accent1">
                <a:lumMod val="60000"/>
              </a:schemeClr>
            </a:solidFill>
            <a:ln>
              <a:noFill/>
            </a:ln>
            <a:effectLst/>
          </c:spPr>
          <c:invertIfNegative val="0"/>
          <c:cat>
            <c:strRef>
              <c:f>'Kirnberger col. 2'!$S$10:$S$22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'Kirnberger col. 2'!$U$10:$U$22</c:f>
              <c:numCache>
                <c:formatCode>0.00</c:formatCode>
                <c:ptCount val="13"/>
                <c:pt idx="0">
                  <c:v>0</c:v>
                </c:pt>
                <c:pt idx="1">
                  <c:v>1.9550008653872295</c:v>
                </c:pt>
                <c:pt idx="2">
                  <c:v>3.9100017307747521</c:v>
                </c:pt>
                <c:pt idx="3">
                  <c:v>-4.8875021634690947</c:v>
                </c:pt>
                <c:pt idx="4">
                  <c:v>-13.685006057711607</c:v>
                </c:pt>
                <c:pt idx="5">
                  <c:v>-11.730005192325015</c:v>
                </c:pt>
                <c:pt idx="6">
                  <c:v>-9.7750043269369336</c:v>
                </c:pt>
                <c:pt idx="7">
                  <c:v>-9.7750043269365463</c:v>
                </c:pt>
                <c:pt idx="8">
                  <c:v>-7.820003461549498</c:v>
                </c:pt>
                <c:pt idx="9">
                  <c:v>-5.8650025961616956</c:v>
                </c:pt>
                <c:pt idx="10">
                  <c:v>-3.910001730775059</c:v>
                </c:pt>
                <c:pt idx="11">
                  <c:v>-1.9550008653868154</c:v>
                </c:pt>
                <c:pt idx="12">
                  <c:v>-3.8441118045779024E-13</c:v>
                </c:pt>
              </c:numCache>
            </c:numRef>
          </c:val>
          <c:extLst>
            <c:ext xmlns:c16="http://schemas.microsoft.com/office/drawing/2014/chart" uri="{C3380CC4-5D6E-409C-BE32-E72D297353CC}">
              <c16:uniqueId val="{00000000-822F-7E43-BB29-3ECCF6B75B3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3'!$R$9</c:f>
              <c:strCache>
                <c:ptCount val="1"/>
                <c:pt idx="0">
                  <c:v>Difference to ET Scale in Cents</c:v>
                </c:pt>
              </c:strCache>
            </c:strRef>
          </c:tx>
          <c:spPr>
            <a:solidFill>
              <a:schemeClr val="accent1">
                <a:lumMod val="60000"/>
              </a:schemeClr>
            </a:solidFill>
            <a:ln>
              <a:noFill/>
            </a:ln>
            <a:effectLst/>
          </c:spPr>
          <c:invertIfNegative val="0"/>
          <c:cat>
            <c:strRef>
              <c:f>'Kirnberger col. 3'!$P$10:$P$22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'Kirnberger col. 3'!$R$10:$R$22</c:f>
              <c:numCache>
                <c:formatCode>0.00</c:formatCode>
                <c:ptCount val="13"/>
                <c:pt idx="0">
                  <c:v>0</c:v>
                </c:pt>
                <c:pt idx="1">
                  <c:v>-9.7750043269371272</c:v>
                </c:pt>
                <c:pt idx="2">
                  <c:v>-4.8875021634689011</c:v>
                </c:pt>
                <c:pt idx="3">
                  <c:v>-5.8650025961622729</c:v>
                </c:pt>
                <c:pt idx="4">
                  <c:v>-13.68500605771219</c:v>
                </c:pt>
                <c:pt idx="5">
                  <c:v>-1.955000865387585</c:v>
                </c:pt>
                <c:pt idx="6">
                  <c:v>-9.7750043269377063</c:v>
                </c:pt>
                <c:pt idx="7">
                  <c:v>-1.9550008653879698</c:v>
                </c:pt>
                <c:pt idx="8">
                  <c:v>-7.8200034615504634</c:v>
                </c:pt>
                <c:pt idx="9">
                  <c:v>-9.7750043269380935</c:v>
                </c:pt>
                <c:pt idx="10">
                  <c:v>-3.9100017307756363</c:v>
                </c:pt>
                <c:pt idx="11">
                  <c:v>-11.730005192325596</c:v>
                </c:pt>
                <c:pt idx="12">
                  <c:v>-1.1532335413733707E-12</c:v>
                </c:pt>
              </c:numCache>
            </c:numRef>
          </c:val>
          <c:extLst>
            <c:ext xmlns:c16="http://schemas.microsoft.com/office/drawing/2014/chart" uri="{C3380CC4-5D6E-409C-BE32-E72D297353CC}">
              <c16:uniqueId val="{00000000-FA19-3A4E-862B-C45749E01E3A}"/>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col. 3'!$U$9</c:f>
              <c:strCache>
                <c:ptCount val="1"/>
                <c:pt idx="0">
                  <c:v>Difference to ET Fifths in Cents</c:v>
                </c:pt>
              </c:strCache>
            </c:strRef>
          </c:tx>
          <c:spPr>
            <a:solidFill>
              <a:schemeClr val="accent1">
                <a:lumMod val="60000"/>
              </a:schemeClr>
            </a:solidFill>
            <a:ln>
              <a:noFill/>
            </a:ln>
            <a:effectLst/>
          </c:spPr>
          <c:invertIfNegative val="0"/>
          <c:cat>
            <c:strRef>
              <c:f>'Kirnberger col. 3'!$S$10:$S$22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'Kirnberger col. 3'!$U$10:$U$22</c:f>
              <c:numCache>
                <c:formatCode>0.00</c:formatCode>
                <c:ptCount val="13"/>
                <c:pt idx="0">
                  <c:v>0</c:v>
                </c:pt>
                <c:pt idx="1">
                  <c:v>-1.9550008653879698</c:v>
                </c:pt>
                <c:pt idx="2">
                  <c:v>-4.8875021634689011</c:v>
                </c:pt>
                <c:pt idx="3">
                  <c:v>-9.7750043269380935</c:v>
                </c:pt>
                <c:pt idx="4">
                  <c:v>-13.68500605771219</c:v>
                </c:pt>
                <c:pt idx="5">
                  <c:v>-11.730005192325596</c:v>
                </c:pt>
                <c:pt idx="6">
                  <c:v>-9.7750043269377063</c:v>
                </c:pt>
                <c:pt idx="7">
                  <c:v>-9.7750043269371272</c:v>
                </c:pt>
                <c:pt idx="8">
                  <c:v>-7.8200034615504634</c:v>
                </c:pt>
                <c:pt idx="9">
                  <c:v>-5.8650025961622729</c:v>
                </c:pt>
                <c:pt idx="10">
                  <c:v>-3.9100017307756363</c:v>
                </c:pt>
                <c:pt idx="11">
                  <c:v>-1.955000865387585</c:v>
                </c:pt>
                <c:pt idx="12">
                  <c:v>-1.1532335413733707E-12</c:v>
                </c:pt>
              </c:numCache>
            </c:numRef>
          </c:val>
          <c:extLst>
            <c:ext xmlns:c16="http://schemas.microsoft.com/office/drawing/2014/chart" uri="{C3380CC4-5D6E-409C-BE32-E72D297353CC}">
              <c16:uniqueId val="{00000000-E733-9547-92C1-44C89FECCD0C}"/>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5"/>
          <c:min val="-1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III P.'!$R$8</c:f>
              <c:strCache>
                <c:ptCount val="1"/>
                <c:pt idx="0">
                  <c:v>Difference to ET Scale in Cents</c:v>
                </c:pt>
              </c:strCache>
            </c:strRef>
          </c:tx>
          <c:spPr>
            <a:solidFill>
              <a:schemeClr val="accent1">
                <a:lumMod val="60000"/>
              </a:schemeClr>
            </a:solidFill>
            <a:ln>
              <a:noFill/>
            </a:ln>
            <a:effectLst/>
          </c:spPr>
          <c:invertIfNegative val="0"/>
          <c:cat>
            <c:strRef>
              <c:f>'Kirnberger III P.'!$P$9:$P$21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'Kirnberger III P.'!$R$9:$R$21</c:f>
              <c:numCache>
                <c:formatCode>0.00</c:formatCode>
                <c:ptCount val="13"/>
                <c:pt idx="0">
                  <c:v>0</c:v>
                </c:pt>
                <c:pt idx="1">
                  <c:v>-9.7750043269369336</c:v>
                </c:pt>
                <c:pt idx="2">
                  <c:v>-7.820003461549498</c:v>
                </c:pt>
                <c:pt idx="3">
                  <c:v>-5.8650025961620802</c:v>
                </c:pt>
                <c:pt idx="4">
                  <c:v>-15.640006923099472</c:v>
                </c:pt>
                <c:pt idx="5">
                  <c:v>-1.955000865387585</c:v>
                </c:pt>
                <c:pt idx="6">
                  <c:v>-11.730005192325015</c:v>
                </c:pt>
                <c:pt idx="7">
                  <c:v>-3.9100017307752508</c:v>
                </c:pt>
                <c:pt idx="8">
                  <c:v>-7.8200034615500771</c:v>
                </c:pt>
                <c:pt idx="9">
                  <c:v>-11.730005192325208</c:v>
                </c:pt>
                <c:pt idx="10">
                  <c:v>-3.910001730775444</c:v>
                </c:pt>
                <c:pt idx="11">
                  <c:v>-13.685006057712577</c:v>
                </c:pt>
                <c:pt idx="12">
                  <c:v>-7.6882236091558047E-13</c:v>
                </c:pt>
              </c:numCache>
            </c:numRef>
          </c:val>
          <c:extLst>
            <c:ext xmlns:c16="http://schemas.microsoft.com/office/drawing/2014/chart" uri="{C3380CC4-5D6E-409C-BE32-E72D297353CC}">
              <c16:uniqueId val="{00000000-BFD7-B64D-AB4E-D647310D731A}"/>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III P.'!$U$8</c:f>
              <c:strCache>
                <c:ptCount val="1"/>
                <c:pt idx="0">
                  <c:v>Difference to ET Fifths in Cents</c:v>
                </c:pt>
              </c:strCache>
            </c:strRef>
          </c:tx>
          <c:spPr>
            <a:solidFill>
              <a:schemeClr val="accent1">
                <a:lumMod val="60000"/>
              </a:schemeClr>
            </a:solidFill>
            <a:ln>
              <a:noFill/>
            </a:ln>
            <a:effectLst/>
          </c:spPr>
          <c:invertIfNegative val="0"/>
          <c:cat>
            <c:strRef>
              <c:f>'Kirnberger III P.'!$S$9:$S$21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'Kirnberger III P.'!$U$9:$U$21</c:f>
              <c:numCache>
                <c:formatCode>0.00</c:formatCode>
                <c:ptCount val="13"/>
                <c:pt idx="0">
                  <c:v>0</c:v>
                </c:pt>
                <c:pt idx="1">
                  <c:v>-3.9100017307752508</c:v>
                </c:pt>
                <c:pt idx="2">
                  <c:v>-7.820003461549498</c:v>
                </c:pt>
                <c:pt idx="3">
                  <c:v>-11.730005192325208</c:v>
                </c:pt>
                <c:pt idx="4">
                  <c:v>-15.640006923099472</c:v>
                </c:pt>
                <c:pt idx="5">
                  <c:v>-13.685006057712577</c:v>
                </c:pt>
                <c:pt idx="6">
                  <c:v>-11.730005192325015</c:v>
                </c:pt>
                <c:pt idx="7">
                  <c:v>-9.7750043269369336</c:v>
                </c:pt>
                <c:pt idx="8">
                  <c:v>-7.8200034615500771</c:v>
                </c:pt>
                <c:pt idx="9">
                  <c:v>-5.8650025961620802</c:v>
                </c:pt>
                <c:pt idx="10">
                  <c:v>-3.910001730775444</c:v>
                </c:pt>
                <c:pt idx="11">
                  <c:v>-1.955000865387585</c:v>
                </c:pt>
                <c:pt idx="12">
                  <c:v>-7.6882236091558047E-13</c:v>
                </c:pt>
              </c:numCache>
            </c:numRef>
          </c:val>
          <c:extLst>
            <c:ext xmlns:c16="http://schemas.microsoft.com/office/drawing/2014/chart" uri="{C3380CC4-5D6E-409C-BE32-E72D297353CC}">
              <c16:uniqueId val="{00000000-6974-704D-8AB7-99D5CDB3D47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III S.'!$R$8</c:f>
              <c:strCache>
                <c:ptCount val="1"/>
                <c:pt idx="0">
                  <c:v>Difference to ET Scale in Cents</c:v>
                </c:pt>
              </c:strCache>
            </c:strRef>
          </c:tx>
          <c:spPr>
            <a:solidFill>
              <a:schemeClr val="accent1">
                <a:lumMod val="60000"/>
              </a:schemeClr>
            </a:solidFill>
            <a:ln>
              <a:noFill/>
            </a:ln>
            <a:effectLst/>
          </c:spPr>
          <c:invertIfNegative val="0"/>
          <c:cat>
            <c:strRef>
              <c:f>'Kirnberger III S.'!$P$9:$P$21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'Kirnberger III S.'!$R$9:$R$21</c:f>
              <c:numCache>
                <c:formatCode>0.00</c:formatCode>
                <c:ptCount val="13"/>
                <c:pt idx="0">
                  <c:v>0</c:v>
                </c:pt>
                <c:pt idx="1">
                  <c:v>-9.7750043269371272</c:v>
                </c:pt>
                <c:pt idx="2">
                  <c:v>-6.8431430675824663</c:v>
                </c:pt>
                <c:pt idx="3">
                  <c:v>-5.8650025961624666</c:v>
                </c:pt>
                <c:pt idx="4">
                  <c:v>-13.686286135165501</c:v>
                </c:pt>
                <c:pt idx="5">
                  <c:v>-1.9550008653877775</c:v>
                </c:pt>
                <c:pt idx="6">
                  <c:v>-9.7762844043906689</c:v>
                </c:pt>
                <c:pt idx="7">
                  <c:v>-3.4215715337915875</c:v>
                </c:pt>
                <c:pt idx="8">
                  <c:v>-7.8200034615500771</c:v>
                </c:pt>
                <c:pt idx="9">
                  <c:v>-10.264714601374356</c:v>
                </c:pt>
                <c:pt idx="10">
                  <c:v>-3.910001730775444</c:v>
                </c:pt>
                <c:pt idx="11">
                  <c:v>-11.7312852697782</c:v>
                </c:pt>
                <c:pt idx="12">
                  <c:v>-3.8441118045779024E-13</c:v>
                </c:pt>
              </c:numCache>
            </c:numRef>
          </c:val>
          <c:extLst>
            <c:ext xmlns:c16="http://schemas.microsoft.com/office/drawing/2014/chart" uri="{C3380CC4-5D6E-409C-BE32-E72D297353CC}">
              <c16:uniqueId val="{00000000-4222-0240-871E-28D13BA7EB2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'Kirnberger III S.'!$U$8</c:f>
              <c:strCache>
                <c:ptCount val="1"/>
                <c:pt idx="0">
                  <c:v>Difference to ET Fifths in Cents</c:v>
                </c:pt>
              </c:strCache>
            </c:strRef>
          </c:tx>
          <c:spPr>
            <a:solidFill>
              <a:schemeClr val="accent1">
                <a:lumMod val="60000"/>
              </a:schemeClr>
            </a:solidFill>
            <a:ln>
              <a:noFill/>
            </a:ln>
            <a:effectLst/>
          </c:spPr>
          <c:invertIfNegative val="0"/>
          <c:cat>
            <c:strRef>
              <c:f>'Kirnberger III S.'!$S$9:$S$21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'Kirnberger III S.'!$U$9:$U$21</c:f>
              <c:numCache>
                <c:formatCode>0.00</c:formatCode>
                <c:ptCount val="13"/>
                <c:pt idx="0">
                  <c:v>0</c:v>
                </c:pt>
                <c:pt idx="1">
                  <c:v>-3.4215715337915875</c:v>
                </c:pt>
                <c:pt idx="2">
                  <c:v>-6.8431430675824663</c:v>
                </c:pt>
                <c:pt idx="3">
                  <c:v>-10.264714601374356</c:v>
                </c:pt>
                <c:pt idx="4">
                  <c:v>-13.686286135165501</c:v>
                </c:pt>
                <c:pt idx="5">
                  <c:v>-11.7312852697782</c:v>
                </c:pt>
                <c:pt idx="6">
                  <c:v>-9.7762844043906689</c:v>
                </c:pt>
                <c:pt idx="7">
                  <c:v>-9.7750043269371272</c:v>
                </c:pt>
                <c:pt idx="8">
                  <c:v>-7.8200034615500771</c:v>
                </c:pt>
                <c:pt idx="9">
                  <c:v>-5.8650025961624666</c:v>
                </c:pt>
                <c:pt idx="10">
                  <c:v>-3.910001730775444</c:v>
                </c:pt>
                <c:pt idx="11">
                  <c:v>-1.9550008653877775</c:v>
                </c:pt>
                <c:pt idx="12">
                  <c:v>-3.8441118045779024E-13</c:v>
                </c:pt>
              </c:numCache>
            </c:numRef>
          </c:val>
          <c:extLst>
            <c:ext xmlns:c16="http://schemas.microsoft.com/office/drawing/2014/chart" uri="{C3380CC4-5D6E-409C-BE32-E72D297353CC}">
              <c16:uniqueId val="{00000000-3799-DF45-B11C-0363864F3333}"/>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Oct 1'!$R$9</c:f>
              <c:strCache>
                <c:ptCount val="1"/>
                <c:pt idx="0">
                  <c:v>Difference to ET Scale in Cents</c:v>
                </c:pt>
              </c:strCache>
            </c:strRef>
          </c:tx>
          <c:spPr>
            <a:solidFill>
              <a:schemeClr val="accent1">
                <a:lumMod val="60000"/>
              </a:schemeClr>
            </a:solidFill>
            <a:ln>
              <a:noFill/>
            </a:ln>
            <a:effectLst/>
          </c:spPr>
          <c:invertIfNegative val="0"/>
          <c:cat>
            <c:strRef>
              <c:f>'Meantone Oct 1'!$P$10:$P$22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'Meantone Oct 1'!$R$10:$R$22</c:f>
              <c:numCache>
                <c:formatCode>0.00</c:formatCode>
                <c:ptCount val="13"/>
                <c:pt idx="0">
                  <c:v>0</c:v>
                </c:pt>
                <c:pt idx="1">
                  <c:v>-23.951000736539221</c:v>
                </c:pt>
                <c:pt idx="2">
                  <c:v>-6.8431430675824663</c:v>
                </c:pt>
                <c:pt idx="3">
                  <c:v>-30.794143804122168</c:v>
                </c:pt>
                <c:pt idx="4">
                  <c:v>-13.686286135165501</c:v>
                </c:pt>
                <c:pt idx="5">
                  <c:v>3.421571533791155</c:v>
                </c:pt>
                <c:pt idx="6">
                  <c:v>-20.529429202748009</c:v>
                </c:pt>
                <c:pt idx="7">
                  <c:v>-3.4215715337915875</c:v>
                </c:pt>
                <c:pt idx="8">
                  <c:v>-27.372572270330952</c:v>
                </c:pt>
                <c:pt idx="9">
                  <c:v>-10.264714601374356</c:v>
                </c:pt>
                <c:pt idx="10">
                  <c:v>6.843143067581865</c:v>
                </c:pt>
                <c:pt idx="11">
                  <c:v>-17.107857668956996</c:v>
                </c:pt>
                <c:pt idx="12">
                  <c:v>-3.8441118045779024E-13</c:v>
                </c:pt>
              </c:numCache>
            </c:numRef>
          </c:val>
          <c:extLst>
            <c:ext xmlns:c16="http://schemas.microsoft.com/office/drawing/2014/chart" uri="{C3380CC4-5D6E-409C-BE32-E72D297353CC}">
              <c16:uniqueId val="{00000000-BCDD-A747-BBB6-695A457962B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5"/>
          <c:min val="-3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min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Oct 1'!$U$9</c:f>
              <c:strCache>
                <c:ptCount val="1"/>
                <c:pt idx="0">
                  <c:v>Difference to ET Fifths in Cents</c:v>
                </c:pt>
              </c:strCache>
            </c:strRef>
          </c:tx>
          <c:spPr>
            <a:solidFill>
              <a:schemeClr val="accent1">
                <a:lumMod val="60000"/>
              </a:schemeClr>
            </a:solidFill>
            <a:ln>
              <a:noFill/>
            </a:ln>
            <a:effectLst/>
          </c:spPr>
          <c:invertIfNegative val="0"/>
          <c:cat>
            <c:strRef>
              <c:f>'Meantone Oct 1'!$S$10:$S$22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'Meantone Oct 1'!$U$10:$U$22</c:f>
              <c:numCache>
                <c:formatCode>0.00</c:formatCode>
                <c:ptCount val="13"/>
                <c:pt idx="0">
                  <c:v>0</c:v>
                </c:pt>
                <c:pt idx="1">
                  <c:v>-3.4215715337915875</c:v>
                </c:pt>
                <c:pt idx="2">
                  <c:v>-6.8431430675824663</c:v>
                </c:pt>
                <c:pt idx="3">
                  <c:v>-10.264714601374356</c:v>
                </c:pt>
                <c:pt idx="4">
                  <c:v>-13.686286135165501</c:v>
                </c:pt>
                <c:pt idx="5">
                  <c:v>-17.107857668956996</c:v>
                </c:pt>
                <c:pt idx="6">
                  <c:v>-20.529429202748009</c:v>
                </c:pt>
                <c:pt idx="7">
                  <c:v>-23.951000736539221</c:v>
                </c:pt>
                <c:pt idx="8">
                  <c:v>-27.372572270330952</c:v>
                </c:pt>
                <c:pt idx="9">
                  <c:v>-30.794143804122168</c:v>
                </c:pt>
                <c:pt idx="10">
                  <c:v>6.843143067581865</c:v>
                </c:pt>
                <c:pt idx="11">
                  <c:v>3.421571533791155</c:v>
                </c:pt>
                <c:pt idx="12">
                  <c:v>-3.8441118045779024E-13</c:v>
                </c:pt>
              </c:numCache>
            </c:numRef>
          </c:val>
          <c:extLst>
            <c:ext xmlns:c16="http://schemas.microsoft.com/office/drawing/2014/chart" uri="{C3380CC4-5D6E-409C-BE32-E72D297353CC}">
              <c16:uniqueId val="{00000000-ED7A-8E4F-A65D-E2A67561AB6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5"/>
          <c:min val="-35"/>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'Tournay-Kather Tannenberg, 1992'!$M$19</c:f>
          <c:strCache>
            <c:ptCount val="1"/>
            <c:pt idx="0">
              <c:v>Tournay-Kather Tannenberg, 1992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'Tournay-Kather Tannenberg, 1992'!$F$5</c:f>
              <c:strCache>
                <c:ptCount val="1"/>
                <c:pt idx="0">
                  <c:v>Tournay-Kather Tannenberg, 1992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1992'!$F$6:$F$18</c:f>
              <c:numCache>
                <c:formatCode>0.00</c:formatCode>
                <c:ptCount val="13"/>
                <c:pt idx="0">
                  <c:v>92.588891769282768</c:v>
                </c:pt>
                <c:pt idx="1">
                  <c:v>94.513250520365517</c:v>
                </c:pt>
                <c:pt idx="2">
                  <c:v>95.096101211682978</c:v>
                </c:pt>
                <c:pt idx="3">
                  <c:v>88.713171048367684</c:v>
                </c:pt>
                <c:pt idx="4">
                  <c:v>97.103994460280958</c:v>
                </c:pt>
                <c:pt idx="5">
                  <c:v>88.917669054428501</c:v>
                </c:pt>
                <c:pt idx="6">
                  <c:v>91.945537923494882</c:v>
                </c:pt>
                <c:pt idx="7">
                  <c:v>91.945537923494882</c:v>
                </c:pt>
                <c:pt idx="8">
                  <c:v>88.800697732532129</c:v>
                </c:pt>
                <c:pt idx="9">
                  <c:v>97.103994460280958</c:v>
                </c:pt>
                <c:pt idx="10">
                  <c:v>90.899304823858884</c:v>
                </c:pt>
                <c:pt idx="11">
                  <c:v>91.945537923494882</c:v>
                </c:pt>
                <c:pt idx="12">
                  <c:v>97.217626047671345</c:v>
                </c:pt>
              </c:numCache>
            </c:numRef>
          </c:val>
          <c:smooth val="0"/>
          <c:extLst>
            <c:ext xmlns:c16="http://schemas.microsoft.com/office/drawing/2014/chart" uri="{C3380CC4-5D6E-409C-BE32-E72D297353CC}">
              <c16:uniqueId val="{00000000-55F3-554B-9C11-AEDF93528844}"/>
            </c:ext>
          </c:extLst>
        </c:ser>
        <c:ser>
          <c:idx val="1"/>
          <c:order val="1"/>
          <c:tx>
            <c:strRef>
              <c:f>'Tournay-Kather Tannenberg, 1992'!$M$3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1992'!$O$6:$O$18</c:f>
              <c:numCache>
                <c:formatCode>0.00</c:formatCode>
                <c:ptCount val="13"/>
                <c:pt idx="0">
                  <c:v>117.10785766895694</c:v>
                </c:pt>
                <c:pt idx="1">
                  <c:v>76.048999263460743</c:v>
                </c:pt>
                <c:pt idx="2">
                  <c:v>117.10785766895694</c:v>
                </c:pt>
                <c:pt idx="3">
                  <c:v>76.048999263460743</c:v>
                </c:pt>
                <c:pt idx="4">
                  <c:v>117.1078576689566</c:v>
                </c:pt>
                <c:pt idx="5">
                  <c:v>117.10785766895694</c:v>
                </c:pt>
                <c:pt idx="6">
                  <c:v>76.048999263460743</c:v>
                </c:pt>
                <c:pt idx="7">
                  <c:v>117.10785766895694</c:v>
                </c:pt>
                <c:pt idx="8">
                  <c:v>76.048999263460743</c:v>
                </c:pt>
                <c:pt idx="9">
                  <c:v>117.1078576689566</c:v>
                </c:pt>
                <c:pt idx="10">
                  <c:v>117.10785766895694</c:v>
                </c:pt>
                <c:pt idx="11">
                  <c:v>76.048999263460743</c:v>
                </c:pt>
                <c:pt idx="12">
                  <c:v>117.10785766895694</c:v>
                </c:pt>
              </c:numCache>
            </c:numRef>
          </c:val>
          <c:smooth val="0"/>
          <c:extLst>
            <c:ext xmlns:c16="http://schemas.microsoft.com/office/drawing/2014/chart" uri="{C3380CC4-5D6E-409C-BE32-E72D297353CC}">
              <c16:uniqueId val="{00000001-55F3-554B-9C11-AEDF93528844}"/>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Oct 2'!$R$8</c:f>
              <c:strCache>
                <c:ptCount val="1"/>
                <c:pt idx="0">
                  <c:v>Difference to ET Scale in Cents</c:v>
                </c:pt>
              </c:strCache>
            </c:strRef>
          </c:tx>
          <c:spPr>
            <a:solidFill>
              <a:schemeClr val="accent1">
                <a:lumMod val="60000"/>
              </a:schemeClr>
            </a:solidFill>
            <a:ln>
              <a:noFill/>
            </a:ln>
            <a:effectLst/>
          </c:spPr>
          <c:invertIfNegative val="0"/>
          <c:cat>
            <c:strRef>
              <c:f>'Meantone Oct 2'!$P$9:$P$21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'Meantone Oct 2'!$R$9:$R$21</c:f>
              <c:numCache>
                <c:formatCode>0.00</c:formatCode>
                <c:ptCount val="13"/>
                <c:pt idx="0">
                  <c:v>0</c:v>
                </c:pt>
                <c:pt idx="1">
                  <c:v>-23.951000736539221</c:v>
                </c:pt>
                <c:pt idx="2">
                  <c:v>-6.8431430675824663</c:v>
                </c:pt>
                <c:pt idx="3">
                  <c:v>-30.794143804122168</c:v>
                </c:pt>
                <c:pt idx="4">
                  <c:v>-13.686286135165501</c:v>
                </c:pt>
                <c:pt idx="5">
                  <c:v>-37.637286871704909</c:v>
                </c:pt>
                <c:pt idx="6">
                  <c:v>-20.529429202748009</c:v>
                </c:pt>
                <c:pt idx="7">
                  <c:v>-3.4215715337915875</c:v>
                </c:pt>
                <c:pt idx="8">
                  <c:v>-27.372572270330952</c:v>
                </c:pt>
                <c:pt idx="9">
                  <c:v>-10.264714601374356</c:v>
                </c:pt>
                <c:pt idx="10">
                  <c:v>-34.215715337913849</c:v>
                </c:pt>
                <c:pt idx="11">
                  <c:v>-17.107857668956996</c:v>
                </c:pt>
                <c:pt idx="12">
                  <c:v>-1.9607634183931486E-6</c:v>
                </c:pt>
              </c:numCache>
            </c:numRef>
          </c:val>
          <c:extLst>
            <c:ext xmlns:c16="http://schemas.microsoft.com/office/drawing/2014/chart" uri="{C3380CC4-5D6E-409C-BE32-E72D297353CC}">
              <c16:uniqueId val="{00000000-7356-574C-9853-DF0E272102DE}"/>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40"/>
          <c:min val="-4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Oct 2'!$U$8</c:f>
              <c:strCache>
                <c:ptCount val="1"/>
                <c:pt idx="0">
                  <c:v>Difference to ET Fifths in Cents</c:v>
                </c:pt>
              </c:strCache>
            </c:strRef>
          </c:tx>
          <c:spPr>
            <a:solidFill>
              <a:schemeClr val="accent1">
                <a:lumMod val="60000"/>
              </a:schemeClr>
            </a:solidFill>
            <a:ln>
              <a:noFill/>
            </a:ln>
            <a:effectLst/>
          </c:spPr>
          <c:invertIfNegative val="0"/>
          <c:cat>
            <c:strRef>
              <c:f>'Meantone Oct 2'!$S$9:$S$21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'Meantone Oct 2'!$U$9:$U$21</c:f>
              <c:numCache>
                <c:formatCode>0.00</c:formatCode>
                <c:ptCount val="13"/>
                <c:pt idx="0">
                  <c:v>0</c:v>
                </c:pt>
                <c:pt idx="1">
                  <c:v>-3.4215715337915875</c:v>
                </c:pt>
                <c:pt idx="2">
                  <c:v>-6.8431430675824663</c:v>
                </c:pt>
                <c:pt idx="3">
                  <c:v>-10.264714601374356</c:v>
                </c:pt>
                <c:pt idx="4">
                  <c:v>-13.686286135165501</c:v>
                </c:pt>
                <c:pt idx="5">
                  <c:v>-17.107857668956996</c:v>
                </c:pt>
                <c:pt idx="6">
                  <c:v>-20.529429202748009</c:v>
                </c:pt>
                <c:pt idx="7">
                  <c:v>-23.951000736539221</c:v>
                </c:pt>
                <c:pt idx="8">
                  <c:v>-27.372572270330952</c:v>
                </c:pt>
                <c:pt idx="9">
                  <c:v>-30.794143804122168</c:v>
                </c:pt>
                <c:pt idx="10">
                  <c:v>-34.215715337913849</c:v>
                </c:pt>
                <c:pt idx="11">
                  <c:v>-37.637286871704909</c:v>
                </c:pt>
                <c:pt idx="12">
                  <c:v>-1.9607634183931486E-6</c:v>
                </c:pt>
              </c:numCache>
            </c:numRef>
          </c:val>
          <c:extLst>
            <c:ext xmlns:c16="http://schemas.microsoft.com/office/drawing/2014/chart" uri="{C3380CC4-5D6E-409C-BE32-E72D297353CC}">
              <c16:uniqueId val="{00000000-BF18-AE4A-9510-E437E24AC2F2}"/>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40"/>
          <c:min val="-4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q. comma'!$R$9</c:f>
              <c:strCache>
                <c:ptCount val="1"/>
                <c:pt idx="0">
                  <c:v>Difference to ET Scale in Cents</c:v>
                </c:pt>
              </c:strCache>
            </c:strRef>
          </c:tx>
          <c:spPr>
            <a:solidFill>
              <a:schemeClr val="accent1">
                <a:lumMod val="60000"/>
              </a:schemeClr>
            </a:solidFill>
            <a:ln>
              <a:noFill/>
            </a:ln>
            <a:effectLst/>
          </c:spPr>
          <c:invertIfNegative val="0"/>
          <c:cat>
            <c:strRef>
              <c:f>'Meantone q. comma'!$P$10:$P$22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'Meantone q. comma'!$R$10:$R$22</c:f>
              <c:numCache>
                <c:formatCode>0.00</c:formatCode>
                <c:ptCount val="13"/>
                <c:pt idx="0">
                  <c:v>0</c:v>
                </c:pt>
                <c:pt idx="1">
                  <c:v>-23.951000736539221</c:v>
                </c:pt>
                <c:pt idx="2">
                  <c:v>-6.8431430675824663</c:v>
                </c:pt>
                <c:pt idx="3">
                  <c:v>-30.794143804122168</c:v>
                </c:pt>
                <c:pt idx="4">
                  <c:v>-13.686286135165501</c:v>
                </c:pt>
                <c:pt idx="5">
                  <c:v>-37.637286871704909</c:v>
                </c:pt>
                <c:pt idx="6">
                  <c:v>-20.529429202748009</c:v>
                </c:pt>
                <c:pt idx="7">
                  <c:v>-3.4215715337915875</c:v>
                </c:pt>
                <c:pt idx="8">
                  <c:v>-27.372572270330952</c:v>
                </c:pt>
                <c:pt idx="9">
                  <c:v>-10.264714601374356</c:v>
                </c:pt>
                <c:pt idx="10">
                  <c:v>-34.215715337913849</c:v>
                </c:pt>
                <c:pt idx="11">
                  <c:v>-17.107857668956996</c:v>
                </c:pt>
                <c:pt idx="12">
                  <c:v>-41.05885840549653</c:v>
                </c:pt>
              </c:numCache>
            </c:numRef>
          </c:val>
          <c:extLst>
            <c:ext xmlns:c16="http://schemas.microsoft.com/office/drawing/2014/chart" uri="{C3380CC4-5D6E-409C-BE32-E72D297353CC}">
              <c16:uniqueId val="{00000000-8B6B-4445-8511-0FCB0B29D49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q. comma'!$U$9</c:f>
              <c:strCache>
                <c:ptCount val="1"/>
                <c:pt idx="0">
                  <c:v>Difference to ET Fifths in Cents</c:v>
                </c:pt>
              </c:strCache>
            </c:strRef>
          </c:tx>
          <c:spPr>
            <a:solidFill>
              <a:schemeClr val="accent1">
                <a:lumMod val="60000"/>
              </a:schemeClr>
            </a:solidFill>
            <a:ln>
              <a:noFill/>
            </a:ln>
            <a:effectLst/>
          </c:spPr>
          <c:invertIfNegative val="0"/>
          <c:cat>
            <c:strRef>
              <c:f>'Meantone q. comma'!$S$10:$S$22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'Meantone q. comma'!$U$10:$U$22</c:f>
              <c:numCache>
                <c:formatCode>0.00</c:formatCode>
                <c:ptCount val="13"/>
                <c:pt idx="0">
                  <c:v>0</c:v>
                </c:pt>
                <c:pt idx="1">
                  <c:v>-3.4215715337915875</c:v>
                </c:pt>
                <c:pt idx="2">
                  <c:v>-6.8431430675824663</c:v>
                </c:pt>
                <c:pt idx="3">
                  <c:v>-10.264714601374356</c:v>
                </c:pt>
                <c:pt idx="4">
                  <c:v>-13.686286135165501</c:v>
                </c:pt>
                <c:pt idx="5">
                  <c:v>-17.107857668956996</c:v>
                </c:pt>
                <c:pt idx="6">
                  <c:v>-20.529429202748009</c:v>
                </c:pt>
                <c:pt idx="7">
                  <c:v>-23.951000736539221</c:v>
                </c:pt>
                <c:pt idx="8">
                  <c:v>-27.372572270330952</c:v>
                </c:pt>
                <c:pt idx="9">
                  <c:v>-30.794143804122168</c:v>
                </c:pt>
                <c:pt idx="10">
                  <c:v>-34.215715337913849</c:v>
                </c:pt>
                <c:pt idx="11">
                  <c:v>-37.637286871704909</c:v>
                </c:pt>
                <c:pt idx="12">
                  <c:v>-41.05885840549653</c:v>
                </c:pt>
              </c:numCache>
            </c:numRef>
          </c:val>
          <c:extLst>
            <c:ext xmlns:c16="http://schemas.microsoft.com/office/drawing/2014/chart" uri="{C3380CC4-5D6E-409C-BE32-E72D297353CC}">
              <c16:uniqueId val="{00000000-FCB9-6C4B-B079-39AE778DC122}"/>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Bav Donat'!$R$9</c:f>
              <c:strCache>
                <c:ptCount val="1"/>
                <c:pt idx="0">
                  <c:v>Difference to ET Scale in Cents</c:v>
                </c:pt>
              </c:strCache>
            </c:strRef>
          </c:tx>
          <c:spPr>
            <a:solidFill>
              <a:schemeClr val="accent1">
                <a:lumMod val="60000"/>
              </a:schemeClr>
            </a:solidFill>
            <a:ln>
              <a:noFill/>
            </a:ln>
            <a:effectLst/>
          </c:spPr>
          <c:invertIfNegative val="0"/>
          <c:cat>
            <c:strRef>
              <c:f>'Meantone Bav Donat'!$P$10:$P$22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'Meantone Bav Donat'!$R$10:$R$22</c:f>
              <c:numCache>
                <c:formatCode>0.00</c:formatCode>
                <c:ptCount val="13"/>
                <c:pt idx="0">
                  <c:v>0</c:v>
                </c:pt>
                <c:pt idx="1">
                  <c:v>-29.327573135718019</c:v>
                </c:pt>
                <c:pt idx="2">
                  <c:v>-6.8431430675824663</c:v>
                </c:pt>
                <c:pt idx="3">
                  <c:v>-16.456617764750433</c:v>
                </c:pt>
                <c:pt idx="4">
                  <c:v>-13.686286135165501</c:v>
                </c:pt>
                <c:pt idx="5">
                  <c:v>5.3752912464100007</c:v>
                </c:pt>
                <c:pt idx="6">
                  <c:v>-20.529429202748009</c:v>
                </c:pt>
                <c:pt idx="7">
                  <c:v>-3.4215715337915875</c:v>
                </c:pt>
                <c:pt idx="8">
                  <c:v>-27.372572270331148</c:v>
                </c:pt>
                <c:pt idx="9">
                  <c:v>-10.264714601374356</c:v>
                </c:pt>
                <c:pt idx="10">
                  <c:v>-5.5406632591706293</c:v>
                </c:pt>
                <c:pt idx="11">
                  <c:v>-17.107857668956996</c:v>
                </c:pt>
                <c:pt idx="12">
                  <c:v>1.9537197126182961</c:v>
                </c:pt>
              </c:numCache>
            </c:numRef>
          </c:val>
          <c:extLst>
            <c:ext xmlns:c16="http://schemas.microsoft.com/office/drawing/2014/chart" uri="{C3380CC4-5D6E-409C-BE32-E72D297353CC}">
              <c16:uniqueId val="{00000000-3856-B440-8B1C-C63D6A015817}"/>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'Meantone Bav Donat'!$U$9</c:f>
              <c:strCache>
                <c:ptCount val="1"/>
                <c:pt idx="0">
                  <c:v>Difference to ET Fifths in Cents</c:v>
                </c:pt>
              </c:strCache>
            </c:strRef>
          </c:tx>
          <c:spPr>
            <a:solidFill>
              <a:schemeClr val="accent1">
                <a:lumMod val="60000"/>
              </a:schemeClr>
            </a:solidFill>
            <a:ln>
              <a:noFill/>
            </a:ln>
            <a:effectLst/>
          </c:spPr>
          <c:invertIfNegative val="0"/>
          <c:cat>
            <c:strRef>
              <c:f>'Meantone Bav Donat'!$S$10:$S$22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'Meantone Bav Donat'!$U$10:$U$22</c:f>
              <c:numCache>
                <c:formatCode>0.00</c:formatCode>
                <c:ptCount val="13"/>
                <c:pt idx="0">
                  <c:v>0</c:v>
                </c:pt>
                <c:pt idx="1">
                  <c:v>-3.4215715337915875</c:v>
                </c:pt>
                <c:pt idx="2">
                  <c:v>-6.8431430675824663</c:v>
                </c:pt>
                <c:pt idx="3">
                  <c:v>-10.264714601374356</c:v>
                </c:pt>
                <c:pt idx="4">
                  <c:v>-13.686286135165501</c:v>
                </c:pt>
                <c:pt idx="5">
                  <c:v>-17.107857668956996</c:v>
                </c:pt>
                <c:pt idx="6">
                  <c:v>-20.529429202748009</c:v>
                </c:pt>
                <c:pt idx="7">
                  <c:v>-29.327573135718019</c:v>
                </c:pt>
                <c:pt idx="8">
                  <c:v>-27.372572270331148</c:v>
                </c:pt>
                <c:pt idx="9">
                  <c:v>-16.456617764750433</c:v>
                </c:pt>
                <c:pt idx="10">
                  <c:v>-5.5406632591706293</c:v>
                </c:pt>
                <c:pt idx="11">
                  <c:v>5.3752912464100007</c:v>
                </c:pt>
                <c:pt idx="12">
                  <c:v>1.9537197126182961</c:v>
                </c:pt>
              </c:numCache>
            </c:numRef>
          </c:val>
          <c:extLst>
            <c:ext xmlns:c16="http://schemas.microsoft.com/office/drawing/2014/chart" uri="{C3380CC4-5D6E-409C-BE32-E72D297353CC}">
              <c16:uniqueId val="{00000000-B7C0-8248-999B-342D4E34B276}"/>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Monochord!$P$2</c:f>
              <c:strCache>
                <c:ptCount val="1"/>
              </c:strCache>
            </c:strRef>
          </c:tx>
          <c:spPr>
            <a:solidFill>
              <a:schemeClr val="accent1">
                <a:lumMod val="60000"/>
              </a:schemeClr>
            </a:solidFill>
            <a:ln>
              <a:noFill/>
            </a:ln>
            <a:effectLst/>
          </c:spPr>
          <c:invertIfNegative val="0"/>
          <c:cat>
            <c:strRef>
              <c:f>Monochord!$Q$8:$Q$20</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Monochord!$S$8:$S$20</c:f>
              <c:numCache>
                <c:formatCode>0.00</c:formatCode>
                <c:ptCount val="13"/>
                <c:pt idx="0">
                  <c:v>0</c:v>
                </c:pt>
                <c:pt idx="1">
                  <c:v>-29.32757313571782</c:v>
                </c:pt>
                <c:pt idx="2">
                  <c:v>3.9100017307747521</c:v>
                </c:pt>
                <c:pt idx="3">
                  <c:v>-25.417571404942983</c:v>
                </c:pt>
                <c:pt idx="4">
                  <c:v>-13.686286135165501</c:v>
                </c:pt>
                <c:pt idx="5">
                  <c:v>-1.9550008653877775</c:v>
                </c:pt>
                <c:pt idx="6">
                  <c:v>-9.7762844043906689</c:v>
                </c:pt>
                <c:pt idx="7">
                  <c:v>1.9550008653868458</c:v>
                </c:pt>
                <c:pt idx="8">
                  <c:v>-27.372572270330757</c:v>
                </c:pt>
                <c:pt idx="9">
                  <c:v>-15.64128700055311</c:v>
                </c:pt>
                <c:pt idx="10">
                  <c:v>17.596287865939541</c:v>
                </c:pt>
                <c:pt idx="11">
                  <c:v>-11.731285269778395</c:v>
                </c:pt>
                <c:pt idx="12">
                  <c:v>-7.6882236091558047E-13</c:v>
                </c:pt>
              </c:numCache>
            </c:numRef>
          </c:val>
          <c:extLst>
            <c:ext xmlns:c16="http://schemas.microsoft.com/office/drawing/2014/chart" uri="{C3380CC4-5D6E-409C-BE32-E72D297353CC}">
              <c16:uniqueId val="{00000000-F779-CE4C-BE82-58A50C531A3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Monochord!$V$7</c:f>
              <c:strCache>
                <c:ptCount val="1"/>
                <c:pt idx="0">
                  <c:v>Difference to ET Fifths in Cents</c:v>
                </c:pt>
              </c:strCache>
            </c:strRef>
          </c:tx>
          <c:spPr>
            <a:solidFill>
              <a:schemeClr val="accent1">
                <a:lumMod val="60000"/>
              </a:schemeClr>
            </a:solidFill>
            <a:ln>
              <a:noFill/>
            </a:ln>
            <a:effectLst/>
          </c:spPr>
          <c:invertIfNegative val="0"/>
          <c:cat>
            <c:strRef>
              <c:f>Monochord!$T$8:$T$20</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Monochord!$V$8:$V$20</c:f>
              <c:numCache>
                <c:formatCode>0.00</c:formatCode>
                <c:ptCount val="13"/>
                <c:pt idx="0">
                  <c:v>0</c:v>
                </c:pt>
                <c:pt idx="1">
                  <c:v>1.9550008653868458</c:v>
                </c:pt>
                <c:pt idx="2">
                  <c:v>3.9100017307747521</c:v>
                </c:pt>
                <c:pt idx="3">
                  <c:v>-15.64128700055311</c:v>
                </c:pt>
                <c:pt idx="4">
                  <c:v>-13.686286135165501</c:v>
                </c:pt>
                <c:pt idx="5">
                  <c:v>-11.731285269778395</c:v>
                </c:pt>
                <c:pt idx="6">
                  <c:v>-9.7762844043906689</c:v>
                </c:pt>
                <c:pt idx="7">
                  <c:v>-29.32757313571782</c:v>
                </c:pt>
                <c:pt idx="8">
                  <c:v>-27.372572270330757</c:v>
                </c:pt>
                <c:pt idx="9">
                  <c:v>-25.417571404942983</c:v>
                </c:pt>
                <c:pt idx="10">
                  <c:v>17.596287865939541</c:v>
                </c:pt>
                <c:pt idx="11">
                  <c:v>-1.9550008653877775</c:v>
                </c:pt>
                <c:pt idx="12">
                  <c:v>-7.6882236091558047E-13</c:v>
                </c:pt>
              </c:numCache>
            </c:numRef>
          </c:val>
          <c:extLst>
            <c:ext xmlns:c16="http://schemas.microsoft.com/office/drawing/2014/chart" uri="{C3380CC4-5D6E-409C-BE32-E72D297353CC}">
              <c16:uniqueId val="{00000000-9971-F649-938B-A5DF2858E835}"/>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1'!$R$8</c:f>
              <c:strCache>
                <c:ptCount val="1"/>
                <c:pt idx="0">
                  <c:v>Difference to ET Scale in Cents</c:v>
                </c:pt>
              </c:strCache>
            </c:strRef>
          </c:tx>
          <c:spPr>
            <a:solidFill>
              <a:schemeClr val="accent1">
                <a:lumMod val="60000"/>
              </a:schemeClr>
            </a:solidFill>
            <a:ln>
              <a:noFill/>
            </a:ln>
            <a:effectLst/>
          </c:spPr>
          <c:invertIfNegative val="0"/>
          <c:cat>
            <c:strRef>
              <c:f>'Neidhardt 1'!$P$9:$P$21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'Neidhardt 1'!$R$9:$R$21</c:f>
              <c:numCache>
                <c:formatCode>0.00</c:formatCode>
                <c:ptCount val="13"/>
                <c:pt idx="0">
                  <c:v>0</c:v>
                </c:pt>
                <c:pt idx="1">
                  <c:v>-5.8650025961624666</c:v>
                </c:pt>
                <c:pt idx="2">
                  <c:v>-3.9100017307748658</c:v>
                </c:pt>
                <c:pt idx="3">
                  <c:v>-3.9100017307752508</c:v>
                </c:pt>
                <c:pt idx="4">
                  <c:v>-7.820003461549498</c:v>
                </c:pt>
                <c:pt idx="5">
                  <c:v>-1.9550008653879698</c:v>
                </c:pt>
                <c:pt idx="6">
                  <c:v>-7.8200034615498835</c:v>
                </c:pt>
                <c:pt idx="7">
                  <c:v>-1.955000865387585</c:v>
                </c:pt>
                <c:pt idx="8">
                  <c:v>-3.910001730775444</c:v>
                </c:pt>
                <c:pt idx="9">
                  <c:v>-5.8650025961626593</c:v>
                </c:pt>
                <c:pt idx="10">
                  <c:v>-3.9100017307756363</c:v>
                </c:pt>
                <c:pt idx="11">
                  <c:v>-7.8200034615502698</c:v>
                </c:pt>
                <c:pt idx="12">
                  <c:v>-1.1532335413733707E-12</c:v>
                </c:pt>
              </c:numCache>
            </c:numRef>
          </c:val>
          <c:extLst>
            <c:ext xmlns:c16="http://schemas.microsoft.com/office/drawing/2014/chart" uri="{C3380CC4-5D6E-409C-BE32-E72D297353CC}">
              <c16:uniqueId val="{00000000-F583-4548-9F87-5698722405D3}"/>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0"/>
          <c:min val="-1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1'!$U$8</c:f>
              <c:strCache>
                <c:ptCount val="1"/>
                <c:pt idx="0">
                  <c:v>Difference to ET Fifths in Cents</c:v>
                </c:pt>
              </c:strCache>
            </c:strRef>
          </c:tx>
          <c:spPr>
            <a:solidFill>
              <a:schemeClr val="accent1">
                <a:lumMod val="60000"/>
              </a:schemeClr>
            </a:solidFill>
            <a:ln>
              <a:noFill/>
            </a:ln>
            <a:effectLst/>
          </c:spPr>
          <c:invertIfNegative val="0"/>
          <c:cat>
            <c:strRef>
              <c:f>'Neidhardt 1'!$S$9:$S$21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'Neidhardt 1'!$U$9:$U$21</c:f>
              <c:numCache>
                <c:formatCode>0.00</c:formatCode>
                <c:ptCount val="13"/>
                <c:pt idx="0">
                  <c:v>0</c:v>
                </c:pt>
                <c:pt idx="1">
                  <c:v>-1.955000865387585</c:v>
                </c:pt>
                <c:pt idx="2">
                  <c:v>-3.9100017307748658</c:v>
                </c:pt>
                <c:pt idx="3">
                  <c:v>-5.8650025961626593</c:v>
                </c:pt>
                <c:pt idx="4">
                  <c:v>-7.820003461549498</c:v>
                </c:pt>
                <c:pt idx="5">
                  <c:v>-7.8200034615502698</c:v>
                </c:pt>
                <c:pt idx="6">
                  <c:v>-7.8200034615498835</c:v>
                </c:pt>
                <c:pt idx="7">
                  <c:v>-5.8650025961624666</c:v>
                </c:pt>
                <c:pt idx="8">
                  <c:v>-3.910001730775444</c:v>
                </c:pt>
                <c:pt idx="9">
                  <c:v>-3.9100017307752508</c:v>
                </c:pt>
                <c:pt idx="10">
                  <c:v>-3.9100017307756363</c:v>
                </c:pt>
                <c:pt idx="11">
                  <c:v>-1.9550008653879698</c:v>
                </c:pt>
                <c:pt idx="12">
                  <c:v>-1.1532335413733707E-12</c:v>
                </c:pt>
              </c:numCache>
            </c:numRef>
          </c:val>
          <c:extLst>
            <c:ext xmlns:c16="http://schemas.microsoft.com/office/drawing/2014/chart" uri="{C3380CC4-5D6E-409C-BE32-E72D297353CC}">
              <c16:uniqueId val="{00000000-FA39-9A42-A17F-C20C6ABCB8CB}"/>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10"/>
          <c:min val="-1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'Tournay-Kather Tannenberg, 1992'!$W$19</c:f>
          <c:strCache>
            <c:ptCount val="1"/>
            <c:pt idx="0">
              <c:v>Tournay-Kather Tannenberg, 1992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'Tournay-Kather Tannenberg, 1992'!$F$5</c:f>
              <c:strCache>
                <c:ptCount val="1"/>
                <c:pt idx="0">
                  <c:v>Tournay-Kather Tannenberg, 1992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1992'!$F$6:$F$18</c:f>
              <c:numCache>
                <c:formatCode>0.00</c:formatCode>
                <c:ptCount val="13"/>
                <c:pt idx="0">
                  <c:v>92.588891769282768</c:v>
                </c:pt>
                <c:pt idx="1">
                  <c:v>94.513250520365517</c:v>
                </c:pt>
                <c:pt idx="2">
                  <c:v>95.096101211682978</c:v>
                </c:pt>
                <c:pt idx="3">
                  <c:v>88.713171048367684</c:v>
                </c:pt>
                <c:pt idx="4">
                  <c:v>97.103994460280958</c:v>
                </c:pt>
                <c:pt idx="5">
                  <c:v>88.917669054428501</c:v>
                </c:pt>
                <c:pt idx="6">
                  <c:v>91.945537923494882</c:v>
                </c:pt>
                <c:pt idx="7">
                  <c:v>91.945537923494882</c:v>
                </c:pt>
                <c:pt idx="8">
                  <c:v>88.800697732532129</c:v>
                </c:pt>
                <c:pt idx="9">
                  <c:v>97.103994460280958</c:v>
                </c:pt>
                <c:pt idx="10">
                  <c:v>90.899304823858884</c:v>
                </c:pt>
                <c:pt idx="11">
                  <c:v>91.945537923494882</c:v>
                </c:pt>
                <c:pt idx="12">
                  <c:v>97.217626047671345</c:v>
                </c:pt>
              </c:numCache>
            </c:numRef>
          </c:val>
          <c:smooth val="0"/>
          <c:extLst>
            <c:ext xmlns:c16="http://schemas.microsoft.com/office/drawing/2014/chart" uri="{C3380CC4-5D6E-409C-BE32-E72D297353CC}">
              <c16:uniqueId val="{00000000-46F4-C841-AF28-73472E7D4114}"/>
            </c:ext>
          </c:extLst>
        </c:ser>
        <c:ser>
          <c:idx val="1"/>
          <c:order val="1"/>
          <c:tx>
            <c:strRef>
              <c:f>'Tournay-Kather Tannenberg, 1992'!$W$3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1992'!$Y$6:$Y$18</c:f>
              <c:numCache>
                <c:formatCode>0.00</c:formatCode>
                <c:ptCount val="13"/>
                <c:pt idx="0">
                  <c:v>100.00000000000007</c:v>
                </c:pt>
                <c:pt idx="1">
                  <c:v>99.99999999999973</c:v>
                </c:pt>
                <c:pt idx="2">
                  <c:v>100.00000000000007</c:v>
                </c:pt>
                <c:pt idx="3">
                  <c:v>100.00000000000007</c:v>
                </c:pt>
                <c:pt idx="4">
                  <c:v>100.00000000000007</c:v>
                </c:pt>
                <c:pt idx="5">
                  <c:v>100.00000000000007</c:v>
                </c:pt>
                <c:pt idx="6">
                  <c:v>99.99999999999973</c:v>
                </c:pt>
                <c:pt idx="7">
                  <c:v>100.00000000000007</c:v>
                </c:pt>
                <c:pt idx="8">
                  <c:v>100.00000000000007</c:v>
                </c:pt>
                <c:pt idx="9">
                  <c:v>100.00000000000007</c:v>
                </c:pt>
                <c:pt idx="10">
                  <c:v>100.00000000000007</c:v>
                </c:pt>
                <c:pt idx="11">
                  <c:v>99.99999999999973</c:v>
                </c:pt>
                <c:pt idx="12">
                  <c:v>100.00000000000007</c:v>
                </c:pt>
              </c:numCache>
            </c:numRef>
          </c:val>
          <c:smooth val="0"/>
          <c:extLst>
            <c:ext xmlns:c16="http://schemas.microsoft.com/office/drawing/2014/chart" uri="{C3380CC4-5D6E-409C-BE32-E72D297353CC}">
              <c16:uniqueId val="{00000001-46F4-C841-AF28-73472E7D4114}"/>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2'!$R$8</c:f>
              <c:strCache>
                <c:ptCount val="1"/>
                <c:pt idx="0">
                  <c:v>Difference to ET Scale in Cents</c:v>
                </c:pt>
              </c:strCache>
            </c:strRef>
          </c:tx>
          <c:spPr>
            <a:solidFill>
              <a:schemeClr val="accent1">
                <a:lumMod val="60000"/>
              </a:schemeClr>
            </a:solidFill>
            <a:ln>
              <a:noFill/>
            </a:ln>
            <a:effectLst/>
          </c:spPr>
          <c:invertIfNegative val="0"/>
          <c:cat>
            <c:strRef>
              <c:f>'Neidhardt 2'!$P$9:$P$21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'Neidhardt 2'!$R$9:$R$21</c:f>
              <c:numCache>
                <c:formatCode>0.00</c:formatCode>
                <c:ptCount val="13"/>
                <c:pt idx="0">
                  <c:v>0</c:v>
                </c:pt>
                <c:pt idx="1">
                  <c:v>-3.9100017307748658</c:v>
                </c:pt>
                <c:pt idx="2">
                  <c:v>-3.9100017307748658</c:v>
                </c:pt>
                <c:pt idx="3">
                  <c:v>-1.9550008653873929</c:v>
                </c:pt>
                <c:pt idx="4">
                  <c:v>-5.8650025961620802</c:v>
                </c:pt>
                <c:pt idx="5">
                  <c:v>-1.9220559022889507E-13</c:v>
                </c:pt>
                <c:pt idx="6">
                  <c:v>-3.9100017307746739</c:v>
                </c:pt>
                <c:pt idx="7">
                  <c:v>-1.955000865387585</c:v>
                </c:pt>
                <c:pt idx="8">
                  <c:v>-3.910001730775059</c:v>
                </c:pt>
                <c:pt idx="9">
                  <c:v>-5.8650025961626593</c:v>
                </c:pt>
                <c:pt idx="10">
                  <c:v>-3.8441118045779024E-13</c:v>
                </c:pt>
                <c:pt idx="11">
                  <c:v>-3.910001730775059</c:v>
                </c:pt>
                <c:pt idx="12">
                  <c:v>-7.6882236091558047E-13</c:v>
                </c:pt>
              </c:numCache>
            </c:numRef>
          </c:val>
          <c:extLst>
            <c:ext xmlns:c16="http://schemas.microsoft.com/office/drawing/2014/chart" uri="{C3380CC4-5D6E-409C-BE32-E72D297353CC}">
              <c16:uniqueId val="{00000000-F67B-DF49-8A36-0EDD6A0060C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2'!$U$8</c:f>
              <c:strCache>
                <c:ptCount val="1"/>
                <c:pt idx="0">
                  <c:v>Difference to ET Fifths in Cents</c:v>
                </c:pt>
              </c:strCache>
            </c:strRef>
          </c:tx>
          <c:spPr>
            <a:solidFill>
              <a:schemeClr val="accent1">
                <a:lumMod val="60000"/>
              </a:schemeClr>
            </a:solidFill>
            <a:ln>
              <a:noFill/>
            </a:ln>
            <a:effectLst/>
          </c:spPr>
          <c:invertIfNegative val="0"/>
          <c:cat>
            <c:strRef>
              <c:f>'Neidhardt 2'!$S$9:$S$21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'Neidhardt 2'!$U$9:$U$21</c:f>
              <c:numCache>
                <c:formatCode>0.00</c:formatCode>
                <c:ptCount val="13"/>
                <c:pt idx="0">
                  <c:v>0</c:v>
                </c:pt>
                <c:pt idx="1">
                  <c:v>-1.955000865387585</c:v>
                </c:pt>
                <c:pt idx="2">
                  <c:v>-3.9100017307748658</c:v>
                </c:pt>
                <c:pt idx="3">
                  <c:v>-5.8650025961626593</c:v>
                </c:pt>
                <c:pt idx="4">
                  <c:v>-5.8650025961620802</c:v>
                </c:pt>
                <c:pt idx="5">
                  <c:v>-3.910001730775059</c:v>
                </c:pt>
                <c:pt idx="6">
                  <c:v>-3.9100017307746739</c:v>
                </c:pt>
                <c:pt idx="7">
                  <c:v>-3.9100017307748658</c:v>
                </c:pt>
                <c:pt idx="8">
                  <c:v>-3.910001730775059</c:v>
                </c:pt>
                <c:pt idx="9">
                  <c:v>-1.9550008653873929</c:v>
                </c:pt>
                <c:pt idx="10">
                  <c:v>-3.8441118045779024E-13</c:v>
                </c:pt>
                <c:pt idx="11">
                  <c:v>-1.9220559022889507E-13</c:v>
                </c:pt>
                <c:pt idx="12">
                  <c:v>-7.6882236091558047E-13</c:v>
                </c:pt>
              </c:numCache>
            </c:numRef>
          </c:val>
          <c:extLst>
            <c:ext xmlns:c16="http://schemas.microsoft.com/office/drawing/2014/chart" uri="{C3380CC4-5D6E-409C-BE32-E72D297353CC}">
              <c16:uniqueId val="{00000000-5941-0B41-ABA1-9513C55F2CC8}"/>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3'!$R$8</c:f>
              <c:strCache>
                <c:ptCount val="1"/>
                <c:pt idx="0">
                  <c:v>Difference to ET Scale in Cents</c:v>
                </c:pt>
              </c:strCache>
            </c:strRef>
          </c:tx>
          <c:spPr>
            <a:solidFill>
              <a:schemeClr val="accent1">
                <a:lumMod val="60000"/>
              </a:schemeClr>
            </a:solidFill>
            <a:ln>
              <a:noFill/>
            </a:ln>
            <a:effectLst/>
          </c:spPr>
          <c:invertIfNegative val="0"/>
          <c:cat>
            <c:strRef>
              <c:f>'Neidhardt 3'!$P$9:$P$21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'Neidhardt 3'!$R$9:$R$21</c:f>
              <c:numCache>
                <c:formatCode>0.00</c:formatCode>
                <c:ptCount val="13"/>
                <c:pt idx="0">
                  <c:v>0</c:v>
                </c:pt>
                <c:pt idx="1">
                  <c:v>-1.955000865387585</c:v>
                </c:pt>
                <c:pt idx="2">
                  <c:v>-3.910001730775059</c:v>
                </c:pt>
                <c:pt idx="3">
                  <c:v>-3.8441118045779024E-13</c:v>
                </c:pt>
                <c:pt idx="4">
                  <c:v>-1.9550008653877775</c:v>
                </c:pt>
                <c:pt idx="5">
                  <c:v>1.9550008653868458</c:v>
                </c:pt>
                <c:pt idx="6">
                  <c:v>-1.9550008653879698</c:v>
                </c:pt>
                <c:pt idx="7">
                  <c:v>-1.9550008653881623</c:v>
                </c:pt>
                <c:pt idx="8">
                  <c:v>-7.6882236091558047E-13</c:v>
                </c:pt>
                <c:pt idx="9">
                  <c:v>-3.9100017307756363</c:v>
                </c:pt>
                <c:pt idx="10">
                  <c:v>-7.6882236091558047E-13</c:v>
                </c:pt>
                <c:pt idx="11">
                  <c:v>-1.9550008653881623</c:v>
                </c:pt>
                <c:pt idx="12">
                  <c:v>-7.6882236091558047E-13</c:v>
                </c:pt>
              </c:numCache>
            </c:numRef>
          </c:val>
          <c:extLst>
            <c:ext xmlns:c16="http://schemas.microsoft.com/office/drawing/2014/chart" uri="{C3380CC4-5D6E-409C-BE32-E72D297353CC}">
              <c16:uniqueId val="{00000000-05AD-FA42-882F-BC673E9831AD}"/>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'Neidhardt 3'!$U$8</c:f>
              <c:strCache>
                <c:ptCount val="1"/>
                <c:pt idx="0">
                  <c:v>Difference to ET Fifths in Cents</c:v>
                </c:pt>
              </c:strCache>
            </c:strRef>
          </c:tx>
          <c:spPr>
            <a:solidFill>
              <a:schemeClr val="accent1">
                <a:lumMod val="60000"/>
              </a:schemeClr>
            </a:solidFill>
            <a:ln>
              <a:noFill/>
            </a:ln>
            <a:effectLst/>
          </c:spPr>
          <c:invertIfNegative val="0"/>
          <c:cat>
            <c:strRef>
              <c:f>'Neidhardt 3'!$S$9:$S$21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'Neidhardt 3'!$U$9:$U$21</c:f>
              <c:numCache>
                <c:formatCode>0.00</c:formatCode>
                <c:ptCount val="13"/>
                <c:pt idx="0">
                  <c:v>0</c:v>
                </c:pt>
                <c:pt idx="1">
                  <c:v>-1.9550008653881623</c:v>
                </c:pt>
                <c:pt idx="2">
                  <c:v>-3.910001730775059</c:v>
                </c:pt>
                <c:pt idx="3">
                  <c:v>-3.9100017307756363</c:v>
                </c:pt>
                <c:pt idx="4">
                  <c:v>-1.9550008653877775</c:v>
                </c:pt>
                <c:pt idx="5">
                  <c:v>-1.9550008653881623</c:v>
                </c:pt>
                <c:pt idx="6">
                  <c:v>-1.9550008653879698</c:v>
                </c:pt>
                <c:pt idx="7">
                  <c:v>-1.955000865387585</c:v>
                </c:pt>
                <c:pt idx="8">
                  <c:v>-7.6882236091558047E-13</c:v>
                </c:pt>
                <c:pt idx="9">
                  <c:v>-3.8441118045779024E-13</c:v>
                </c:pt>
                <c:pt idx="10">
                  <c:v>-7.6882236091558047E-13</c:v>
                </c:pt>
                <c:pt idx="11">
                  <c:v>1.9550008653868458</c:v>
                </c:pt>
                <c:pt idx="12">
                  <c:v>-7.6882236091558047E-13</c:v>
                </c:pt>
              </c:numCache>
            </c:numRef>
          </c:val>
          <c:extLst>
            <c:ext xmlns:c16="http://schemas.microsoft.com/office/drawing/2014/chart" uri="{C3380CC4-5D6E-409C-BE32-E72D297353CC}">
              <c16:uniqueId val="{00000000-2408-C341-966D-413A83FFCEE3}"/>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Pythagorean!$R$9</c:f>
              <c:strCache>
                <c:ptCount val="1"/>
                <c:pt idx="0">
                  <c:v>Difference to ET Scale in Cents</c:v>
                </c:pt>
              </c:strCache>
            </c:strRef>
          </c:tx>
          <c:spPr>
            <a:solidFill>
              <a:schemeClr val="accent1">
                <a:lumMod val="60000"/>
              </a:schemeClr>
            </a:solidFill>
            <a:ln>
              <a:noFill/>
            </a:ln>
            <a:effectLst/>
          </c:spPr>
          <c:invertIfNegative val="0"/>
          <c:cat>
            <c:strRef>
              <c:f>Pythagorean!$P$10:$P$22</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Pythagorean!$R$10:$R$22</c:f>
              <c:numCache>
                <c:formatCode>0.00</c:formatCode>
                <c:ptCount val="13"/>
                <c:pt idx="0">
                  <c:v>0</c:v>
                </c:pt>
                <c:pt idx="1">
                  <c:v>13.685006057712604</c:v>
                </c:pt>
                <c:pt idx="2">
                  <c:v>3.9100017307747521</c:v>
                </c:pt>
                <c:pt idx="3">
                  <c:v>17.595007788487013</c:v>
                </c:pt>
                <c:pt idx="4">
                  <c:v>7.8200034615495593</c:v>
                </c:pt>
                <c:pt idx="5">
                  <c:v>21.505009519261652</c:v>
                </c:pt>
                <c:pt idx="6">
                  <c:v>11.730005192324743</c:v>
                </c:pt>
                <c:pt idx="7">
                  <c:v>1.9550008653868458</c:v>
                </c:pt>
                <c:pt idx="8">
                  <c:v>15.640006923099422</c:v>
                </c:pt>
                <c:pt idx="9">
                  <c:v>5.8650025961615375</c:v>
                </c:pt>
                <c:pt idx="10">
                  <c:v>19.55000865387413</c:v>
                </c:pt>
                <c:pt idx="11">
                  <c:v>9.7750043269364095</c:v>
                </c:pt>
                <c:pt idx="12">
                  <c:v>23.460010384649014</c:v>
                </c:pt>
              </c:numCache>
            </c:numRef>
          </c:val>
          <c:extLst>
            <c:ext xmlns:c16="http://schemas.microsoft.com/office/drawing/2014/chart" uri="{C3380CC4-5D6E-409C-BE32-E72D297353CC}">
              <c16:uniqueId val="{00000000-A4DD-A541-B663-D20CB089C6E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Pythagorean!$U$9</c:f>
              <c:strCache>
                <c:ptCount val="1"/>
                <c:pt idx="0">
                  <c:v>Difference to ET Fifths in Cents</c:v>
                </c:pt>
              </c:strCache>
            </c:strRef>
          </c:tx>
          <c:spPr>
            <a:solidFill>
              <a:schemeClr val="accent1">
                <a:lumMod val="60000"/>
              </a:schemeClr>
            </a:solidFill>
            <a:ln>
              <a:noFill/>
            </a:ln>
            <a:effectLst/>
          </c:spPr>
          <c:invertIfNegative val="0"/>
          <c:cat>
            <c:strRef>
              <c:f>Pythagorean!$S$10:$S$22</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Pythagorean!$U$10:$U$22</c:f>
              <c:numCache>
                <c:formatCode>0.00</c:formatCode>
                <c:ptCount val="13"/>
                <c:pt idx="0">
                  <c:v>0</c:v>
                </c:pt>
                <c:pt idx="1">
                  <c:v>1.9550008653868458</c:v>
                </c:pt>
                <c:pt idx="2">
                  <c:v>3.9100017307747521</c:v>
                </c:pt>
                <c:pt idx="3">
                  <c:v>5.8650025961615375</c:v>
                </c:pt>
                <c:pt idx="4">
                  <c:v>7.8200034615495593</c:v>
                </c:pt>
                <c:pt idx="5">
                  <c:v>9.7750043269364095</c:v>
                </c:pt>
                <c:pt idx="6">
                  <c:v>11.730005192324743</c:v>
                </c:pt>
                <c:pt idx="7">
                  <c:v>13.685006057712604</c:v>
                </c:pt>
                <c:pt idx="8">
                  <c:v>15.640006923099422</c:v>
                </c:pt>
                <c:pt idx="9">
                  <c:v>17.595007788487013</c:v>
                </c:pt>
                <c:pt idx="10">
                  <c:v>19.55000865387413</c:v>
                </c:pt>
                <c:pt idx="11">
                  <c:v>21.505009519261652</c:v>
                </c:pt>
                <c:pt idx="12">
                  <c:v>23.460010384649014</c:v>
                </c:pt>
              </c:numCache>
            </c:numRef>
          </c:val>
          <c:extLst>
            <c:ext xmlns:c16="http://schemas.microsoft.com/office/drawing/2014/chart" uri="{C3380CC4-5D6E-409C-BE32-E72D297353CC}">
              <c16:uniqueId val="{00000000-CF07-1048-9D54-54C4C51E85F9}"/>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1'!$R$8</c:f>
              <c:strCache>
                <c:ptCount val="1"/>
                <c:pt idx="0">
                  <c:v>Difference to ET Scale in Cents</c:v>
                </c:pt>
              </c:strCache>
            </c:strRef>
          </c:tx>
          <c:spPr>
            <a:solidFill>
              <a:schemeClr val="accent1">
                <a:lumMod val="60000"/>
              </a:schemeClr>
            </a:solidFill>
            <a:ln>
              <a:noFill/>
            </a:ln>
            <a:effectLst/>
          </c:spPr>
          <c:invertIfNegative val="0"/>
          <c:cat>
            <c:strRef>
              <c:f>'Silbermann Freiberg 1'!$P$9:$P$21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Freiberg 1'!$R$9:$R$21</c:f>
              <c:numCache>
                <c:formatCode>0.00</c:formatCode>
                <c:ptCount val="13"/>
                <c:pt idx="0">
                  <c:v>0</c:v>
                </c:pt>
                <c:pt idx="1">
                  <c:v>-15.999999999995806</c:v>
                </c:pt>
                <c:pt idx="2">
                  <c:v>-4.9999999999903721</c:v>
                </c:pt>
                <c:pt idx="3">
                  <c:v>3.000000000015385</c:v>
                </c:pt>
                <c:pt idx="4">
                  <c:v>-11.999999999980794</c:v>
                </c:pt>
                <c:pt idx="5">
                  <c:v>-0.99999999997535804</c:v>
                </c:pt>
                <c:pt idx="6">
                  <c:v>-15.999999999970976</c:v>
                </c:pt>
                <c:pt idx="7">
                  <c:v>-1.999999999965371</c:v>
                </c:pt>
                <c:pt idx="8">
                  <c:v>-14.999999999961084</c:v>
                </c:pt>
                <c:pt idx="9">
                  <c:v>-7.999999999955195</c:v>
                </c:pt>
                <c:pt idx="10">
                  <c:v>4.0000000000501421</c:v>
                </c:pt>
                <c:pt idx="11">
                  <c:v>-15.999999999945759</c:v>
                </c:pt>
                <c:pt idx="12">
                  <c:v>5.9968144151414224E-11</c:v>
                </c:pt>
              </c:numCache>
            </c:numRef>
          </c:val>
          <c:extLst>
            <c:ext xmlns:c16="http://schemas.microsoft.com/office/drawing/2014/chart" uri="{C3380CC4-5D6E-409C-BE32-E72D297353CC}">
              <c16:uniqueId val="{00000000-322C-DD4C-8C2B-9281858DA75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1'!$U$8</c:f>
              <c:strCache>
                <c:ptCount val="1"/>
                <c:pt idx="0">
                  <c:v>Difference to ET Fifths in Cents</c:v>
                </c:pt>
              </c:strCache>
            </c:strRef>
          </c:tx>
          <c:spPr>
            <a:solidFill>
              <a:schemeClr val="accent1">
                <a:lumMod val="60000"/>
              </a:schemeClr>
            </a:solidFill>
            <a:ln>
              <a:noFill/>
            </a:ln>
            <a:effectLst/>
          </c:spPr>
          <c:invertIfNegative val="0"/>
          <c:cat>
            <c:strRef>
              <c:f>'Silbermann Freiberg 1'!$S$9:$S$21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Freiberg 1'!$U$9:$U$21</c:f>
              <c:numCache>
                <c:formatCode>0.00</c:formatCode>
                <c:ptCount val="13"/>
                <c:pt idx="0">
                  <c:v>0</c:v>
                </c:pt>
                <c:pt idx="1">
                  <c:v>-1.999999999965371</c:v>
                </c:pt>
                <c:pt idx="2">
                  <c:v>-4.9999999999903721</c:v>
                </c:pt>
                <c:pt idx="3">
                  <c:v>-7.999999999955195</c:v>
                </c:pt>
                <c:pt idx="4">
                  <c:v>-11.999999999980794</c:v>
                </c:pt>
                <c:pt idx="5">
                  <c:v>-15.999999999945759</c:v>
                </c:pt>
                <c:pt idx="6">
                  <c:v>-15.999999999970976</c:v>
                </c:pt>
                <c:pt idx="7">
                  <c:v>-15.999999999995806</c:v>
                </c:pt>
                <c:pt idx="8">
                  <c:v>-14.999999999961084</c:v>
                </c:pt>
                <c:pt idx="9">
                  <c:v>3.000000000015385</c:v>
                </c:pt>
                <c:pt idx="10">
                  <c:v>4.0000000000501421</c:v>
                </c:pt>
                <c:pt idx="11">
                  <c:v>-0.99999999997535804</c:v>
                </c:pt>
                <c:pt idx="12">
                  <c:v>5.9968144151414224E-11</c:v>
                </c:pt>
              </c:numCache>
            </c:numRef>
          </c:val>
          <c:extLst>
            <c:ext xmlns:c16="http://schemas.microsoft.com/office/drawing/2014/chart" uri="{C3380CC4-5D6E-409C-BE32-E72D297353CC}">
              <c16:uniqueId val="{00000000-0DEA-0F42-933B-C0C6DAE2857C}"/>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2'!$R$8</c:f>
              <c:strCache>
                <c:ptCount val="1"/>
                <c:pt idx="0">
                  <c:v>Difference to ET Scale in Cents</c:v>
                </c:pt>
              </c:strCache>
            </c:strRef>
          </c:tx>
          <c:spPr>
            <a:solidFill>
              <a:schemeClr val="accent1">
                <a:lumMod val="60000"/>
              </a:schemeClr>
            </a:solidFill>
            <a:ln>
              <a:noFill/>
            </a:ln>
            <a:effectLst/>
          </c:spPr>
          <c:invertIfNegative val="0"/>
          <c:cat>
            <c:strRef>
              <c:f>'Silbermann Freiberg 2'!$P$9:$P$21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Freiberg 2'!$R$9:$R$21</c:f>
              <c:numCache>
                <c:formatCode>0.00</c:formatCode>
                <c:ptCount val="13"/>
                <c:pt idx="0">
                  <c:v>0</c:v>
                </c:pt>
                <c:pt idx="1">
                  <c:v>-15.999999999995419</c:v>
                </c:pt>
                <c:pt idx="2">
                  <c:v>-4.9999999999901794</c:v>
                </c:pt>
                <c:pt idx="3">
                  <c:v>20.00000000001603</c:v>
                </c:pt>
                <c:pt idx="4">
                  <c:v>-11.999999999980794</c:v>
                </c:pt>
                <c:pt idx="5">
                  <c:v>25.000000000025565</c:v>
                </c:pt>
                <c:pt idx="6">
                  <c:v>-15.999999999970976</c:v>
                </c:pt>
                <c:pt idx="7">
                  <c:v>2.0000000000350382</c:v>
                </c:pt>
                <c:pt idx="8">
                  <c:v>-14.999999999961084</c:v>
                </c:pt>
                <c:pt idx="9">
                  <c:v>-4.9999999999556746</c:v>
                </c:pt>
                <c:pt idx="10">
                  <c:v>4.0000000000501421</c:v>
                </c:pt>
                <c:pt idx="11">
                  <c:v>5.4970798805463115E-11</c:v>
                </c:pt>
                <c:pt idx="12">
                  <c:v>5.9968144151414224E-11</c:v>
                </c:pt>
              </c:numCache>
            </c:numRef>
          </c:val>
          <c:extLst>
            <c:ext xmlns:c16="http://schemas.microsoft.com/office/drawing/2014/chart" uri="{C3380CC4-5D6E-409C-BE32-E72D297353CC}">
              <c16:uniqueId val="{00000000-6BA7-C54D-B603-5EDD633DA4A0}"/>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2'!$U$8</c:f>
              <c:strCache>
                <c:ptCount val="1"/>
                <c:pt idx="0">
                  <c:v>Difference to ET Fifths in Cents</c:v>
                </c:pt>
              </c:strCache>
            </c:strRef>
          </c:tx>
          <c:spPr>
            <a:solidFill>
              <a:schemeClr val="accent1">
                <a:lumMod val="60000"/>
              </a:schemeClr>
            </a:solidFill>
            <a:ln>
              <a:noFill/>
            </a:ln>
            <a:effectLst/>
          </c:spPr>
          <c:invertIfNegative val="0"/>
          <c:cat>
            <c:strRef>
              <c:f>'Silbermann Freiberg 2'!$S$9:$S$21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Freiberg 2'!$U$9:$U$21</c:f>
              <c:numCache>
                <c:formatCode>0.00</c:formatCode>
                <c:ptCount val="13"/>
                <c:pt idx="0">
                  <c:v>0</c:v>
                </c:pt>
                <c:pt idx="1">
                  <c:v>2.0000000000350382</c:v>
                </c:pt>
                <c:pt idx="2">
                  <c:v>-4.9999999999901794</c:v>
                </c:pt>
                <c:pt idx="3">
                  <c:v>-4.9999999999556746</c:v>
                </c:pt>
                <c:pt idx="4">
                  <c:v>-11.999999999980794</c:v>
                </c:pt>
                <c:pt idx="5">
                  <c:v>5.4970798805463115E-11</c:v>
                </c:pt>
                <c:pt idx="6">
                  <c:v>-15.999999999970976</c:v>
                </c:pt>
                <c:pt idx="7">
                  <c:v>-15.999999999995419</c:v>
                </c:pt>
                <c:pt idx="8">
                  <c:v>-14.999999999961084</c:v>
                </c:pt>
                <c:pt idx="9">
                  <c:v>20.00000000001603</c:v>
                </c:pt>
                <c:pt idx="10">
                  <c:v>4.0000000000501421</c:v>
                </c:pt>
                <c:pt idx="11">
                  <c:v>25.000000000025565</c:v>
                </c:pt>
                <c:pt idx="12">
                  <c:v>5.9968144151414224E-11</c:v>
                </c:pt>
              </c:numCache>
            </c:numRef>
          </c:val>
          <c:extLst>
            <c:ext xmlns:c16="http://schemas.microsoft.com/office/drawing/2014/chart" uri="{C3380CC4-5D6E-409C-BE32-E72D297353CC}">
              <c16:uniqueId val="{00000000-2801-7242-88E2-8E84F41CD2B9}"/>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'Tournay-Kather Tannenberg, 1992'!$R$19</c:f>
          <c:strCache>
            <c:ptCount val="1"/>
            <c:pt idx="0">
              <c:v>Tournay-Kather Tannenberg, 1992 Fret Size cents vs. Vallotti-Young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'Tournay-Kather Tannenberg, 1992'!$F$5</c:f>
              <c:strCache>
                <c:ptCount val="1"/>
                <c:pt idx="0">
                  <c:v>Tournay-Kather Tannenberg, 1992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1992'!$F$6:$F$18</c:f>
              <c:numCache>
                <c:formatCode>0.00</c:formatCode>
                <c:ptCount val="13"/>
                <c:pt idx="0">
                  <c:v>92.588891769282768</c:v>
                </c:pt>
                <c:pt idx="1">
                  <c:v>94.513250520365517</c:v>
                </c:pt>
                <c:pt idx="2">
                  <c:v>95.096101211682978</c:v>
                </c:pt>
                <c:pt idx="3">
                  <c:v>88.713171048367684</c:v>
                </c:pt>
                <c:pt idx="4">
                  <c:v>97.103994460280958</c:v>
                </c:pt>
                <c:pt idx="5">
                  <c:v>88.917669054428501</c:v>
                </c:pt>
                <c:pt idx="6">
                  <c:v>91.945537923494882</c:v>
                </c:pt>
                <c:pt idx="7">
                  <c:v>91.945537923494882</c:v>
                </c:pt>
                <c:pt idx="8">
                  <c:v>88.800697732532129</c:v>
                </c:pt>
                <c:pt idx="9">
                  <c:v>97.103994460280958</c:v>
                </c:pt>
                <c:pt idx="10">
                  <c:v>90.899304823858884</c:v>
                </c:pt>
                <c:pt idx="11">
                  <c:v>91.945537923494882</c:v>
                </c:pt>
                <c:pt idx="12">
                  <c:v>97.217626047671345</c:v>
                </c:pt>
              </c:numCache>
            </c:numRef>
          </c:val>
          <c:smooth val="0"/>
          <c:extLst>
            <c:ext xmlns:c16="http://schemas.microsoft.com/office/drawing/2014/chart" uri="{C3380CC4-5D6E-409C-BE32-E72D297353CC}">
              <c16:uniqueId val="{00000000-7F76-7F4E-9387-08EA8E931C91}"/>
            </c:ext>
          </c:extLst>
        </c:ser>
        <c:ser>
          <c:idx val="1"/>
          <c:order val="1"/>
          <c:tx>
            <c:strRef>
              <c:f>'Tournay-Kather Tannenberg, 1992'!$R$3</c:f>
              <c:strCache>
                <c:ptCount val="1"/>
                <c:pt idx="0">
                  <c:v>Vallotti-Young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'Tournay-Kather Tannenberg, 1992'!$B$6:$B$18</c:f>
              <c:strCache>
                <c:ptCount val="13"/>
                <c:pt idx="0">
                  <c:v>F</c:v>
                </c:pt>
                <c:pt idx="1">
                  <c:v>G</c:v>
                </c:pt>
                <c:pt idx="2">
                  <c:v>A#</c:v>
                </c:pt>
                <c:pt idx="3">
                  <c:v>C</c:v>
                </c:pt>
                <c:pt idx="4">
                  <c:v>D#</c:v>
                </c:pt>
                <c:pt idx="5">
                  <c:v>F</c:v>
                </c:pt>
                <c:pt idx="6">
                  <c:v>G</c:v>
                </c:pt>
                <c:pt idx="7">
                  <c:v>A#</c:v>
                </c:pt>
                <c:pt idx="8">
                  <c:v>C</c:v>
                </c:pt>
                <c:pt idx="9">
                  <c:v>D#</c:v>
                </c:pt>
                <c:pt idx="10">
                  <c:v>F</c:v>
                </c:pt>
                <c:pt idx="11">
                  <c:v>G</c:v>
                </c:pt>
                <c:pt idx="12">
                  <c:v>A#</c:v>
                </c:pt>
              </c:strCache>
            </c:strRef>
          </c:cat>
          <c:val>
            <c:numRef>
              <c:f>'Tournay-Kather Tannenberg, 1992'!$T$6:$T$18</c:f>
              <c:numCache>
                <c:formatCode>0.00</c:formatCode>
                <c:ptCount val="13"/>
                <c:pt idx="0">
                  <c:v>90.224995673062693</c:v>
                </c:pt>
                <c:pt idx="1">
                  <c:v>94.134997403837943</c:v>
                </c:pt>
                <c:pt idx="2">
                  <c:v>94.134997403837588</c:v>
                </c:pt>
                <c:pt idx="3">
                  <c:v>90.224995673063063</c:v>
                </c:pt>
                <c:pt idx="4">
                  <c:v>98.044999134612354</c:v>
                </c:pt>
                <c:pt idx="5">
                  <c:v>90.224995673062693</c:v>
                </c:pt>
                <c:pt idx="6">
                  <c:v>94.134997403837943</c:v>
                </c:pt>
                <c:pt idx="7">
                  <c:v>94.134997403837588</c:v>
                </c:pt>
                <c:pt idx="8">
                  <c:v>90.224995673063063</c:v>
                </c:pt>
                <c:pt idx="9">
                  <c:v>98.044999134612354</c:v>
                </c:pt>
                <c:pt idx="10">
                  <c:v>90.224995673062693</c:v>
                </c:pt>
                <c:pt idx="11">
                  <c:v>94.134997403837943</c:v>
                </c:pt>
                <c:pt idx="12">
                  <c:v>94.134997403837588</c:v>
                </c:pt>
              </c:numCache>
            </c:numRef>
          </c:val>
          <c:smooth val="0"/>
          <c:extLst>
            <c:ext xmlns:c16="http://schemas.microsoft.com/office/drawing/2014/chart" uri="{C3380CC4-5D6E-409C-BE32-E72D297353CC}">
              <c16:uniqueId val="{00000001-7F76-7F4E-9387-08EA8E931C91}"/>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3'!$R$8</c:f>
              <c:strCache>
                <c:ptCount val="1"/>
                <c:pt idx="0">
                  <c:v>Difference to ET Scale in Cents</c:v>
                </c:pt>
              </c:strCache>
            </c:strRef>
          </c:tx>
          <c:spPr>
            <a:solidFill>
              <a:schemeClr val="accent1">
                <a:lumMod val="60000"/>
              </a:schemeClr>
            </a:solidFill>
            <a:ln>
              <a:noFill/>
            </a:ln>
            <a:effectLst/>
          </c:spPr>
          <c:invertIfNegative val="0"/>
          <c:cat>
            <c:strRef>
              <c:f>'Silbermann Freiberg 3'!$P$9:$P$21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Freiberg 3'!$R$9:$R$21</c:f>
              <c:numCache>
                <c:formatCode>0.00</c:formatCode>
                <c:ptCount val="13"/>
                <c:pt idx="0">
                  <c:v>0</c:v>
                </c:pt>
                <c:pt idx="1">
                  <c:v>-13.685006057712965</c:v>
                </c:pt>
                <c:pt idx="2">
                  <c:v>-5.8650025961626593</c:v>
                </c:pt>
                <c:pt idx="3">
                  <c:v>-2.4986726729756376E-12</c:v>
                </c:pt>
                <c:pt idx="4">
                  <c:v>-9.7750043269380935</c:v>
                </c:pt>
                <c:pt idx="5">
                  <c:v>-2.4986726729756376E-12</c:v>
                </c:pt>
                <c:pt idx="6">
                  <c:v>-13.685006057713158</c:v>
                </c:pt>
                <c:pt idx="7">
                  <c:v>-1.9550008653879698</c:v>
                </c:pt>
                <c:pt idx="8">
                  <c:v>-13.685006057713546</c:v>
                </c:pt>
                <c:pt idx="9">
                  <c:v>-7.8200034615508489</c:v>
                </c:pt>
                <c:pt idx="10">
                  <c:v>-2.8830838534334281E-12</c:v>
                </c:pt>
                <c:pt idx="11">
                  <c:v>-11.730005192325985</c:v>
                </c:pt>
                <c:pt idx="12">
                  <c:v>-3.0752894436623239E-12</c:v>
                </c:pt>
              </c:numCache>
            </c:numRef>
          </c:val>
          <c:extLst>
            <c:ext xmlns:c16="http://schemas.microsoft.com/office/drawing/2014/chart" uri="{C3380CC4-5D6E-409C-BE32-E72D297353CC}">
              <c16:uniqueId val="{00000000-FACB-4F43-B6C4-BEC369A5E6CB}"/>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3'!$U$8</c:f>
              <c:strCache>
                <c:ptCount val="1"/>
                <c:pt idx="0">
                  <c:v>Difference to ET Fifths in Cents</c:v>
                </c:pt>
              </c:strCache>
            </c:strRef>
          </c:tx>
          <c:spPr>
            <a:solidFill>
              <a:schemeClr val="accent1">
                <a:lumMod val="60000"/>
              </a:schemeClr>
            </a:solidFill>
            <a:ln>
              <a:noFill/>
            </a:ln>
            <a:effectLst/>
          </c:spPr>
          <c:invertIfNegative val="0"/>
          <c:cat>
            <c:strRef>
              <c:f>'Silbermann Freiberg 3'!$S$9:$S$21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Freiberg 3'!$U$9:$U$21</c:f>
              <c:numCache>
                <c:formatCode>0.00</c:formatCode>
                <c:ptCount val="13"/>
                <c:pt idx="0">
                  <c:v>0</c:v>
                </c:pt>
                <c:pt idx="1">
                  <c:v>-1.9550008653879698</c:v>
                </c:pt>
                <c:pt idx="2">
                  <c:v>-5.8650025961626593</c:v>
                </c:pt>
                <c:pt idx="3">
                  <c:v>-7.8200034615508489</c:v>
                </c:pt>
                <c:pt idx="4">
                  <c:v>-9.7750043269380935</c:v>
                </c:pt>
                <c:pt idx="5">
                  <c:v>-11.730005192325985</c:v>
                </c:pt>
                <c:pt idx="6">
                  <c:v>-13.685006057713158</c:v>
                </c:pt>
                <c:pt idx="7">
                  <c:v>-13.685006057712965</c:v>
                </c:pt>
                <c:pt idx="8">
                  <c:v>-13.685006057713546</c:v>
                </c:pt>
                <c:pt idx="9">
                  <c:v>-2.4986726729756376E-12</c:v>
                </c:pt>
                <c:pt idx="10">
                  <c:v>-2.8830838534334281E-12</c:v>
                </c:pt>
                <c:pt idx="11">
                  <c:v>-2.4986726729756376E-12</c:v>
                </c:pt>
                <c:pt idx="12">
                  <c:v>-3.0752894436623239E-12</c:v>
                </c:pt>
              </c:numCache>
            </c:numRef>
          </c:val>
          <c:extLst>
            <c:ext xmlns:c16="http://schemas.microsoft.com/office/drawing/2014/chart" uri="{C3380CC4-5D6E-409C-BE32-E72D297353CC}">
              <c16:uniqueId val="{00000000-9338-C348-BF8C-75CFEAE5DF16}"/>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4'!$R$8</c:f>
              <c:strCache>
                <c:ptCount val="1"/>
                <c:pt idx="0">
                  <c:v>Difference to ET Scale in Cents</c:v>
                </c:pt>
              </c:strCache>
            </c:strRef>
          </c:tx>
          <c:spPr>
            <a:solidFill>
              <a:schemeClr val="accent1">
                <a:lumMod val="60000"/>
              </a:schemeClr>
            </a:solidFill>
            <a:ln>
              <a:noFill/>
            </a:ln>
            <a:effectLst/>
          </c:spPr>
          <c:invertIfNegative val="0"/>
          <c:cat>
            <c:strRef>
              <c:f>'Silbermann Freiberg 4'!$P$9:$P$21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Freiberg 4'!$R$9:$R$21</c:f>
              <c:numCache>
                <c:formatCode>0.00</c:formatCode>
                <c:ptCount val="13"/>
                <c:pt idx="0">
                  <c:v>0</c:v>
                </c:pt>
                <c:pt idx="1">
                  <c:v>-9.7750043269371272</c:v>
                </c:pt>
                <c:pt idx="2">
                  <c:v>-3.910001730775059</c:v>
                </c:pt>
                <c:pt idx="3">
                  <c:v>-1.9550008653887396</c:v>
                </c:pt>
                <c:pt idx="4">
                  <c:v>-5.8650025961626593</c:v>
                </c:pt>
                <c:pt idx="5">
                  <c:v>-1.7298503120600566E-12</c:v>
                </c:pt>
                <c:pt idx="6">
                  <c:v>-9.7750043269378999</c:v>
                </c:pt>
                <c:pt idx="7">
                  <c:v>-1.9550008653881623</c:v>
                </c:pt>
                <c:pt idx="8">
                  <c:v>-9.7750043269378999</c:v>
                </c:pt>
                <c:pt idx="9">
                  <c:v>-3.9100017307756363</c:v>
                </c:pt>
                <c:pt idx="10">
                  <c:v>-1.7298503120600566E-12</c:v>
                </c:pt>
                <c:pt idx="11">
                  <c:v>-7.8200034615506553</c:v>
                </c:pt>
                <c:pt idx="12">
                  <c:v>-2.3064670827467422E-12</c:v>
                </c:pt>
              </c:numCache>
            </c:numRef>
          </c:val>
          <c:extLst>
            <c:ext xmlns:c16="http://schemas.microsoft.com/office/drawing/2014/chart" uri="{C3380CC4-5D6E-409C-BE32-E72D297353CC}">
              <c16:uniqueId val="{00000000-C705-A14C-8E8E-D2E2861C356C}"/>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Freiberg 4'!$U$8</c:f>
              <c:strCache>
                <c:ptCount val="1"/>
                <c:pt idx="0">
                  <c:v>Difference to ET Fifths in Cents</c:v>
                </c:pt>
              </c:strCache>
            </c:strRef>
          </c:tx>
          <c:spPr>
            <a:solidFill>
              <a:schemeClr val="accent1">
                <a:lumMod val="60000"/>
              </a:schemeClr>
            </a:solidFill>
            <a:ln>
              <a:noFill/>
            </a:ln>
            <a:effectLst/>
          </c:spPr>
          <c:invertIfNegative val="0"/>
          <c:cat>
            <c:strRef>
              <c:f>'Silbermann Freiberg 4'!$S$9:$S$21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Freiberg 4'!$U$9:$U$21</c:f>
              <c:numCache>
                <c:formatCode>0.00</c:formatCode>
                <c:ptCount val="13"/>
                <c:pt idx="0">
                  <c:v>0</c:v>
                </c:pt>
                <c:pt idx="1">
                  <c:v>-1.9550008653881623</c:v>
                </c:pt>
                <c:pt idx="2">
                  <c:v>-3.910001730775059</c:v>
                </c:pt>
                <c:pt idx="3">
                  <c:v>-3.9100017307756363</c:v>
                </c:pt>
                <c:pt idx="4">
                  <c:v>-5.8650025961626593</c:v>
                </c:pt>
                <c:pt idx="5">
                  <c:v>-7.8200034615506553</c:v>
                </c:pt>
                <c:pt idx="6">
                  <c:v>-9.7750043269378999</c:v>
                </c:pt>
                <c:pt idx="7">
                  <c:v>-9.7750043269371272</c:v>
                </c:pt>
                <c:pt idx="8">
                  <c:v>-9.7750043269378999</c:v>
                </c:pt>
                <c:pt idx="9">
                  <c:v>-1.9550008653887396</c:v>
                </c:pt>
                <c:pt idx="10">
                  <c:v>-1.7298503120600566E-12</c:v>
                </c:pt>
                <c:pt idx="11">
                  <c:v>-1.7298503120600566E-12</c:v>
                </c:pt>
                <c:pt idx="12">
                  <c:v>-2.3064670827467422E-12</c:v>
                </c:pt>
              </c:numCache>
            </c:numRef>
          </c:val>
          <c:extLst>
            <c:ext xmlns:c16="http://schemas.microsoft.com/office/drawing/2014/chart" uri="{C3380CC4-5D6E-409C-BE32-E72D297353CC}">
              <c16:uniqueId val="{00000000-A67F-E04D-B0A9-ED1B4E13D1E4}"/>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Sorge'!$R$8</c:f>
              <c:strCache>
                <c:ptCount val="1"/>
                <c:pt idx="0">
                  <c:v>Difference to ET Scale in Cents</c:v>
                </c:pt>
              </c:strCache>
            </c:strRef>
          </c:tx>
          <c:spPr>
            <a:solidFill>
              <a:schemeClr val="accent1">
                <a:lumMod val="60000"/>
              </a:schemeClr>
            </a:solidFill>
            <a:ln>
              <a:noFill/>
            </a:ln>
            <a:effectLst/>
          </c:spPr>
          <c:invertIfNegative val="0"/>
          <c:cat>
            <c:strRef>
              <c:f>'Silbermann Sorge'!$P$9:$P$21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Sorge'!$R$9:$R$21</c:f>
              <c:numCache>
                <c:formatCode>0.00</c:formatCode>
                <c:ptCount val="13"/>
                <c:pt idx="0">
                  <c:v>0</c:v>
                </c:pt>
                <c:pt idx="1">
                  <c:v>-13.685006057711803</c:v>
                </c:pt>
                <c:pt idx="2">
                  <c:v>-3.9100017307748658</c:v>
                </c:pt>
                <c:pt idx="3">
                  <c:v>5.8650025961623031</c:v>
                </c:pt>
                <c:pt idx="4">
                  <c:v>-7.820003461549498</c:v>
                </c:pt>
                <c:pt idx="5">
                  <c:v>1.9550008653872295</c:v>
                </c:pt>
                <c:pt idx="6">
                  <c:v>-11.730005192324629</c:v>
                </c:pt>
                <c:pt idx="7">
                  <c:v>-1.955000865387585</c:v>
                </c:pt>
                <c:pt idx="8">
                  <c:v>-15.640006923099666</c:v>
                </c:pt>
                <c:pt idx="9">
                  <c:v>-5.8650025961626593</c:v>
                </c:pt>
                <c:pt idx="10">
                  <c:v>3.9100017307743689</c:v>
                </c:pt>
                <c:pt idx="11">
                  <c:v>-9.7750043269375144</c:v>
                </c:pt>
                <c:pt idx="12">
                  <c:v>-1.1532335413733707E-12</c:v>
                </c:pt>
              </c:numCache>
            </c:numRef>
          </c:val>
          <c:extLst>
            <c:ext xmlns:c16="http://schemas.microsoft.com/office/drawing/2014/chart" uri="{C3380CC4-5D6E-409C-BE32-E72D297353CC}">
              <c16:uniqueId val="{00000000-51D6-DA4B-927C-72231FFB7AB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Sorge'!$U$8</c:f>
              <c:strCache>
                <c:ptCount val="1"/>
                <c:pt idx="0">
                  <c:v>Difference to ET Fifths in Cents</c:v>
                </c:pt>
              </c:strCache>
            </c:strRef>
          </c:tx>
          <c:spPr>
            <a:solidFill>
              <a:schemeClr val="accent1">
                <a:lumMod val="60000"/>
              </a:schemeClr>
            </a:solidFill>
            <a:ln>
              <a:noFill/>
            </a:ln>
            <a:effectLst/>
          </c:spPr>
          <c:invertIfNegative val="0"/>
          <c:cat>
            <c:strRef>
              <c:f>'Silbermann Sorge'!$S$9:$S$21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Sorge'!$U$9:$U$21</c:f>
              <c:numCache>
                <c:formatCode>0.00</c:formatCode>
                <c:ptCount val="13"/>
                <c:pt idx="0">
                  <c:v>0</c:v>
                </c:pt>
                <c:pt idx="1">
                  <c:v>-1.955000865387585</c:v>
                </c:pt>
                <c:pt idx="2">
                  <c:v>-3.9100017307748658</c:v>
                </c:pt>
                <c:pt idx="3">
                  <c:v>-5.8650025961626593</c:v>
                </c:pt>
                <c:pt idx="4">
                  <c:v>-7.820003461549498</c:v>
                </c:pt>
                <c:pt idx="5">
                  <c:v>-9.7750043269375144</c:v>
                </c:pt>
                <c:pt idx="6">
                  <c:v>-11.730005192324629</c:v>
                </c:pt>
                <c:pt idx="7">
                  <c:v>-13.685006057711803</c:v>
                </c:pt>
                <c:pt idx="8">
                  <c:v>-15.640006923099666</c:v>
                </c:pt>
                <c:pt idx="9">
                  <c:v>5.8650025961623031</c:v>
                </c:pt>
                <c:pt idx="10">
                  <c:v>3.9100017307743689</c:v>
                </c:pt>
                <c:pt idx="11">
                  <c:v>1.9550008653872295</c:v>
                </c:pt>
                <c:pt idx="12">
                  <c:v>-1.1532335413733707E-12</c:v>
                </c:pt>
              </c:numCache>
            </c:numRef>
          </c:val>
          <c:extLst>
            <c:ext xmlns:c16="http://schemas.microsoft.com/office/drawing/2014/chart" uri="{C3380CC4-5D6E-409C-BE32-E72D297353CC}">
              <c16:uniqueId val="{00000000-E749-254F-9BA3-F3F05AE58E6A}"/>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Wegscheider 1'!$R$8</c:f>
              <c:strCache>
                <c:ptCount val="1"/>
                <c:pt idx="0">
                  <c:v>Difference to ET Scale in Cents</c:v>
                </c:pt>
              </c:strCache>
            </c:strRef>
          </c:tx>
          <c:spPr>
            <a:solidFill>
              <a:schemeClr val="accent1">
                <a:lumMod val="60000"/>
              </a:schemeClr>
            </a:solidFill>
            <a:ln>
              <a:noFill/>
            </a:ln>
            <a:effectLst/>
          </c:spPr>
          <c:invertIfNegative val="0"/>
          <c:cat>
            <c:strRef>
              <c:f>'Silbermann Wegscheider 1'!$P$9:$P$21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'Silbermann Wegscheider 1'!$R$9:$R$21</c:f>
              <c:numCache>
                <c:formatCode>0.00</c:formatCode>
                <c:ptCount val="13"/>
                <c:pt idx="0">
                  <c:v>0</c:v>
                </c:pt>
                <c:pt idx="1">
                  <c:v>-15.450000000001495</c:v>
                </c:pt>
                <c:pt idx="2">
                  <c:v>-6.1100000000036268</c:v>
                </c:pt>
                <c:pt idx="3">
                  <c:v>3.3339999999945036</c:v>
                </c:pt>
                <c:pt idx="4">
                  <c:v>-8.5900000000068264</c:v>
                </c:pt>
                <c:pt idx="5">
                  <c:v>1.2499999999912454</c:v>
                </c:pt>
                <c:pt idx="6">
                  <c:v>-14.350000000010516</c:v>
                </c:pt>
                <c:pt idx="7">
                  <c:v>-2.3400000000128247</c:v>
                </c:pt>
                <c:pt idx="8">
                  <c:v>-17.580000000014216</c:v>
                </c:pt>
                <c:pt idx="9">
                  <c:v>-7.9900000000160984</c:v>
                </c:pt>
                <c:pt idx="10">
                  <c:v>1.6999999999820341</c:v>
                </c:pt>
                <c:pt idx="11">
                  <c:v>-11.800000000019589</c:v>
                </c:pt>
                <c:pt idx="12">
                  <c:v>6.1121377692787549E-11</c:v>
                </c:pt>
              </c:numCache>
            </c:numRef>
          </c:val>
          <c:extLst>
            <c:ext xmlns:c16="http://schemas.microsoft.com/office/drawing/2014/chart" uri="{C3380CC4-5D6E-409C-BE32-E72D297353CC}">
              <c16:uniqueId val="{00000000-7770-A548-A688-A6994CEA0751}"/>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'Silbermann Wegscheider 1'!$U$8</c:f>
              <c:strCache>
                <c:ptCount val="1"/>
                <c:pt idx="0">
                  <c:v>Difference to ET Fifths in Cents</c:v>
                </c:pt>
              </c:strCache>
            </c:strRef>
          </c:tx>
          <c:spPr>
            <a:solidFill>
              <a:schemeClr val="accent1">
                <a:lumMod val="60000"/>
              </a:schemeClr>
            </a:solidFill>
            <a:ln>
              <a:noFill/>
            </a:ln>
            <a:effectLst/>
          </c:spPr>
          <c:invertIfNegative val="0"/>
          <c:cat>
            <c:strRef>
              <c:f>'Silbermann Wegscheider 1'!$S$9:$S$21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'Silbermann Wegscheider 1'!$U$9:$U$21</c:f>
              <c:numCache>
                <c:formatCode>0.00</c:formatCode>
                <c:ptCount val="13"/>
                <c:pt idx="0">
                  <c:v>0</c:v>
                </c:pt>
                <c:pt idx="1">
                  <c:v>-2.3400000000128247</c:v>
                </c:pt>
                <c:pt idx="2">
                  <c:v>-6.1100000000036268</c:v>
                </c:pt>
                <c:pt idx="3">
                  <c:v>-7.9900000000160984</c:v>
                </c:pt>
                <c:pt idx="4">
                  <c:v>-8.5900000000068264</c:v>
                </c:pt>
                <c:pt idx="5">
                  <c:v>-11.800000000019589</c:v>
                </c:pt>
                <c:pt idx="6">
                  <c:v>-14.350000000010516</c:v>
                </c:pt>
                <c:pt idx="7">
                  <c:v>-15.450000000001495</c:v>
                </c:pt>
                <c:pt idx="8">
                  <c:v>-17.580000000014216</c:v>
                </c:pt>
                <c:pt idx="9">
                  <c:v>3.3339999999945036</c:v>
                </c:pt>
                <c:pt idx="10">
                  <c:v>1.6999999999820341</c:v>
                </c:pt>
                <c:pt idx="11">
                  <c:v>1.2499999999912454</c:v>
                </c:pt>
                <c:pt idx="12">
                  <c:v>6.1121377692787549E-11</c:v>
                </c:pt>
              </c:numCache>
            </c:numRef>
          </c:val>
          <c:extLst>
            <c:ext xmlns:c16="http://schemas.microsoft.com/office/drawing/2014/chart" uri="{C3380CC4-5D6E-409C-BE32-E72D297353CC}">
              <c16:uniqueId val="{00000000-FBF4-FE48-A7F8-554A39698FD3}"/>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'Vallotti-Young'!$R$8</c:f>
              <c:strCache>
                <c:ptCount val="1"/>
                <c:pt idx="0">
                  <c:v>Difference to ET Scale in Cents</c:v>
                </c:pt>
              </c:strCache>
            </c:strRef>
          </c:tx>
          <c:spPr>
            <a:solidFill>
              <a:schemeClr val="accent1">
                <a:lumMod val="60000"/>
              </a:schemeClr>
            </a:solidFill>
            <a:ln>
              <a:noFill/>
            </a:ln>
            <a:effectLst/>
          </c:spPr>
          <c:invertIfNegative val="0"/>
          <c:cat>
            <c:strRef>
              <c:f>'Vallotti-Young'!$P$9:$P$21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'Vallotti-Young'!$R$9:$R$21</c:f>
              <c:numCache>
                <c:formatCode>0.00</c:formatCode>
                <c:ptCount val="13"/>
                <c:pt idx="0">
                  <c:v>0</c:v>
                </c:pt>
                <c:pt idx="1">
                  <c:v>-9.7750043269371272</c:v>
                </c:pt>
                <c:pt idx="2">
                  <c:v>-3.9100017307748658</c:v>
                </c:pt>
                <c:pt idx="3">
                  <c:v>-5.8650025961620802</c:v>
                </c:pt>
                <c:pt idx="4">
                  <c:v>-7.820003461549498</c:v>
                </c:pt>
                <c:pt idx="5">
                  <c:v>-1.9550008653872004</c:v>
                </c:pt>
                <c:pt idx="6">
                  <c:v>-11.730005192324629</c:v>
                </c:pt>
                <c:pt idx="7">
                  <c:v>-1.955000865387585</c:v>
                </c:pt>
                <c:pt idx="8">
                  <c:v>-7.8200034615498835</c:v>
                </c:pt>
                <c:pt idx="9">
                  <c:v>-5.8650025961626593</c:v>
                </c:pt>
                <c:pt idx="10">
                  <c:v>-3.910001730775059</c:v>
                </c:pt>
                <c:pt idx="11">
                  <c:v>-9.7750043269375144</c:v>
                </c:pt>
                <c:pt idx="12">
                  <c:v>-3.8441118045779024E-13</c:v>
                </c:pt>
              </c:numCache>
            </c:numRef>
          </c:val>
          <c:extLst>
            <c:ext xmlns:c16="http://schemas.microsoft.com/office/drawing/2014/chart" uri="{C3380CC4-5D6E-409C-BE32-E72D297353CC}">
              <c16:uniqueId val="{00000000-374F-AE41-A103-7ECD10F1B1B0}"/>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'Vallotti-Young'!$U$8</c:f>
              <c:strCache>
                <c:ptCount val="1"/>
                <c:pt idx="0">
                  <c:v>Difference to ET Fifths in Cents</c:v>
                </c:pt>
              </c:strCache>
            </c:strRef>
          </c:tx>
          <c:spPr>
            <a:solidFill>
              <a:schemeClr val="accent1">
                <a:lumMod val="60000"/>
              </a:schemeClr>
            </a:solidFill>
            <a:ln>
              <a:noFill/>
            </a:ln>
            <a:effectLst/>
          </c:spPr>
          <c:invertIfNegative val="0"/>
          <c:cat>
            <c:strRef>
              <c:f>'Vallotti-Young'!$S$9:$S$21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'Vallotti-Young'!$U$9:$U$21</c:f>
              <c:numCache>
                <c:formatCode>0.00</c:formatCode>
                <c:ptCount val="13"/>
                <c:pt idx="0">
                  <c:v>0</c:v>
                </c:pt>
                <c:pt idx="1">
                  <c:v>-1.955000865387585</c:v>
                </c:pt>
                <c:pt idx="2">
                  <c:v>-3.9100017307748658</c:v>
                </c:pt>
                <c:pt idx="3">
                  <c:v>-5.8650025961626593</c:v>
                </c:pt>
                <c:pt idx="4">
                  <c:v>-7.820003461549498</c:v>
                </c:pt>
                <c:pt idx="5">
                  <c:v>-9.7750043269375144</c:v>
                </c:pt>
                <c:pt idx="6">
                  <c:v>-11.730005192324629</c:v>
                </c:pt>
                <c:pt idx="7">
                  <c:v>-9.7750043269371272</c:v>
                </c:pt>
                <c:pt idx="8">
                  <c:v>-7.8200034615498835</c:v>
                </c:pt>
                <c:pt idx="9">
                  <c:v>-5.8650025961620802</c:v>
                </c:pt>
                <c:pt idx="10">
                  <c:v>-3.910001730775059</c:v>
                </c:pt>
                <c:pt idx="11">
                  <c:v>-1.9550008653872004</c:v>
                </c:pt>
                <c:pt idx="12">
                  <c:v>-3.8441118045779024E-13</c:v>
                </c:pt>
              </c:numCache>
            </c:numRef>
          </c:val>
          <c:extLst>
            <c:ext xmlns:c16="http://schemas.microsoft.com/office/drawing/2014/chart" uri="{C3380CC4-5D6E-409C-BE32-E72D297353CC}">
              <c16:uniqueId val="{00000000-6AF8-C04A-9B99-E617C36BF07E}"/>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Effect of distance between bridge</a:t>
            </a:r>
            <a:r>
              <a:rPr lang="en-GB" baseline="0"/>
              <a:t> pins of the strings of a course </a:t>
            </a:r>
          </a:p>
        </c:rich>
      </c:tx>
      <c:overlay val="0"/>
      <c:spPr>
        <a:noFill/>
        <a:ln w="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1"/>
          <c:order val="0"/>
          <c:tx>
            <c:strRef>
              <c:f>'Tournay_Kather Bridge'!$B$1:$J$1</c:f>
              <c:strCache>
                <c:ptCount val="1"/>
                <c:pt idx="0">
                  <c:v>Effect of Bridge Shape on Tournay-Kather Tannenberg, 1992</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'Tournay_Kather Bridge'!$C$9:$C$26</c:f>
              <c:strCache>
                <c:ptCount val="13"/>
                <c:pt idx="0">
                  <c:v>F#</c:v>
                </c:pt>
                <c:pt idx="1">
                  <c:v>G#</c:v>
                </c:pt>
                <c:pt idx="2">
                  <c:v>B</c:v>
                </c:pt>
                <c:pt idx="3">
                  <c:v>C#</c:v>
                </c:pt>
                <c:pt idx="4">
                  <c:v>E</c:v>
                </c:pt>
                <c:pt idx="5">
                  <c:v>F#</c:v>
                </c:pt>
                <c:pt idx="6">
                  <c:v>G#</c:v>
                </c:pt>
                <c:pt idx="7">
                  <c:v>B</c:v>
                </c:pt>
                <c:pt idx="8">
                  <c:v>C#</c:v>
                </c:pt>
                <c:pt idx="9">
                  <c:v>E</c:v>
                </c:pt>
                <c:pt idx="10">
                  <c:v>F#</c:v>
                </c:pt>
                <c:pt idx="11">
                  <c:v>G#</c:v>
                </c:pt>
                <c:pt idx="12">
                  <c:v>B</c:v>
                </c:pt>
              </c:strCache>
            </c:strRef>
          </c:cat>
          <c:val>
            <c:numRef>
              <c:f>'Tournay_Kather Bridge'!$H$9:$H$26</c:f>
              <c:numCache>
                <c:formatCode>0.000</c:formatCode>
                <c:ptCount val="18"/>
                <c:pt idx="0">
                  <c:v>0.95008941606464248</c:v>
                </c:pt>
                <c:pt idx="1">
                  <c:v>-0.41548674955289755</c:v>
                </c:pt>
                <c:pt idx="2">
                  <c:v>1.0221454339084772</c:v>
                </c:pt>
                <c:pt idx="3">
                  <c:v>2.8347441489311507</c:v>
                </c:pt>
                <c:pt idx="4">
                  <c:v>1.1484140050082345</c:v>
                </c:pt>
                <c:pt idx="5">
                  <c:v>0.94698490276169878</c:v>
                </c:pt>
                <c:pt idx="6">
                  <c:v>0.68342683264027926</c:v>
                </c:pt>
                <c:pt idx="7">
                  <c:v>0.49104510001606627</c:v>
                </c:pt>
                <c:pt idx="8">
                  <c:v>0.7064819722880884</c:v>
                </c:pt>
                <c:pt idx="9">
                  <c:v>-3.9391007871618626</c:v>
                </c:pt>
                <c:pt idx="10">
                  <c:v>0</c:v>
                </c:pt>
                <c:pt idx="11">
                  <c:v>0</c:v>
                </c:pt>
                <c:pt idx="12">
                  <c:v>0.34249647454652177</c:v>
                </c:pt>
                <c:pt idx="13">
                  <c:v>0</c:v>
                </c:pt>
                <c:pt idx="14">
                  <c:v>0</c:v>
                </c:pt>
                <c:pt idx="15">
                  <c:v>0</c:v>
                </c:pt>
                <c:pt idx="16">
                  <c:v>0</c:v>
                </c:pt>
                <c:pt idx="17">
                  <c:v>0</c:v>
                </c:pt>
              </c:numCache>
            </c:numRef>
          </c:val>
          <c:smooth val="0"/>
          <c:extLst>
            <c:ext xmlns:c16="http://schemas.microsoft.com/office/drawing/2014/chart" uri="{C3380CC4-5D6E-409C-BE32-E72D297353CC}">
              <c16:uniqueId val="{00000000-0BB2-FF4D-B27E-684DE4C76411}"/>
            </c:ext>
          </c:extLst>
        </c:ser>
        <c:dLbls>
          <c:showLegendKey val="0"/>
          <c:showVal val="0"/>
          <c:showCatName val="0"/>
          <c:showSerName val="0"/>
          <c:showPercent val="0"/>
          <c:showBubbleSize val="0"/>
        </c:dLbls>
        <c:marker val="1"/>
        <c:smooth val="0"/>
        <c:axId val="640863088"/>
        <c:axId val="640864816"/>
      </c:lineChart>
      <c:catAx>
        <c:axId val="640863088"/>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Fret Note 2</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title>
        <c:numFmt formatCode="General" sourceLinked="1"/>
        <c:majorTickMark val="cross"/>
        <c:minorTickMark val="cross"/>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640864816"/>
        <c:crossesAt val="0"/>
        <c:auto val="1"/>
        <c:lblAlgn val="ctr"/>
        <c:lblOffset val="100"/>
        <c:noMultiLvlLbl val="0"/>
      </c:catAx>
      <c:valAx>
        <c:axId val="640864816"/>
        <c:scaling>
          <c:orientation val="minMax"/>
          <c:max val="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Cents difference between pair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title>
        <c:numFmt formatCode="#,##0.000" sourceLinked="0"/>
        <c:majorTickMark val="cross"/>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640863088"/>
        <c:crossesAt val="1"/>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bg1">
          <a:lumMod val="65000"/>
        </a:schemeClr>
      </a:solidFill>
      <a:round/>
    </a:ln>
    <a:effectLst/>
  </c:spPr>
  <c:txPr>
    <a:bodyPr/>
    <a:lstStyle/>
    <a:p>
      <a:pPr>
        <a:defRPr/>
      </a:pPr>
      <a:endParaRPr lang="en-DE"/>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'Werckmeister III'!$R$8</c:f>
              <c:strCache>
                <c:ptCount val="1"/>
                <c:pt idx="0">
                  <c:v>Difference to ET Scale in Cents</c:v>
                </c:pt>
              </c:strCache>
            </c:strRef>
          </c:tx>
          <c:spPr>
            <a:solidFill>
              <a:schemeClr val="accent1">
                <a:lumMod val="60000"/>
              </a:schemeClr>
            </a:solidFill>
            <a:ln>
              <a:noFill/>
            </a:ln>
            <a:effectLst/>
          </c:spPr>
          <c:invertIfNegative val="0"/>
          <c:cat>
            <c:strRef>
              <c:f>'Werckmeister III'!$P$9:$P$21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'Werckmeister III'!$R$9:$R$21</c:f>
              <c:numCache>
                <c:formatCode>0.00</c:formatCode>
                <c:ptCount val="13"/>
                <c:pt idx="0">
                  <c:v>0</c:v>
                </c:pt>
                <c:pt idx="1">
                  <c:v>-9.7750043269369336</c:v>
                </c:pt>
                <c:pt idx="2">
                  <c:v>-7.820003461549498</c:v>
                </c:pt>
                <c:pt idx="3">
                  <c:v>-5.8650025961620802</c:v>
                </c:pt>
                <c:pt idx="4">
                  <c:v>-9.7750043269373208</c:v>
                </c:pt>
                <c:pt idx="5">
                  <c:v>-1.955000865387585</c:v>
                </c:pt>
                <c:pt idx="6">
                  <c:v>-11.730005192324629</c:v>
                </c:pt>
                <c:pt idx="7">
                  <c:v>-3.9100017307752508</c:v>
                </c:pt>
                <c:pt idx="8">
                  <c:v>-7.8200034615500771</c:v>
                </c:pt>
                <c:pt idx="9">
                  <c:v>-11.730005192325208</c:v>
                </c:pt>
                <c:pt idx="10">
                  <c:v>-3.910001730775444</c:v>
                </c:pt>
                <c:pt idx="11">
                  <c:v>-7.8200034615502698</c:v>
                </c:pt>
                <c:pt idx="12">
                  <c:v>-7.6882236091558047E-13</c:v>
                </c:pt>
              </c:numCache>
            </c:numRef>
          </c:val>
          <c:extLst>
            <c:ext xmlns:c16="http://schemas.microsoft.com/office/drawing/2014/chart" uri="{C3380CC4-5D6E-409C-BE32-E72D297353CC}">
              <c16:uniqueId val="{00000000-3AAB-1342-91EE-3438EE12D2D7}"/>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6"/>
          <c:order val="0"/>
          <c:tx>
            <c:strRef>
              <c:f>'Werckmeister III'!$U$8</c:f>
              <c:strCache>
                <c:ptCount val="1"/>
                <c:pt idx="0">
                  <c:v>Difference to ET Fifths in Cents</c:v>
                </c:pt>
              </c:strCache>
            </c:strRef>
          </c:tx>
          <c:spPr>
            <a:solidFill>
              <a:schemeClr val="accent1">
                <a:lumMod val="60000"/>
              </a:schemeClr>
            </a:solidFill>
            <a:ln>
              <a:noFill/>
            </a:ln>
            <a:effectLst/>
          </c:spPr>
          <c:invertIfNegative val="0"/>
          <c:cat>
            <c:strRef>
              <c:f>'Werckmeister III'!$S$9:$S$21</c:f>
              <c:strCache>
                <c:ptCount val="13"/>
                <c:pt idx="0">
                  <c:v>C</c:v>
                </c:pt>
                <c:pt idx="1">
                  <c:v>G</c:v>
                </c:pt>
                <c:pt idx="2">
                  <c:v>D</c:v>
                </c:pt>
                <c:pt idx="3">
                  <c:v>A</c:v>
                </c:pt>
                <c:pt idx="4">
                  <c:v>E</c:v>
                </c:pt>
                <c:pt idx="5">
                  <c:v>B</c:v>
                </c:pt>
                <c:pt idx="6">
                  <c:v>F#</c:v>
                </c:pt>
                <c:pt idx="7">
                  <c:v>C#</c:v>
                </c:pt>
                <c:pt idx="8">
                  <c:v>G#</c:v>
                </c:pt>
                <c:pt idx="9">
                  <c:v>D#</c:v>
                </c:pt>
                <c:pt idx="10">
                  <c:v>A#</c:v>
                </c:pt>
                <c:pt idx="11">
                  <c:v>F</c:v>
                </c:pt>
                <c:pt idx="12">
                  <c:v>c oct.</c:v>
                </c:pt>
              </c:strCache>
            </c:strRef>
          </c:cat>
          <c:val>
            <c:numRef>
              <c:f>'Werckmeister III'!$U$9:$U$21</c:f>
              <c:numCache>
                <c:formatCode>0.00</c:formatCode>
                <c:ptCount val="13"/>
                <c:pt idx="0">
                  <c:v>0</c:v>
                </c:pt>
                <c:pt idx="1">
                  <c:v>-3.9100017307752508</c:v>
                </c:pt>
                <c:pt idx="2">
                  <c:v>-7.820003461549498</c:v>
                </c:pt>
                <c:pt idx="3">
                  <c:v>-11.730005192325208</c:v>
                </c:pt>
                <c:pt idx="4">
                  <c:v>-9.7750043269373208</c:v>
                </c:pt>
                <c:pt idx="5">
                  <c:v>-7.8200034615502698</c:v>
                </c:pt>
                <c:pt idx="6">
                  <c:v>-11.730005192324629</c:v>
                </c:pt>
                <c:pt idx="7">
                  <c:v>-9.7750043269369336</c:v>
                </c:pt>
                <c:pt idx="8">
                  <c:v>-7.8200034615500771</c:v>
                </c:pt>
                <c:pt idx="9">
                  <c:v>-5.8650025961620802</c:v>
                </c:pt>
                <c:pt idx="10">
                  <c:v>-3.910001730775444</c:v>
                </c:pt>
                <c:pt idx="11">
                  <c:v>-1.955000865387585</c:v>
                </c:pt>
                <c:pt idx="12">
                  <c:v>-7.6882236091558047E-13</c:v>
                </c:pt>
              </c:numCache>
            </c:numRef>
          </c:val>
          <c:extLst>
            <c:ext xmlns:c16="http://schemas.microsoft.com/office/drawing/2014/chart" uri="{C3380CC4-5D6E-409C-BE32-E72D297353CC}">
              <c16:uniqueId val="{00000000-B990-9D47-B0FE-92FB756A932F}"/>
            </c:ext>
          </c:extLst>
        </c:ser>
        <c:dLbls>
          <c:showLegendKey val="0"/>
          <c:showVal val="0"/>
          <c:showCatName val="0"/>
          <c:showSerName val="0"/>
          <c:showPercent val="0"/>
          <c:showBubbleSize val="0"/>
        </c:dLbls>
        <c:gapWidth val="150"/>
        <c:axId val="334120928"/>
        <c:axId val="1780511423"/>
      </c:barChart>
      <c:catAx>
        <c:axId val="334120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DE"/>
          </a:p>
        </c:txPr>
        <c:crossAx val="1780511423"/>
        <c:crosses val="autoZero"/>
        <c:auto val="1"/>
        <c:lblAlgn val="ctr"/>
        <c:lblOffset val="100"/>
        <c:noMultiLvlLbl val="0"/>
      </c:catAx>
      <c:valAx>
        <c:axId val="1780511423"/>
        <c:scaling>
          <c:orientation val="minMax"/>
          <c:max val="20"/>
          <c:min val="-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334120928"/>
        <c:crossesAt val="1"/>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Fretted'!$H$24</c:f>
          <c:strCache>
            <c:ptCount val="1"/>
            <c:pt idx="0">
              <c:v>Template Instrument Fretted Fret Size cents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'Template Instrument Fretted'!$F$5</c:f>
              <c:strCache>
                <c:ptCount val="1"/>
                <c:pt idx="0">
                  <c:v>Template Instrument Fretted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Fretted'!$F$6:$F$23</c:f>
              <c:numCache>
                <c:formatCode>0.00</c:formatCode>
                <c:ptCount val="18"/>
                <c:pt idx="0">
                  <c:v>100.00000000000007</c:v>
                </c:pt>
                <c:pt idx="1">
                  <c:v>100.00000000000007</c:v>
                </c:pt>
                <c:pt idx="2">
                  <c:v>100.00000000000007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83BE-504C-9192-3964EE4CF9DE}"/>
            </c:ext>
          </c:extLst>
        </c:ser>
        <c:ser>
          <c:idx val="1"/>
          <c:order val="1"/>
          <c:tx>
            <c:strRef>
              <c:f>'Template Instrument Fretted'!$H$3</c:f>
              <c:strCache>
                <c:ptCount val="1"/>
                <c:pt idx="0">
                  <c:v>Werckmeister III</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Fretted'!$J$6:$J$23</c:f>
              <c:numCache>
                <c:formatCode>0.00</c:formatCode>
                <c:ptCount val="18"/>
                <c:pt idx="0">
                  <c:v>90.224995673063063</c:v>
                </c:pt>
                <c:pt idx="1">
                  <c:v>96.089998269225319</c:v>
                </c:pt>
                <c:pt idx="2">
                  <c:v>90.224995673063063</c:v>
                </c:pt>
                <c:pt idx="3">
                  <c:v>96.089998269224949</c:v>
                </c:pt>
                <c:pt idx="4">
                  <c:v>90.224995673063063</c:v>
                </c:pt>
                <c:pt idx="5">
                  <c:v>96.089998269225319</c:v>
                </c:pt>
                <c:pt idx="6">
                  <c:v>96.089998269224949</c:v>
                </c:pt>
                <c:pt idx="7">
                  <c:v>90.224995673063063</c:v>
                </c:pt>
                <c:pt idx="8">
                  <c:v>96.089998269224949</c:v>
                </c:pt>
                <c:pt idx="9">
                  <c:v>90.224995673063063</c:v>
                </c:pt>
                <c:pt idx="10">
                  <c:v>96.089998269225319</c:v>
                </c:pt>
                <c:pt idx="11">
                  <c:v>96.089998269224949</c:v>
                </c:pt>
                <c:pt idx="12">
                  <c:v>90.224995673063063</c:v>
                </c:pt>
                <c:pt idx="13">
                  <c:v>101.95500086538762</c:v>
                </c:pt>
                <c:pt idx="14">
                  <c:v>107.82000346154977</c:v>
                </c:pt>
                <c:pt idx="15">
                  <c:v>107.82000346154942</c:v>
                </c:pt>
                <c:pt idx="16">
                  <c:v>96.089998269224949</c:v>
                </c:pt>
                <c:pt idx="17">
                  <c:v>96.089998269224949</c:v>
                </c:pt>
              </c:numCache>
            </c:numRef>
          </c:val>
          <c:smooth val="0"/>
          <c:extLst>
            <c:ext xmlns:c16="http://schemas.microsoft.com/office/drawing/2014/chart" uri="{C3380CC4-5D6E-409C-BE32-E72D297353CC}">
              <c16:uniqueId val="{00000001-83BE-504C-9192-3964EE4CF9DE}"/>
            </c:ext>
          </c:extLst>
        </c:ser>
        <c:dLbls>
          <c:showLegendKey val="0"/>
          <c:showVal val="0"/>
          <c:showCatName val="0"/>
          <c:showSerName val="0"/>
          <c:showPercent val="0"/>
          <c:showBubbleSize val="0"/>
        </c:dLbls>
        <c:marker val="1"/>
        <c:smooth val="0"/>
        <c:axId val="151128367"/>
        <c:axId val="1190177567"/>
      </c:line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Fretted'!$M$24</c:f>
          <c:strCache>
            <c:ptCount val="1"/>
            <c:pt idx="0">
              <c:v>Template Instrument Fretted Fret Size cents vs. Meantone Quarter Comma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'Template Instrument Fretted'!$F$5</c:f>
              <c:strCache>
                <c:ptCount val="1"/>
                <c:pt idx="0">
                  <c:v>Template Instrument Fretted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Fretted'!$F$6:$F$23</c:f>
              <c:numCache>
                <c:formatCode>0.00</c:formatCode>
                <c:ptCount val="18"/>
                <c:pt idx="0">
                  <c:v>100.00000000000007</c:v>
                </c:pt>
                <c:pt idx="1">
                  <c:v>100.00000000000007</c:v>
                </c:pt>
                <c:pt idx="2">
                  <c:v>100.00000000000007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4463-F64E-BCC7-C82CBBCA529B}"/>
            </c:ext>
          </c:extLst>
        </c:ser>
        <c:ser>
          <c:idx val="1"/>
          <c:order val="1"/>
          <c:tx>
            <c:strRef>
              <c:f>'Template Instrument Fretted'!$M$3</c:f>
              <c:strCache>
                <c:ptCount val="1"/>
                <c:pt idx="0">
                  <c:v>Meantone q. comma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Fretted'!$O$6:$O$23</c:f>
              <c:numCache>
                <c:formatCode>0.00</c:formatCode>
                <c:ptCount val="18"/>
                <c:pt idx="0">
                  <c:v>117.10785766895694</c:v>
                </c:pt>
                <c:pt idx="1">
                  <c:v>76.048999263460743</c:v>
                </c:pt>
                <c:pt idx="2">
                  <c:v>76.048999263460743</c:v>
                </c:pt>
                <c:pt idx="3">
                  <c:v>117.1078576689566</c:v>
                </c:pt>
                <c:pt idx="4">
                  <c:v>117.10785766895694</c:v>
                </c:pt>
                <c:pt idx="5">
                  <c:v>76.048999263460743</c:v>
                </c:pt>
                <c:pt idx="6">
                  <c:v>117.10785766895694</c:v>
                </c:pt>
                <c:pt idx="7">
                  <c:v>76.048999263460743</c:v>
                </c:pt>
                <c:pt idx="8">
                  <c:v>117.1078576689566</c:v>
                </c:pt>
                <c:pt idx="9">
                  <c:v>117.10785766895694</c:v>
                </c:pt>
                <c:pt idx="10">
                  <c:v>76.048999263460743</c:v>
                </c:pt>
                <c:pt idx="11">
                  <c:v>117.10785766895694</c:v>
                </c:pt>
                <c:pt idx="12">
                  <c:v>76.048999263460743</c:v>
                </c:pt>
                <c:pt idx="13">
                  <c:v>76.048999263460388</c:v>
                </c:pt>
                <c:pt idx="14">
                  <c:v>76.048999263460388</c:v>
                </c:pt>
                <c:pt idx="15">
                  <c:v>117.1078576689566</c:v>
                </c:pt>
                <c:pt idx="16">
                  <c:v>117.1078576689566</c:v>
                </c:pt>
                <c:pt idx="17">
                  <c:v>117.10785766895694</c:v>
                </c:pt>
              </c:numCache>
            </c:numRef>
          </c:val>
          <c:smooth val="0"/>
          <c:extLst>
            <c:ext xmlns:c16="http://schemas.microsoft.com/office/drawing/2014/chart" uri="{C3380CC4-5D6E-409C-BE32-E72D297353CC}">
              <c16:uniqueId val="{00000001-4463-F64E-BCC7-C82CBBCA529B}"/>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Fretted'!$W$24</c:f>
          <c:strCache>
            <c:ptCount val="1"/>
            <c:pt idx="0">
              <c:v>Template Instrument Fretted Fret Size cents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0"/>
          <c:order val="0"/>
          <c:tx>
            <c:strRef>
              <c:f>'Template Instrument Fretted'!$F$5</c:f>
              <c:strCache>
                <c:ptCount val="1"/>
                <c:pt idx="0">
                  <c:v>Template Instrument Fretted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Fretted'!$F$6:$F$23</c:f>
              <c:numCache>
                <c:formatCode>0.00</c:formatCode>
                <c:ptCount val="18"/>
                <c:pt idx="0">
                  <c:v>100.00000000000007</c:v>
                </c:pt>
                <c:pt idx="1">
                  <c:v>100.00000000000007</c:v>
                </c:pt>
                <c:pt idx="2">
                  <c:v>100.00000000000007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C0B1-4046-8CFE-3DC95F5A2A0B}"/>
            </c:ext>
          </c:extLst>
        </c:ser>
        <c:ser>
          <c:idx val="1"/>
          <c:order val="1"/>
          <c:tx>
            <c:strRef>
              <c:f>'Template Instrument Fretted'!$W$3</c:f>
              <c:strCache>
                <c:ptCount val="1"/>
                <c:pt idx="0">
                  <c:v>Equal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Fretted'!$Y$6:$Y$23</c:f>
              <c:numCache>
                <c:formatCode>0.00</c:formatCode>
                <c:ptCount val="18"/>
                <c:pt idx="0">
                  <c:v>100.00000000000007</c:v>
                </c:pt>
                <c:pt idx="1">
                  <c:v>99.99999999999973</c:v>
                </c:pt>
                <c:pt idx="2">
                  <c:v>100.00000000000007</c:v>
                </c:pt>
                <c:pt idx="3">
                  <c:v>100.00000000000007</c:v>
                </c:pt>
                <c:pt idx="4">
                  <c:v>100.00000000000007</c:v>
                </c:pt>
                <c:pt idx="5">
                  <c:v>99.99999999999973</c:v>
                </c:pt>
                <c:pt idx="6">
                  <c:v>100.00000000000007</c:v>
                </c:pt>
                <c:pt idx="7">
                  <c:v>100.00000000000007</c:v>
                </c:pt>
                <c:pt idx="8">
                  <c:v>100.00000000000007</c:v>
                </c:pt>
                <c:pt idx="9">
                  <c:v>100.00000000000007</c:v>
                </c:pt>
                <c:pt idx="10">
                  <c:v>99.99999999999973</c:v>
                </c:pt>
                <c:pt idx="11">
                  <c:v>100.00000000000007</c:v>
                </c:pt>
                <c:pt idx="12">
                  <c:v>100.00000000000007</c:v>
                </c:pt>
                <c:pt idx="13">
                  <c:v>99.99999999999973</c:v>
                </c:pt>
                <c:pt idx="14">
                  <c:v>100.00000000000007</c:v>
                </c:pt>
                <c:pt idx="15">
                  <c:v>99.99999999999973</c:v>
                </c:pt>
                <c:pt idx="16">
                  <c:v>100.00000000000007</c:v>
                </c:pt>
                <c:pt idx="17">
                  <c:v>100.00000000000007</c:v>
                </c:pt>
              </c:numCache>
            </c:numRef>
          </c:val>
          <c:smooth val="0"/>
          <c:extLst>
            <c:ext xmlns:c16="http://schemas.microsoft.com/office/drawing/2014/chart" uri="{C3380CC4-5D6E-409C-BE32-E72D297353CC}">
              <c16:uniqueId val="{00000001-C0B1-4046-8CFE-3DC95F5A2A0B}"/>
            </c:ext>
          </c:extLst>
        </c:ser>
        <c:dLbls>
          <c:showLegendKey val="0"/>
          <c:showVal val="0"/>
          <c:showCatName val="0"/>
          <c:showSerName val="0"/>
          <c:showPercent val="0"/>
          <c:showBubbleSize val="0"/>
        </c:dLbls>
        <c:marker val="1"/>
        <c:smooth val="0"/>
        <c:axId val="240357408"/>
        <c:axId val="240265712"/>
      </c:line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Fretted'!$R$24</c:f>
          <c:strCache>
            <c:ptCount val="1"/>
            <c:pt idx="0">
              <c:v>Template Instrument Fretted Fret Size cents vs. Meantone Octave with Matching Octaves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'Template Instrument Fretted'!$F$5</c:f>
              <c:strCache>
                <c:ptCount val="1"/>
                <c:pt idx="0">
                  <c:v>Template Instrument Fretted Fret Size cents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Fretted'!$F$6:$F$23</c:f>
              <c:numCache>
                <c:formatCode>0.00</c:formatCode>
                <c:ptCount val="18"/>
                <c:pt idx="0">
                  <c:v>100.00000000000007</c:v>
                </c:pt>
                <c:pt idx="1">
                  <c:v>100.00000000000007</c:v>
                </c:pt>
                <c:pt idx="2">
                  <c:v>100.00000000000007</c:v>
                </c:pt>
                <c:pt idx="3">
                  <c:v>51.992917996920802</c:v>
                </c:pt>
                <c:pt idx="4">
                  <c:v>60.848354435637958</c:v>
                </c:pt>
                <c:pt idx="5">
                  <c:v>61.994543786991073</c:v>
                </c:pt>
                <c:pt idx="6">
                  <c:v>62.245961038491807</c:v>
                </c:pt>
                <c:pt idx="7">
                  <c:v>66.932948358296272</c:v>
                </c:pt>
                <c:pt idx="8">
                  <c:v>76.278154532959363</c:v>
                </c:pt>
                <c:pt idx="9">
                  <c:v>65.173343853388914</c:v>
                </c:pt>
                <c:pt idx="10">
                  <c:v>66.594135110044448</c:v>
                </c:pt>
                <c:pt idx="11">
                  <c:v>70.672426864282343</c:v>
                </c:pt>
                <c:pt idx="12">
                  <c:v>96.877526535428515</c:v>
                </c:pt>
                <c:pt idx="13">
                  <c:v>53.068800308019924</c:v>
                </c:pt>
                <c:pt idx="14">
                  <c:v>103.16786773182335</c:v>
                </c:pt>
                <c:pt idx="15">
                  <c:v>116.56939009263786</c:v>
                </c:pt>
                <c:pt idx="16">
                  <c:v>83.115194924536567</c:v>
                </c:pt>
                <c:pt idx="17">
                  <c:v>114.41745190497718</c:v>
                </c:pt>
              </c:numCache>
            </c:numRef>
          </c:val>
          <c:smooth val="0"/>
          <c:extLst>
            <c:ext xmlns:c16="http://schemas.microsoft.com/office/drawing/2014/chart" uri="{C3380CC4-5D6E-409C-BE32-E72D297353CC}">
              <c16:uniqueId val="{00000000-1475-F541-BF41-BC4B06D442FF}"/>
            </c:ext>
          </c:extLst>
        </c:ser>
        <c:ser>
          <c:idx val="1"/>
          <c:order val="1"/>
          <c:tx>
            <c:strRef>
              <c:f>'Template Instrument Fretted'!$R$3</c:f>
              <c:strCache>
                <c:ptCount val="1"/>
                <c:pt idx="0">
                  <c:v>Meantone Oct 1</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'Template Instrument Fretted'!$B$6:$B$23</c:f>
              <c:strCache>
                <c:ptCount val="18"/>
                <c:pt idx="0">
                  <c:v>F</c:v>
                </c:pt>
                <c:pt idx="1">
                  <c:v>G</c:v>
                </c:pt>
                <c:pt idx="2">
                  <c:v>C</c:v>
                </c:pt>
                <c:pt idx="3">
                  <c:v>D#</c:v>
                </c:pt>
                <c:pt idx="4">
                  <c:v>F</c:v>
                </c:pt>
                <c:pt idx="5">
                  <c:v>G</c:v>
                </c:pt>
                <c:pt idx="6">
                  <c:v>A#</c:v>
                </c:pt>
                <c:pt idx="7">
                  <c:v>C</c:v>
                </c:pt>
                <c:pt idx="8">
                  <c:v>D#</c:v>
                </c:pt>
                <c:pt idx="9">
                  <c:v>F</c:v>
                </c:pt>
                <c:pt idx="10">
                  <c:v>G</c:v>
                </c:pt>
                <c:pt idx="11">
                  <c:v>A#</c:v>
                </c:pt>
                <c:pt idx="12">
                  <c:v>C</c:v>
                </c:pt>
                <c:pt idx="13">
                  <c:v>D</c:v>
                </c:pt>
                <c:pt idx="14">
                  <c:v>E</c:v>
                </c:pt>
                <c:pt idx="15">
                  <c:v>F#</c:v>
                </c:pt>
                <c:pt idx="16">
                  <c:v>G#</c:v>
                </c:pt>
                <c:pt idx="17">
                  <c:v>A#</c:v>
                </c:pt>
              </c:strCache>
            </c:strRef>
          </c:cat>
          <c:val>
            <c:numRef>
              <c:f>'Template Instrument Fretted'!$T$6:$T$23</c:f>
              <c:numCache>
                <c:formatCode>0.00</c:formatCode>
                <c:ptCount val="18"/>
                <c:pt idx="0">
                  <c:v>76.048999263460743</c:v>
                </c:pt>
                <c:pt idx="1">
                  <c:v>76.048999263460743</c:v>
                </c:pt>
                <c:pt idx="2">
                  <c:v>76.048999263460743</c:v>
                </c:pt>
                <c:pt idx="3">
                  <c:v>117.1078576689566</c:v>
                </c:pt>
                <c:pt idx="4">
                  <c:v>76.048999263460743</c:v>
                </c:pt>
                <c:pt idx="5">
                  <c:v>76.048999263460743</c:v>
                </c:pt>
                <c:pt idx="6">
                  <c:v>76.048999263461113</c:v>
                </c:pt>
                <c:pt idx="7">
                  <c:v>76.048999263460743</c:v>
                </c:pt>
                <c:pt idx="8">
                  <c:v>117.1078576689566</c:v>
                </c:pt>
                <c:pt idx="9">
                  <c:v>76.048999263460743</c:v>
                </c:pt>
                <c:pt idx="10">
                  <c:v>76.048999263460743</c:v>
                </c:pt>
                <c:pt idx="11">
                  <c:v>76.048999263461113</c:v>
                </c:pt>
                <c:pt idx="12">
                  <c:v>76.048999263460743</c:v>
                </c:pt>
                <c:pt idx="13">
                  <c:v>76.048999263460388</c:v>
                </c:pt>
                <c:pt idx="14">
                  <c:v>117.1078576689566</c:v>
                </c:pt>
                <c:pt idx="15">
                  <c:v>117.1078576689566</c:v>
                </c:pt>
                <c:pt idx="16">
                  <c:v>117.1078576689566</c:v>
                </c:pt>
                <c:pt idx="17">
                  <c:v>76.048999263461113</c:v>
                </c:pt>
              </c:numCache>
            </c:numRef>
          </c:val>
          <c:smooth val="0"/>
          <c:extLst>
            <c:ext xmlns:c16="http://schemas.microsoft.com/office/drawing/2014/chart" uri="{C3380CC4-5D6E-409C-BE32-E72D297353CC}">
              <c16:uniqueId val="{00000001-1475-F541-BF41-BC4B06D442FF}"/>
            </c:ext>
          </c:extLst>
        </c:ser>
        <c:dLbls>
          <c:showLegendKey val="0"/>
          <c:showVal val="0"/>
          <c:showCatName val="0"/>
          <c:showSerName val="0"/>
          <c:showPercent val="0"/>
          <c:showBubbleSize val="0"/>
        </c:dLbls>
        <c:marker val="1"/>
        <c:smooth val="0"/>
        <c:axId val="1334023487"/>
        <c:axId val="208697376"/>
      </c:line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12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Effect of distance between bridge</a:t>
            </a:r>
            <a:r>
              <a:rPr lang="en-GB" baseline="0"/>
              <a:t> pins of the strings of a course </a:t>
            </a:r>
          </a:p>
        </c:rich>
      </c:tx>
      <c:overlay val="0"/>
      <c:spPr>
        <a:noFill/>
        <a:ln w="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lineChart>
        <c:grouping val="standard"/>
        <c:varyColors val="0"/>
        <c:ser>
          <c:idx val="1"/>
          <c:order val="0"/>
          <c:tx>
            <c:strRef>
              <c:f>'Template Bridge Effect'!$B$1:$J$1</c:f>
              <c:strCache>
                <c:ptCount val="1"/>
                <c:pt idx="0">
                  <c:v>Template for Effect of Bridge on Frets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'Template Bridge Effect'!$C$9:$C$26</c:f>
              <c:strCache>
                <c:ptCount val="13"/>
                <c:pt idx="0">
                  <c:v>F#</c:v>
                </c:pt>
                <c:pt idx="1">
                  <c:v>G#</c:v>
                </c:pt>
                <c:pt idx="2">
                  <c:v>B</c:v>
                </c:pt>
                <c:pt idx="3">
                  <c:v>C#</c:v>
                </c:pt>
                <c:pt idx="4">
                  <c:v>E</c:v>
                </c:pt>
                <c:pt idx="5">
                  <c:v>F#</c:v>
                </c:pt>
                <c:pt idx="6">
                  <c:v>G#</c:v>
                </c:pt>
                <c:pt idx="7">
                  <c:v>B</c:v>
                </c:pt>
                <c:pt idx="8">
                  <c:v>C#</c:v>
                </c:pt>
                <c:pt idx="9">
                  <c:v>E</c:v>
                </c:pt>
                <c:pt idx="10">
                  <c:v>F#</c:v>
                </c:pt>
                <c:pt idx="11">
                  <c:v>G#</c:v>
                </c:pt>
                <c:pt idx="12">
                  <c:v>B</c:v>
                </c:pt>
              </c:strCache>
            </c:strRef>
          </c:cat>
          <c:val>
            <c:numRef>
              <c:f>'Template Bridge Effect'!$H$9:$H$26</c:f>
              <c:numCache>
                <c:formatCode>0.000</c:formatCode>
                <c:ptCount val="18"/>
                <c:pt idx="0">
                  <c:v>0.95008941606464248</c:v>
                </c:pt>
                <c:pt idx="1">
                  <c:v>-0.41548674955289755</c:v>
                </c:pt>
                <c:pt idx="2">
                  <c:v>1.0221454339084772</c:v>
                </c:pt>
                <c:pt idx="3">
                  <c:v>2.8347441489311507</c:v>
                </c:pt>
                <c:pt idx="4">
                  <c:v>1.1484140050082345</c:v>
                </c:pt>
                <c:pt idx="5">
                  <c:v>0.94698490276169878</c:v>
                </c:pt>
                <c:pt idx="6">
                  <c:v>0.68342683264027926</c:v>
                </c:pt>
                <c:pt idx="7">
                  <c:v>0.49104510001606627</c:v>
                </c:pt>
                <c:pt idx="8">
                  <c:v>0.7064819722880884</c:v>
                </c:pt>
                <c:pt idx="9">
                  <c:v>-3.9391007871618626</c:v>
                </c:pt>
                <c:pt idx="10">
                  <c:v>0</c:v>
                </c:pt>
                <c:pt idx="11">
                  <c:v>0</c:v>
                </c:pt>
                <c:pt idx="12">
                  <c:v>0.34249647454652177</c:v>
                </c:pt>
                <c:pt idx="13">
                  <c:v>0</c:v>
                </c:pt>
                <c:pt idx="14">
                  <c:v>0</c:v>
                </c:pt>
                <c:pt idx="15">
                  <c:v>0</c:v>
                </c:pt>
                <c:pt idx="16">
                  <c:v>0</c:v>
                </c:pt>
                <c:pt idx="17">
                  <c:v>0</c:v>
                </c:pt>
              </c:numCache>
            </c:numRef>
          </c:val>
          <c:smooth val="0"/>
          <c:extLst>
            <c:ext xmlns:c16="http://schemas.microsoft.com/office/drawing/2014/chart" uri="{C3380CC4-5D6E-409C-BE32-E72D297353CC}">
              <c16:uniqueId val="{00000000-CB71-1A46-87A1-DD9A5D8683B7}"/>
            </c:ext>
          </c:extLst>
        </c:ser>
        <c:dLbls>
          <c:showLegendKey val="0"/>
          <c:showVal val="0"/>
          <c:showCatName val="0"/>
          <c:showSerName val="0"/>
          <c:showPercent val="0"/>
          <c:showBubbleSize val="0"/>
        </c:dLbls>
        <c:marker val="1"/>
        <c:smooth val="0"/>
        <c:axId val="640863088"/>
        <c:axId val="640864816"/>
      </c:lineChart>
      <c:catAx>
        <c:axId val="640863088"/>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Fret Note 2</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title>
        <c:numFmt formatCode="General" sourceLinked="1"/>
        <c:majorTickMark val="cross"/>
        <c:minorTickMark val="cross"/>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640864816"/>
        <c:crossesAt val="0"/>
        <c:auto val="1"/>
        <c:lblAlgn val="ctr"/>
        <c:lblOffset val="100"/>
        <c:noMultiLvlLbl val="0"/>
      </c:catAx>
      <c:valAx>
        <c:axId val="640864816"/>
        <c:scaling>
          <c:orientation val="minMax"/>
          <c:max val="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Cents difference between pair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title>
        <c:numFmt formatCode="#,##0.000" sourceLinked="0"/>
        <c:majorTickMark val="cross"/>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640863088"/>
        <c:crossesAt val="1"/>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bg1">
          <a:lumMod val="65000"/>
        </a:schemeClr>
      </a:solidFill>
      <a:round/>
    </a:ln>
    <a:effectLst/>
  </c:spPr>
  <c:txPr>
    <a:bodyPr/>
    <a:lstStyle/>
    <a:p>
      <a:pPr>
        <a:defRPr/>
      </a:pPr>
      <a:endParaRPr lang="en-DE"/>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by Lengths'!$F$22</c:f>
          <c:strCache>
            <c:ptCount val="1"/>
            <c:pt idx="0">
              <c:v>Template for Instrument by Pipe or String Lengths vs. Werckmeister III</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1"/>
          <c:order val="0"/>
          <c:tx>
            <c:strRef>
              <c:f>'Template Instrument by Lengths'!$F$22:$G$22</c:f>
              <c:strCache>
                <c:ptCount val="1"/>
                <c:pt idx="0">
                  <c:v>Template for Instrument by Pipe or String Lengths vs. Werckmeister III</c:v>
                </c:pt>
              </c:strCache>
            </c:strRef>
          </c:tx>
          <c:spPr>
            <a:solidFill>
              <a:schemeClr val="accent2"/>
            </a:solidFill>
            <a:ln>
              <a:noFill/>
            </a:ln>
            <a:effectLst/>
          </c:spPr>
          <c:invertIfNegative val="0"/>
          <c:cat>
            <c:strRef>
              <c:f>'Template Instrument by Lengths'!$B$9:$B$21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Instrument by Lengths'!$G$9:$G$21</c:f>
              <c:numCache>
                <c:formatCode>0.00</c:formatCode>
                <c:ptCount val="13"/>
                <c:pt idx="0">
                  <c:v>-0.83895472298280405</c:v>
                </c:pt>
                <c:pt idx="1">
                  <c:v>18.713614085798241</c:v>
                </c:pt>
                <c:pt idx="2">
                  <c:v>-0.27965157432769033</c:v>
                </c:pt>
                <c:pt idx="3">
                  <c:v>-19.690474479763186</c:v>
                </c:pt>
                <c:pt idx="4">
                  <c:v>6.1446541704899511</c:v>
                </c:pt>
                <c:pt idx="5">
                  <c:v>-7.4011661387833119</c:v>
                </c:pt>
                <c:pt idx="6">
                  <c:v>12.568959915307707</c:v>
                </c:pt>
                <c:pt idx="7">
                  <c:v>-0.55930314865574027</c:v>
                </c:pt>
                <c:pt idx="8">
                  <c:v>-25.835128650253175</c:v>
                </c:pt>
                <c:pt idx="9">
                  <c:v>-1.9220559022889507E-13</c:v>
                </c:pt>
                <c:pt idx="10">
                  <c:v>-13.54582030927347</c:v>
                </c:pt>
                <c:pt idx="11">
                  <c:v>12.2893083409796</c:v>
                </c:pt>
                <c:pt idx="12">
                  <c:v>-1.2565119682933625</c:v>
                </c:pt>
              </c:numCache>
            </c:numRef>
          </c:val>
          <c:extLst>
            <c:ext xmlns:c16="http://schemas.microsoft.com/office/drawing/2014/chart" uri="{C3380CC4-5D6E-409C-BE32-E72D297353CC}">
              <c16:uniqueId val="{00000001-AC39-DB47-BCF3-14FB28197B70}"/>
            </c:ext>
          </c:extLst>
        </c:ser>
        <c:dLbls>
          <c:showLegendKey val="0"/>
          <c:showVal val="0"/>
          <c:showCatName val="0"/>
          <c:showSerName val="0"/>
          <c:showPercent val="0"/>
          <c:showBubbleSize val="0"/>
        </c:dLbls>
        <c:gapWidth val="150"/>
        <c:axId val="151128367"/>
        <c:axId val="1190177567"/>
      </c:barChart>
      <c:catAx>
        <c:axId val="15112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190177567"/>
        <c:crosses val="autoZero"/>
        <c:auto val="1"/>
        <c:lblAlgn val="ctr"/>
        <c:lblOffset val="100"/>
        <c:noMultiLvlLbl val="0"/>
      </c:catAx>
      <c:valAx>
        <c:axId val="1190177567"/>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112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by Lengths'!$I$22</c:f>
          <c:strCache>
            <c:ptCount val="1"/>
            <c:pt idx="0">
              <c:v>Template for Instrument by Pipe or String Lengths vs. Kirnberger III in Syntonic Commas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1"/>
          <c:order val="0"/>
          <c:tx>
            <c:strRef>
              <c:f>'Template Instrument by Lengths'!$I$22:$J$22</c:f>
              <c:strCache>
                <c:ptCount val="1"/>
                <c:pt idx="0">
                  <c:v>Template for Instrument by Pipe or String Lengths vs. Kirnberger III in Syntonic Commas</c:v>
                </c:pt>
              </c:strCache>
            </c:strRef>
          </c:tx>
          <c:spPr>
            <a:solidFill>
              <a:schemeClr val="accent2"/>
            </a:solidFill>
            <a:ln>
              <a:noFill/>
            </a:ln>
            <a:effectLst/>
          </c:spPr>
          <c:invertIfNegative val="0"/>
          <c:cat>
            <c:strRef>
              <c:f>'Template Instrument by Lengths'!$B$9:$B$21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Instrument by Lengths'!$J$9:$J$21</c:f>
              <c:numCache>
                <c:formatCode>0.00</c:formatCode>
                <c:ptCount val="13"/>
                <c:pt idx="0">
                  <c:v>-2.3042453139328756</c:v>
                </c:pt>
                <c:pt idx="1">
                  <c:v>17.248323494847913</c:v>
                </c:pt>
                <c:pt idx="2">
                  <c:v>-0.76808177131048994</c:v>
                </c:pt>
                <c:pt idx="3">
                  <c:v>-21.155765070713525</c:v>
                </c:pt>
                <c:pt idx="4">
                  <c:v>0.76808177131161837</c:v>
                </c:pt>
                <c:pt idx="5">
                  <c:v>-8.8664567297336507</c:v>
                </c:pt>
                <c:pt idx="6">
                  <c:v>13.057390112291595</c:v>
                </c:pt>
                <c:pt idx="7">
                  <c:v>-1.5361635426223557</c:v>
                </c:pt>
                <c:pt idx="8">
                  <c:v>-27.300419241203535</c:v>
                </c:pt>
                <c:pt idx="9">
                  <c:v>3.8441118045779013E-13</c:v>
                </c:pt>
                <c:pt idx="10">
                  <c:v>-15.011110900223906</c:v>
                </c:pt>
                <c:pt idx="11">
                  <c:v>6.9127359418015972</c:v>
                </c:pt>
                <c:pt idx="12">
                  <c:v>-2.7218025592435047</c:v>
                </c:pt>
              </c:numCache>
            </c:numRef>
          </c:val>
          <c:extLst>
            <c:ext xmlns:c16="http://schemas.microsoft.com/office/drawing/2014/chart" uri="{C3380CC4-5D6E-409C-BE32-E72D297353CC}">
              <c16:uniqueId val="{00000001-643F-9248-8C02-D5866A3A9313}"/>
            </c:ext>
          </c:extLst>
        </c:ser>
        <c:dLbls>
          <c:showLegendKey val="0"/>
          <c:showVal val="0"/>
          <c:showCatName val="0"/>
          <c:showSerName val="0"/>
          <c:showPercent val="0"/>
          <c:showBubbleSize val="0"/>
        </c:dLbls>
        <c:gapWidth val="150"/>
        <c:axId val="1334023487"/>
        <c:axId val="208697376"/>
      </c:barChart>
      <c:catAx>
        <c:axId val="133402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08697376"/>
        <c:crosses val="autoZero"/>
        <c:auto val="1"/>
        <c:lblAlgn val="ctr"/>
        <c:lblOffset val="100"/>
        <c:noMultiLvlLbl val="0"/>
      </c:catAx>
      <c:valAx>
        <c:axId val="208697376"/>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33402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'Template Instrument by Lengths'!$O$22:$P$22</c:f>
          <c:strCache>
            <c:ptCount val="2"/>
            <c:pt idx="0">
              <c:v>Template for Instrument by Pipe or String Lengths vs. Equal Temperament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DE"/>
        </a:p>
      </c:txPr>
    </c:title>
    <c:autoTitleDeleted val="0"/>
    <c:plotArea>
      <c:layout/>
      <c:barChart>
        <c:barDir val="col"/>
        <c:grouping val="clustered"/>
        <c:varyColors val="0"/>
        <c:ser>
          <c:idx val="1"/>
          <c:order val="0"/>
          <c:tx>
            <c:strRef>
              <c:f>'Template Instrument by Lengths'!$O$22:$P$22</c:f>
              <c:strCache>
                <c:ptCount val="1"/>
                <c:pt idx="0">
                  <c:v>Template for Instrument by Pipe or String Lengths vs. Equal Temperament</c:v>
                </c:pt>
              </c:strCache>
            </c:strRef>
          </c:tx>
          <c:spPr>
            <a:solidFill>
              <a:schemeClr val="accent2"/>
            </a:solidFill>
            <a:ln>
              <a:noFill/>
            </a:ln>
            <a:effectLst/>
          </c:spPr>
          <c:invertIfNegative val="0"/>
          <c:cat>
            <c:strRef>
              <c:f>'Template Instrument by Lengths'!$B$9:$B$21</c:f>
              <c:strCache>
                <c:ptCount val="13"/>
                <c:pt idx="0">
                  <c:v>C</c:v>
                </c:pt>
                <c:pt idx="1">
                  <c:v>C#</c:v>
                </c:pt>
                <c:pt idx="2">
                  <c:v>D</c:v>
                </c:pt>
                <c:pt idx="3">
                  <c:v>D#</c:v>
                </c:pt>
                <c:pt idx="4">
                  <c:v>E</c:v>
                </c:pt>
                <c:pt idx="5">
                  <c:v>F</c:v>
                </c:pt>
                <c:pt idx="6">
                  <c:v>F#</c:v>
                </c:pt>
                <c:pt idx="7">
                  <c:v>G</c:v>
                </c:pt>
                <c:pt idx="8">
                  <c:v>G#</c:v>
                </c:pt>
                <c:pt idx="9">
                  <c:v>A</c:v>
                </c:pt>
                <c:pt idx="10">
                  <c:v>A#</c:v>
                </c:pt>
                <c:pt idx="11">
                  <c:v>B</c:v>
                </c:pt>
                <c:pt idx="12">
                  <c:v>c oct.</c:v>
                </c:pt>
              </c:strCache>
            </c:strRef>
          </c:cat>
          <c:val>
            <c:numRef>
              <c:f>'Template Instrument by Lengths'!$P$9:$P$21</c:f>
              <c:numCache>
                <c:formatCode>0.00</c:formatCode>
                <c:ptCount val="13"/>
                <c:pt idx="0">
                  <c:v>-12.568959915307584</c:v>
                </c:pt>
                <c:pt idx="1">
                  <c:v>16.758613220410467</c:v>
                </c:pt>
                <c:pt idx="2">
                  <c:v>-4.1896533051027305</c:v>
                </c:pt>
                <c:pt idx="3">
                  <c:v>-25.55547707592623</c:v>
                </c:pt>
                <c:pt idx="4">
                  <c:v>4.1896533051023432</c:v>
                </c:pt>
                <c:pt idx="5">
                  <c:v>-17.176170465720926</c:v>
                </c:pt>
                <c:pt idx="6">
                  <c:v>12.568959915307326</c:v>
                </c:pt>
                <c:pt idx="7">
                  <c:v>-8.3793066102057931</c:v>
                </c:pt>
                <c:pt idx="8">
                  <c:v>-29.745130381028819</c:v>
                </c:pt>
                <c:pt idx="9">
                  <c:v>-5.7661677068668525E-13</c:v>
                </c:pt>
                <c:pt idx="10">
                  <c:v>-21.365823770823724</c:v>
                </c:pt>
                <c:pt idx="11">
                  <c:v>8.3793066102042975</c:v>
                </c:pt>
                <c:pt idx="12">
                  <c:v>-12.98651716061813</c:v>
                </c:pt>
              </c:numCache>
            </c:numRef>
          </c:val>
          <c:extLst>
            <c:ext xmlns:c16="http://schemas.microsoft.com/office/drawing/2014/chart" uri="{C3380CC4-5D6E-409C-BE32-E72D297353CC}">
              <c16:uniqueId val="{00000001-AA5E-594C-87EA-6D98E6234C41}"/>
            </c:ext>
          </c:extLst>
        </c:ser>
        <c:dLbls>
          <c:showLegendKey val="0"/>
          <c:showVal val="0"/>
          <c:showCatName val="0"/>
          <c:showSerName val="0"/>
          <c:showPercent val="0"/>
          <c:showBubbleSize val="0"/>
        </c:dLbls>
        <c:gapWidth val="150"/>
        <c:axId val="240357408"/>
        <c:axId val="240265712"/>
      </c:barChart>
      <c:catAx>
        <c:axId val="2403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265712"/>
        <c:crosses val="autoZero"/>
        <c:auto val="1"/>
        <c:lblAlgn val="ctr"/>
        <c:lblOffset val="100"/>
        <c:noMultiLvlLbl val="0"/>
      </c:catAx>
      <c:valAx>
        <c:axId val="240265712"/>
        <c:scaling>
          <c:orientation val="minMax"/>
          <c:max val="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24035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77.xml"/><Relationship Id="rId1" Type="http://schemas.openxmlformats.org/officeDocument/2006/relationships/chart" Target="../charts/chart76.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79.xml"/><Relationship Id="rId1" Type="http://schemas.openxmlformats.org/officeDocument/2006/relationships/chart" Target="../charts/chart78.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81.xml"/><Relationship Id="rId1" Type="http://schemas.openxmlformats.org/officeDocument/2006/relationships/chart" Target="../charts/chart80.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83.xml"/><Relationship Id="rId1" Type="http://schemas.openxmlformats.org/officeDocument/2006/relationships/chart" Target="../charts/chart82.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85.xml"/><Relationship Id="rId1" Type="http://schemas.openxmlformats.org/officeDocument/2006/relationships/chart" Target="../charts/chart84.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87.xml"/><Relationship Id="rId1" Type="http://schemas.openxmlformats.org/officeDocument/2006/relationships/chart" Target="../charts/chart8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89.xml"/><Relationship Id="rId1" Type="http://schemas.openxmlformats.org/officeDocument/2006/relationships/chart" Target="../charts/chart88.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91.xml"/><Relationship Id="rId1" Type="http://schemas.openxmlformats.org/officeDocument/2006/relationships/chart" Target="../charts/chart9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94.xml"/><Relationship Id="rId2" Type="http://schemas.openxmlformats.org/officeDocument/2006/relationships/chart" Target="../charts/chart93.xml"/><Relationship Id="rId1" Type="http://schemas.openxmlformats.org/officeDocument/2006/relationships/chart" Target="../charts/chart92.xml"/><Relationship Id="rId4" Type="http://schemas.openxmlformats.org/officeDocument/2006/relationships/chart" Target="../charts/chart95.xml"/></Relationships>
</file>

<file path=xl/drawings/_rels/drawing4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96.xml"/></Relationships>
</file>

<file path=xl/drawings/_rels/drawing42.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chart" Target="../charts/chart98.xml"/><Relationship Id="rId1" Type="http://schemas.openxmlformats.org/officeDocument/2006/relationships/chart" Target="../charts/chart97.xml"/><Relationship Id="rId6" Type="http://schemas.openxmlformats.org/officeDocument/2006/relationships/chart" Target="../charts/chart102.xml"/><Relationship Id="rId5" Type="http://schemas.openxmlformats.org/officeDocument/2006/relationships/chart" Target="../charts/chart101.xml"/><Relationship Id="rId4" Type="http://schemas.openxmlformats.org/officeDocument/2006/relationships/chart" Target="../charts/chart100.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104.xml"/><Relationship Id="rId1" Type="http://schemas.openxmlformats.org/officeDocument/2006/relationships/chart" Target="../charts/chart103.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106.xml"/><Relationship Id="rId1" Type="http://schemas.openxmlformats.org/officeDocument/2006/relationships/chart" Target="../charts/chart105.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108.xml"/><Relationship Id="rId1" Type="http://schemas.openxmlformats.org/officeDocument/2006/relationships/chart" Target="../charts/chart107.xml"/></Relationships>
</file>

<file path=xl/drawings/_rels/drawing46.xml.rels><?xml version="1.0" encoding="UTF-8" standalone="yes"?>
<Relationships xmlns="http://schemas.openxmlformats.org/package/2006/relationships"><Relationship Id="rId2" Type="http://schemas.openxmlformats.org/officeDocument/2006/relationships/chart" Target="../charts/chart110.xml"/><Relationship Id="rId1" Type="http://schemas.openxmlformats.org/officeDocument/2006/relationships/chart" Target="../charts/chart109.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oneCellAnchor>
    <xdr:from>
      <xdr:col>1</xdr:col>
      <xdr:colOff>10585</xdr:colOff>
      <xdr:row>0</xdr:row>
      <xdr:rowOff>95250</xdr:rowOff>
    </xdr:from>
    <xdr:ext cx="5704416" cy="1093470"/>
    <xdr:sp macro="" textlink="">
      <xdr:nvSpPr>
        <xdr:cNvPr id="2" name="TextBox 1">
          <a:extLst>
            <a:ext uri="{FF2B5EF4-FFF2-40B4-BE49-F238E27FC236}">
              <a16:creationId xmlns:a16="http://schemas.microsoft.com/office/drawing/2014/main" id="{695094B2-0C22-1E91-8AD3-BE4D9C06C0DB}"/>
            </a:ext>
          </a:extLst>
        </xdr:cNvPr>
        <xdr:cNvSpPr txBox="1"/>
      </xdr:nvSpPr>
      <xdr:spPr>
        <a:xfrm>
          <a:off x="305225" y="95250"/>
          <a:ext cx="5704416" cy="1093470"/>
        </a:xfrm>
        <a:prstGeom prst="rect">
          <a:avLst/>
        </a:prstGeom>
        <a:solidFill>
          <a:srgbClr val="83CBEB">
            <a:alpha val="20784"/>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kern="1200">
              <a:latin typeface="Times New Roman" panose="02020603050405020304" pitchFamily="18" charset="0"/>
              <a:cs typeface="Times New Roman" panose="02020603050405020304" pitchFamily="18" charset="0"/>
            </a:rPr>
            <a:t>This Excel file</a:t>
          </a:r>
          <a:r>
            <a:rPr lang="en-GB" sz="1100" kern="1200" baseline="0">
              <a:latin typeface="Times New Roman" panose="02020603050405020304" pitchFamily="18" charset="0"/>
              <a:cs typeface="Times New Roman" panose="02020603050405020304" pitchFamily="18" charset="0"/>
            </a:rPr>
            <a:t> calculates Clavichord fretting and compares it to various temperaments. It also contains worksheets with data on various temperaments.</a:t>
          </a:r>
        </a:p>
        <a:p>
          <a:r>
            <a:rPr lang="en-GB" sz="1100" kern="1200" baseline="0">
              <a:latin typeface="Times New Roman" panose="02020603050405020304" pitchFamily="18" charset="0"/>
              <a:cs typeface="Times New Roman" panose="02020603050405020304" pitchFamily="18" charset="0"/>
            </a:rPr>
            <a:t>A full description can be found in the paper "Temperament and Fretted Clavichords" by the same authors.</a:t>
          </a:r>
        </a:p>
        <a:p>
          <a:r>
            <a:rPr lang="en-GB" sz="1100" kern="1200" baseline="0">
              <a:latin typeface="Times New Roman" panose="02020603050405020304" pitchFamily="18" charset="0"/>
              <a:cs typeface="Times New Roman" panose="02020603050405020304" pitchFamily="18" charset="0"/>
            </a:rPr>
            <a:t>No responsibility can be taken for any errors or their consequences.</a:t>
          </a:r>
        </a:p>
        <a:p>
          <a:r>
            <a:rPr lang="en-GB" sz="1100" kern="1200">
              <a:latin typeface="Times New Roman" panose="02020603050405020304" pitchFamily="18" charset="0"/>
              <a:cs typeface="Times New Roman" panose="02020603050405020304" pitchFamily="18" charset="0"/>
            </a:rPr>
            <a:t>©️ 2025 </a:t>
          </a:r>
          <a:r>
            <a:rPr lang="en-GB" sz="1100" kern="1200" baseline="0">
              <a:latin typeface="Times New Roman" panose="02020603050405020304" pitchFamily="18" charset="0"/>
              <a:cs typeface="Times New Roman" panose="02020603050405020304" pitchFamily="18" charset="0"/>
            </a:rPr>
            <a:t>Alan Shepherd, </a:t>
          </a:r>
          <a:r>
            <a:rPr lang="en-GB" sz="1100" kern="1200">
              <a:latin typeface="Times New Roman" panose="02020603050405020304" pitchFamily="18" charset="0"/>
              <a:cs typeface="Times New Roman" panose="02020603050405020304" pitchFamily="18" charset="0"/>
            </a:rPr>
            <a:t>Gregor</a:t>
          </a:r>
          <a:r>
            <a:rPr lang="en-GB" sz="1100" kern="1200" baseline="0">
              <a:latin typeface="Times New Roman" panose="02020603050405020304" pitchFamily="18" charset="0"/>
              <a:cs typeface="Times New Roman" panose="02020603050405020304" pitchFamily="18" charset="0"/>
            </a:rPr>
            <a:t> Bergmann</a:t>
          </a:r>
          <a:endParaRPr lang="en-GB" sz="1100" kern="1200">
            <a:latin typeface="Times New Roman" panose="02020603050405020304" pitchFamily="18" charset="0"/>
            <a:cs typeface="Times New Roman" panose="02020603050405020304" pitchFamily="18" charset="0"/>
          </a:endParaRPr>
        </a:p>
      </xdr:txBody>
    </xdr:sp>
    <xdr:clientData/>
  </xdr:oneCellAnchor>
  <xdr:oneCellAnchor>
    <xdr:from>
      <xdr:col>0</xdr:col>
      <xdr:colOff>289984</xdr:colOff>
      <xdr:row>6</xdr:row>
      <xdr:rowOff>31751</xdr:rowOff>
    </xdr:from>
    <xdr:ext cx="5704416" cy="717119"/>
    <xdr:sp macro="" textlink="">
      <xdr:nvSpPr>
        <xdr:cNvPr id="3" name="TextBox 2">
          <a:extLst>
            <a:ext uri="{FF2B5EF4-FFF2-40B4-BE49-F238E27FC236}">
              <a16:creationId xmlns:a16="http://schemas.microsoft.com/office/drawing/2014/main" id="{56DAA379-D5F4-4F8F-EABF-A840AE4DB4D6}"/>
            </a:ext>
          </a:extLst>
        </xdr:cNvPr>
        <xdr:cNvSpPr txBox="1"/>
      </xdr:nvSpPr>
      <xdr:spPr>
        <a:xfrm>
          <a:off x="289984" y="1047751"/>
          <a:ext cx="5704416" cy="717119"/>
        </a:xfrm>
        <a:prstGeom prst="rect">
          <a:avLst/>
        </a:prstGeom>
        <a:solidFill>
          <a:srgbClr val="FFFF00">
            <a:alpha val="20784"/>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kern="1200">
              <a:latin typeface="Times New Roman" panose="02020603050405020304" pitchFamily="18" charset="0"/>
              <a:cs typeface="Times New Roman" panose="02020603050405020304" pitchFamily="18" charset="0"/>
            </a:rPr>
            <a:t>NOTE: all cells in the sheet are formatted</a:t>
          </a:r>
          <a:r>
            <a:rPr lang="en-GB" sz="1100" kern="1200" baseline="0">
              <a:latin typeface="Times New Roman" panose="02020603050405020304" pitchFamily="18" charset="0"/>
              <a:cs typeface="Times New Roman" panose="02020603050405020304" pitchFamily="18" charset="0"/>
            </a:rPr>
            <a:t> to show cells calculated by formulae with a green background. These should not be changed!</a:t>
          </a:r>
        </a:p>
        <a:p>
          <a:r>
            <a:rPr lang="en-GB" sz="1100" kern="1200" baseline="0">
              <a:latin typeface="Times New Roman" panose="02020603050405020304" pitchFamily="18" charset="0"/>
              <a:cs typeface="Times New Roman" panose="02020603050405020304" pitchFamily="18" charset="0"/>
            </a:rPr>
            <a:t>Cells where data can be entered have an orange background.</a:t>
          </a:r>
        </a:p>
        <a:p>
          <a:r>
            <a:rPr lang="en-GB" sz="1100" kern="1200" baseline="0">
              <a:latin typeface="Times New Roman" panose="02020603050405020304" pitchFamily="18" charset="0"/>
              <a:cs typeface="Times New Roman" panose="02020603050405020304" pitchFamily="18" charset="0"/>
            </a:rPr>
            <a:t>Cells with no background are titles and text.</a:t>
          </a:r>
          <a:endParaRPr lang="en-GB" sz="1100" kern="1200">
            <a:latin typeface="Times New Roman" panose="02020603050405020304" pitchFamily="18" charset="0"/>
            <a:cs typeface="Times New Roman" panose="02020603050405020304" pitchFamily="18" charset="0"/>
          </a:endParaRPr>
        </a:p>
      </xdr:txBody>
    </xdr:sp>
    <xdr:clientData/>
  </xdr:oneCellAnchor>
  <xdr:twoCellAnchor>
    <xdr:from>
      <xdr:col>5</xdr:col>
      <xdr:colOff>5080</xdr:colOff>
      <xdr:row>20</xdr:row>
      <xdr:rowOff>172720</xdr:rowOff>
    </xdr:from>
    <xdr:to>
      <xdr:col>11</xdr:col>
      <xdr:colOff>386080</xdr:colOff>
      <xdr:row>40</xdr:row>
      <xdr:rowOff>172720</xdr:rowOff>
    </xdr:to>
    <xdr:sp macro="" textlink="">
      <xdr:nvSpPr>
        <xdr:cNvPr id="4" name="TextBox 3">
          <a:extLst>
            <a:ext uri="{FF2B5EF4-FFF2-40B4-BE49-F238E27FC236}">
              <a16:creationId xmlns:a16="http://schemas.microsoft.com/office/drawing/2014/main" id="{EBE03460-2AC7-2932-E86B-4CE08B9C0822}"/>
            </a:ext>
          </a:extLst>
        </xdr:cNvPr>
        <xdr:cNvSpPr txBox="1"/>
      </xdr:nvSpPr>
      <xdr:spPr>
        <a:xfrm>
          <a:off x="8224520" y="4236720"/>
          <a:ext cx="6080760" cy="4064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Changes</a:t>
          </a:r>
        </a:p>
        <a:p>
          <a:r>
            <a:rPr lang="en-GB" sz="1200" b="0"/>
            <a:t>V02.01	31.10.25</a:t>
          </a:r>
        </a:p>
        <a:p>
          <a:r>
            <a:rPr lang="en-GB" sz="1200" b="0"/>
            <a:t>Instrument</a:t>
          </a:r>
          <a:r>
            <a:rPr lang="en-GB" sz="1200" b="0" baseline="0"/>
            <a:t> 'Bergmann, Leipzig 10: typo in tab name, referenced a temperament that had been deleted.</a:t>
          </a:r>
        </a:p>
        <a:p>
          <a:r>
            <a:rPr lang="en-GB" sz="1200" b="0" baseline="0"/>
            <a:t>Some sheets were not procected.</a:t>
          </a:r>
          <a:endParaRPr lang="en-GB" sz="1200" b="0"/>
        </a:p>
        <a:p>
          <a:r>
            <a:rPr lang="en-GB" sz="1200" b="0"/>
            <a:t>V02.00	17.10.25</a:t>
          </a:r>
        </a:p>
        <a:p>
          <a:r>
            <a:rPr lang="en-GB" sz="1200" b="0" baseline="0"/>
            <a:t>in 'Commas and Cents' sheet: </a:t>
          </a:r>
          <a:r>
            <a:rPr lang="en-GB" sz="1200" b="0"/>
            <a:t>Fifths</a:t>
          </a:r>
          <a:r>
            <a:rPr lang="en-GB" sz="1200" b="0" baseline="0"/>
            <a:t> and Sevenths added </a:t>
          </a:r>
          <a:endParaRPr lang="en-GB" sz="1200" b="0"/>
        </a:p>
        <a:p>
          <a:r>
            <a:rPr lang="en-GB" sz="1200" b="0"/>
            <a:t>Template "Instrument Orgran": renamed to "Template "Instrument by Lengths".</a:t>
          </a:r>
        </a:p>
        <a:p>
          <a:r>
            <a:rPr lang="en-GB" sz="1200" b="0" baseline="0"/>
            <a:t>Templates "Instrument by Lengths", "from ET Fifths Order" and "from ET scale Order": </a:t>
          </a:r>
          <a:r>
            <a:rPr lang="en-GB" sz="1200" b="0"/>
            <a:t>New table to show fifths in</a:t>
          </a:r>
          <a:r>
            <a:rPr lang="en-GB" sz="1200" b="0" baseline="0"/>
            <a:t> fractions of commas added.</a:t>
          </a:r>
          <a:endParaRPr lang="en-GB" sz="1200" b="0"/>
        </a:p>
        <a:p>
          <a:r>
            <a:rPr lang="en-GB" sz="1200"/>
            <a:t>Overview: links to Best Fit Fretting and Valotti-Young</a:t>
          </a:r>
          <a:r>
            <a:rPr lang="en-GB" sz="1200" baseline="0"/>
            <a:t> sheets were</a:t>
          </a:r>
          <a:r>
            <a:rPr lang="en-GB" sz="1200"/>
            <a:t> broken.</a:t>
          </a:r>
        </a:p>
        <a:p>
          <a:r>
            <a:rPr lang="en-GB" sz="1200"/>
            <a:t>Added "Template for Bridge Effect on Fretting".</a:t>
          </a:r>
        </a:p>
        <a:p>
          <a:r>
            <a:rPr lang="en-GB" sz="1200"/>
            <a:t>Added Instruement " Tournay-Kather Tannenberg, 1992".</a:t>
          </a:r>
        </a:p>
        <a:p>
          <a:r>
            <a:rPr lang="en-GB" sz="1200"/>
            <a:t>V01.04	25.08.25</a:t>
          </a:r>
        </a:p>
        <a:p>
          <a:r>
            <a:rPr lang="en-GB" sz="1200"/>
            <a:t>Grote 5th redone from source</a:t>
          </a:r>
          <a:r>
            <a:rPr lang="en-GB" sz="1200" baseline="0"/>
            <a:t> </a:t>
          </a:r>
          <a:r>
            <a:rPr lang="en-GB" sz="1200"/>
            <a:t>based on 1/5th comma.</a:t>
          </a:r>
        </a:p>
        <a:p>
          <a:r>
            <a:rPr lang="en-GB" sz="1200"/>
            <a:t>V01.03	22.08.25</a:t>
          </a:r>
        </a:p>
        <a:p>
          <a:r>
            <a:rPr lang="en-GB" sz="1200"/>
            <a:t>Bergmann, Leipzig</a:t>
          </a:r>
          <a:r>
            <a:rPr lang="en-GB" sz="1200" baseline="0"/>
            <a:t> 10, 2025 and Grote 5th added.</a:t>
          </a:r>
          <a:endParaRPr lang="en-GB" sz="1200"/>
        </a:p>
        <a:p>
          <a:r>
            <a:rPr lang="en-GB" sz="1200"/>
            <a:t>Template from Equal</a:t>
          </a:r>
          <a:r>
            <a:rPr lang="en-GB" sz="1200" baseline="0"/>
            <a:t> Temperament- fifths order: some titles in thirds compared to just were missing.</a:t>
          </a:r>
          <a:endParaRPr lang="en-GB" sz="1200"/>
        </a:p>
        <a:p>
          <a:r>
            <a:rPr lang="en-GB" sz="1200"/>
            <a:t>Best Fit Temperament sheet: had "enter an</a:t>
          </a:r>
          <a:r>
            <a:rPr lang="en-GB" sz="1200" baseline="0"/>
            <a:t> 'instrument' sheet name" - corrected to 'temperament' sheet.</a:t>
          </a:r>
          <a:endParaRPr lang="en-GB" sz="1200"/>
        </a:p>
        <a:p>
          <a:r>
            <a:rPr lang="en-GB" sz="1200"/>
            <a:t>Some typos</a:t>
          </a:r>
          <a:r>
            <a:rPr lang="en-GB" sz="1200" baseline="0"/>
            <a:t> corrected.</a:t>
          </a:r>
          <a:endParaRPr lang="en-GB" sz="1200"/>
        </a:p>
        <a:p>
          <a:r>
            <a:rPr lang="en-GB" sz="1200"/>
            <a:t>V01.02	04.08.25</a:t>
          </a:r>
        </a:p>
        <a:p>
          <a:r>
            <a:rPr lang="en-GB" sz="1200"/>
            <a:t>Monochord sheet:</a:t>
          </a:r>
          <a:r>
            <a:rPr lang="en-GB" sz="1200" baseline="0"/>
            <a:t> Harmonics nearest notes were wrong.</a:t>
          </a:r>
          <a:endParaRPr lang="en-GB" sz="1200"/>
        </a:p>
        <a:p>
          <a:r>
            <a:rPr lang="en-GB" sz="1200"/>
            <a:t>V01.01</a:t>
          </a:r>
          <a:r>
            <a:rPr lang="en-GB" sz="1200" baseline="0"/>
            <a:t>	31.07.25 </a:t>
          </a:r>
        </a:p>
        <a:p>
          <a:r>
            <a:rPr lang="en-GB" sz="1200" baseline="0"/>
            <a:t>Temperament Sheets: Octave Calculator was multiplying by 2 rather than powers of 2.</a:t>
          </a:r>
        </a:p>
        <a:p>
          <a:r>
            <a:rPr lang="en-GB" sz="1200" baseline="0"/>
            <a:t>Instrument Sheets: Graphic titles now gives temperament from BDO Any.</a:t>
          </a:r>
          <a:endParaRPr lang="en-GB" sz="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819675</xdr:colOff>
      <xdr:row>24</xdr:row>
      <xdr:rowOff>33401</xdr:rowOff>
    </xdr:from>
    <xdr:to>
      <xdr:col>11</xdr:col>
      <xdr:colOff>157895</xdr:colOff>
      <xdr:row>37</xdr:row>
      <xdr:rowOff>111841</xdr:rowOff>
    </xdr:to>
    <xdr:graphicFrame macro="">
      <xdr:nvGraphicFramePr>
        <xdr:cNvPr id="2" name="Chart 1">
          <a:extLst>
            <a:ext uri="{FF2B5EF4-FFF2-40B4-BE49-F238E27FC236}">
              <a16:creationId xmlns:a16="http://schemas.microsoft.com/office/drawing/2014/main" id="{9A098BCF-E40E-314D-A6DB-318049899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24</xdr:row>
      <xdr:rowOff>33401</xdr:rowOff>
    </xdr:from>
    <xdr:to>
      <xdr:col>16</xdr:col>
      <xdr:colOff>216568</xdr:colOff>
      <xdr:row>37</xdr:row>
      <xdr:rowOff>111841</xdr:rowOff>
    </xdr:to>
    <xdr:graphicFrame macro="">
      <xdr:nvGraphicFramePr>
        <xdr:cNvPr id="3" name="Chart 2">
          <a:extLst>
            <a:ext uri="{FF2B5EF4-FFF2-40B4-BE49-F238E27FC236}">
              <a16:creationId xmlns:a16="http://schemas.microsoft.com/office/drawing/2014/main" id="{F67EDFE3-E80C-9D46-92CC-98AF4B741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24</xdr:row>
      <xdr:rowOff>84201</xdr:rowOff>
    </xdr:from>
    <xdr:to>
      <xdr:col>26</xdr:col>
      <xdr:colOff>330246</xdr:colOff>
      <xdr:row>37</xdr:row>
      <xdr:rowOff>162641</xdr:rowOff>
    </xdr:to>
    <xdr:graphicFrame macro="">
      <xdr:nvGraphicFramePr>
        <xdr:cNvPr id="4" name="Chart 3">
          <a:extLst>
            <a:ext uri="{FF2B5EF4-FFF2-40B4-BE49-F238E27FC236}">
              <a16:creationId xmlns:a16="http://schemas.microsoft.com/office/drawing/2014/main" id="{7E5ADB7D-1762-EF49-B1D3-BCC4E4041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24</xdr:row>
      <xdr:rowOff>56206</xdr:rowOff>
    </xdr:from>
    <xdr:ext cx="4882714" cy="1029513"/>
    <xdr:sp macro="" textlink="" fLocksText="0">
      <xdr:nvSpPr>
        <xdr:cNvPr id="5" name="TextBox 4">
          <a:extLst>
            <a:ext uri="{FF2B5EF4-FFF2-40B4-BE49-F238E27FC236}">
              <a16:creationId xmlns:a16="http://schemas.microsoft.com/office/drawing/2014/main" id="{793EB6FF-C0C9-D643-A5EA-1E2304B5F6A4}"/>
            </a:ext>
          </a:extLst>
        </xdr:cNvPr>
        <xdr:cNvSpPr txBox="1"/>
      </xdr:nvSpPr>
      <xdr:spPr>
        <a:xfrm>
          <a:off x="589472" y="5402906"/>
          <a:ext cx="4882714" cy="1029513"/>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ct val="100000"/>
            </a:lnSpc>
          </a:pPr>
          <a:r>
            <a:rPr lang="en-GB" sz="1100" b="1" u="none" strike="noStrike">
              <a:solidFill>
                <a:schemeClr val="dk1"/>
              </a:solidFill>
              <a:uFillTx/>
              <a:latin typeface="Times New Roman"/>
            </a:rPr>
            <a:t>Notes</a:t>
          </a:r>
          <a:endParaRPr lang="de-DE" sz="1100" b="0" u="none" strike="noStrike">
            <a:uFillTx/>
            <a:latin typeface="Times New Roman"/>
          </a:endParaRPr>
        </a:p>
        <a:p>
          <a:pPr>
            <a:lnSpc>
              <a:spcPct val="100000"/>
            </a:lnSpc>
          </a:pPr>
          <a:endParaRPr lang="de-DE" sz="1100" b="0" u="none" strike="noStrike">
            <a:uFillTx/>
            <a:latin typeface="Times New Roman"/>
          </a:endParaRPr>
        </a:p>
        <a:p>
          <a:pPr>
            <a:lnSpc>
              <a:spcPct val="100000"/>
            </a:lnSpc>
          </a:pPr>
          <a:r>
            <a:rPr lang="de-DE" sz="1100" b="0" u="none" strike="noStrike">
              <a:solidFill>
                <a:schemeClr val="dk1"/>
              </a:solidFill>
              <a:uFillTx/>
              <a:latin typeface="Times New Roman"/>
              <a:ea typeface="Microsoft YaHei"/>
            </a:rPr>
            <a:t>Wahlström 1752, Hallnäs Hembygdsförening Hallnäs (Uppl.), Sweden</a:t>
          </a:r>
          <a:endParaRPr lang="de-DE" sz="1100" b="0" u="none" strike="noStrike">
            <a:uFillTx/>
            <a:latin typeface="Times New Roman"/>
          </a:endParaRPr>
        </a:p>
        <a:p>
          <a:pPr>
            <a:lnSpc>
              <a:spcPct val="100000"/>
            </a:lnSpc>
          </a:pPr>
          <a:endParaRPr lang="de-DE" sz="1100" b="0" u="none" strike="noStrike">
            <a:uFillTx/>
            <a:latin typeface="Times New Roman"/>
          </a:endParaRPr>
        </a:p>
        <a:p>
          <a:pPr>
            <a:lnSpc>
              <a:spcPct val="100000"/>
            </a:lnSpc>
          </a:pPr>
          <a:r>
            <a:rPr lang="de-DE" sz="1100" b="0" u="none" strike="noStrike">
              <a:solidFill>
                <a:schemeClr val="dk1"/>
              </a:solidFill>
              <a:uFillTx/>
              <a:latin typeface="Times New Roman"/>
              <a:ea typeface="Microsoft YaHei"/>
            </a:rPr>
            <a:t>The string lengths are taken from a paper copy of Robin Blanton’s drawing, GOArt 2001</a:t>
          </a:r>
        </a:p>
      </xdr:txBody>
    </xdr:sp>
    <xdr:clientData fLocksWithSheet="0"/>
  </xdr:oneCellAnchor>
  <xdr:twoCellAnchor>
    <xdr:from>
      <xdr:col>16</xdr:col>
      <xdr:colOff>488852</xdr:colOff>
      <xdr:row>24</xdr:row>
      <xdr:rowOff>33401</xdr:rowOff>
    </xdr:from>
    <xdr:to>
      <xdr:col>21</xdr:col>
      <xdr:colOff>254356</xdr:colOff>
      <xdr:row>37</xdr:row>
      <xdr:rowOff>111841</xdr:rowOff>
    </xdr:to>
    <xdr:graphicFrame macro="">
      <xdr:nvGraphicFramePr>
        <xdr:cNvPr id="6" name="Chart 5">
          <a:extLst>
            <a:ext uri="{FF2B5EF4-FFF2-40B4-BE49-F238E27FC236}">
              <a16:creationId xmlns:a16="http://schemas.microsoft.com/office/drawing/2014/main" id="{B8FB1417-2F20-ED40-80C0-089CC637C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819675</xdr:colOff>
      <xdr:row>23</xdr:row>
      <xdr:rowOff>33401</xdr:rowOff>
    </xdr:from>
    <xdr:to>
      <xdr:col>11</xdr:col>
      <xdr:colOff>157895</xdr:colOff>
      <xdr:row>36</xdr:row>
      <xdr:rowOff>111841</xdr:rowOff>
    </xdr:to>
    <xdr:graphicFrame macro="">
      <xdr:nvGraphicFramePr>
        <xdr:cNvPr id="2" name="Chart 1">
          <a:extLst>
            <a:ext uri="{FF2B5EF4-FFF2-40B4-BE49-F238E27FC236}">
              <a16:creationId xmlns:a16="http://schemas.microsoft.com/office/drawing/2014/main" id="{38D2C68A-75B9-8F49-841F-FCF419A9E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23</xdr:row>
      <xdr:rowOff>33401</xdr:rowOff>
    </xdr:from>
    <xdr:to>
      <xdr:col>16</xdr:col>
      <xdr:colOff>216568</xdr:colOff>
      <xdr:row>36</xdr:row>
      <xdr:rowOff>111841</xdr:rowOff>
    </xdr:to>
    <xdr:graphicFrame macro="">
      <xdr:nvGraphicFramePr>
        <xdr:cNvPr id="3" name="Chart 2">
          <a:extLst>
            <a:ext uri="{FF2B5EF4-FFF2-40B4-BE49-F238E27FC236}">
              <a16:creationId xmlns:a16="http://schemas.microsoft.com/office/drawing/2014/main" id="{3A3462FC-53F3-3143-8B2D-B8B05E044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23</xdr:row>
      <xdr:rowOff>84201</xdr:rowOff>
    </xdr:from>
    <xdr:to>
      <xdr:col>26</xdr:col>
      <xdr:colOff>330246</xdr:colOff>
      <xdr:row>36</xdr:row>
      <xdr:rowOff>162641</xdr:rowOff>
    </xdr:to>
    <xdr:graphicFrame macro="">
      <xdr:nvGraphicFramePr>
        <xdr:cNvPr id="4" name="Chart 3">
          <a:extLst>
            <a:ext uri="{FF2B5EF4-FFF2-40B4-BE49-F238E27FC236}">
              <a16:creationId xmlns:a16="http://schemas.microsoft.com/office/drawing/2014/main" id="{D8AA616A-30EE-1E4E-B090-C2A6ABC00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23</xdr:row>
      <xdr:rowOff>56206</xdr:rowOff>
    </xdr:from>
    <xdr:ext cx="4882714" cy="248530"/>
    <xdr:sp macro="" textlink="" fLocksText="0">
      <xdr:nvSpPr>
        <xdr:cNvPr id="5" name="TextBox 4">
          <a:extLst>
            <a:ext uri="{FF2B5EF4-FFF2-40B4-BE49-F238E27FC236}">
              <a16:creationId xmlns:a16="http://schemas.microsoft.com/office/drawing/2014/main" id="{78D333BF-E691-B04C-B274-B02480057477}"/>
            </a:ext>
          </a:extLst>
        </xdr:cNvPr>
        <xdr:cNvSpPr txBox="1"/>
      </xdr:nvSpPr>
      <xdr:spPr>
        <a:xfrm>
          <a:off x="589472" y="5415606"/>
          <a:ext cx="4882714"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twoCellAnchor>
    <xdr:from>
      <xdr:col>16</xdr:col>
      <xdr:colOff>488852</xdr:colOff>
      <xdr:row>23</xdr:row>
      <xdr:rowOff>33401</xdr:rowOff>
    </xdr:from>
    <xdr:to>
      <xdr:col>21</xdr:col>
      <xdr:colOff>254356</xdr:colOff>
      <xdr:row>36</xdr:row>
      <xdr:rowOff>111841</xdr:rowOff>
    </xdr:to>
    <xdr:graphicFrame macro="">
      <xdr:nvGraphicFramePr>
        <xdr:cNvPr id="6" name="Chart 5">
          <a:extLst>
            <a:ext uri="{FF2B5EF4-FFF2-40B4-BE49-F238E27FC236}">
              <a16:creationId xmlns:a16="http://schemas.microsoft.com/office/drawing/2014/main" id="{F5765DEA-852D-AE4D-8E68-44D0E6195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819720</xdr:colOff>
      <xdr:row>24</xdr:row>
      <xdr:rowOff>33480</xdr:rowOff>
    </xdr:from>
    <xdr:to>
      <xdr:col>11</xdr:col>
      <xdr:colOff>157680</xdr:colOff>
      <xdr:row>37</xdr:row>
      <xdr:rowOff>129240</xdr:rowOff>
    </xdr:to>
    <xdr:graphicFrame macro="">
      <xdr:nvGraphicFramePr>
        <xdr:cNvPr id="2" name="Chart 4">
          <a:extLst>
            <a:ext uri="{FF2B5EF4-FFF2-40B4-BE49-F238E27FC236}">
              <a16:creationId xmlns:a16="http://schemas.microsoft.com/office/drawing/2014/main" id="{24787BAA-7C53-EF4C-BA48-DA970112F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451080</xdr:colOff>
      <xdr:row>24</xdr:row>
      <xdr:rowOff>33480</xdr:rowOff>
    </xdr:from>
    <xdr:to>
      <xdr:col>16</xdr:col>
      <xdr:colOff>216360</xdr:colOff>
      <xdr:row>37</xdr:row>
      <xdr:rowOff>129240</xdr:rowOff>
    </xdr:to>
    <xdr:graphicFrame macro="">
      <xdr:nvGraphicFramePr>
        <xdr:cNvPr id="3" name="Chart 6">
          <a:extLst>
            <a:ext uri="{FF2B5EF4-FFF2-40B4-BE49-F238E27FC236}">
              <a16:creationId xmlns:a16="http://schemas.microsoft.com/office/drawing/2014/main" id="{6E9CE36A-21B5-D34C-8193-204238840D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564840</xdr:colOff>
      <xdr:row>24</xdr:row>
      <xdr:rowOff>84240</xdr:rowOff>
    </xdr:from>
    <xdr:to>
      <xdr:col>26</xdr:col>
      <xdr:colOff>330120</xdr:colOff>
      <xdr:row>37</xdr:row>
      <xdr:rowOff>180000</xdr:rowOff>
    </xdr:to>
    <xdr:graphicFrame macro="">
      <xdr:nvGraphicFramePr>
        <xdr:cNvPr id="4" name="Chart 7">
          <a:extLst>
            <a:ext uri="{FF2B5EF4-FFF2-40B4-BE49-F238E27FC236}">
              <a16:creationId xmlns:a16="http://schemas.microsoft.com/office/drawing/2014/main" id="{887EEB2F-554C-944C-88AD-A238EC266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373680</xdr:colOff>
      <xdr:row>24</xdr:row>
      <xdr:rowOff>56160</xdr:rowOff>
    </xdr:from>
    <xdr:to>
      <xdr:col>7</xdr:col>
      <xdr:colOff>272520</xdr:colOff>
      <xdr:row>25</xdr:row>
      <xdr:rowOff>100440</xdr:rowOff>
    </xdr:to>
    <xdr:sp macro="" textlink="">
      <xdr:nvSpPr>
        <xdr:cNvPr id="5" name="TextBox 7">
          <a:extLst>
            <a:ext uri="{FF2B5EF4-FFF2-40B4-BE49-F238E27FC236}">
              <a16:creationId xmlns:a16="http://schemas.microsoft.com/office/drawing/2014/main" id="{21C9D0B5-DC07-3C4C-A002-50FC8360EEAD}"/>
            </a:ext>
          </a:extLst>
        </xdr:cNvPr>
        <xdr:cNvSpPr/>
      </xdr:nvSpPr>
      <xdr:spPr>
        <a:xfrm>
          <a:off x="589580" y="5618760"/>
          <a:ext cx="5385240" cy="247480"/>
        </a:xfrm>
        <a:prstGeom prst="rect">
          <a:avLst/>
        </a:prstGeom>
        <a:solidFill>
          <a:srgbClr val="83CBEB">
            <a:alpha val="21000"/>
          </a:srgbClr>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en-GB" sz="1100" b="1" u="none" strike="noStrike">
              <a:solidFill>
                <a:schemeClr val="dk1"/>
              </a:solidFill>
              <a:uFillTx/>
              <a:latin typeface="Times New Roman"/>
            </a:rPr>
            <a:t>Notes</a:t>
          </a:r>
          <a:endParaRPr lang="de-DE" sz="1100" b="0" u="none" strike="noStrike">
            <a:uFillTx/>
            <a:latin typeface="Times New Roman"/>
          </a:endParaRPr>
        </a:p>
      </xdr:txBody>
    </xdr:sp>
    <xdr:clientData/>
  </xdr:twoCellAnchor>
  <xdr:twoCellAnchor editAs="oneCell">
    <xdr:from>
      <xdr:col>16</xdr:col>
      <xdr:colOff>488880</xdr:colOff>
      <xdr:row>24</xdr:row>
      <xdr:rowOff>33480</xdr:rowOff>
    </xdr:from>
    <xdr:to>
      <xdr:col>21</xdr:col>
      <xdr:colOff>254160</xdr:colOff>
      <xdr:row>37</xdr:row>
      <xdr:rowOff>129240</xdr:rowOff>
    </xdr:to>
    <xdr:graphicFrame macro="">
      <xdr:nvGraphicFramePr>
        <xdr:cNvPr id="6" name="Chart 8">
          <a:extLst>
            <a:ext uri="{FF2B5EF4-FFF2-40B4-BE49-F238E27FC236}">
              <a16:creationId xmlns:a16="http://schemas.microsoft.com/office/drawing/2014/main" id="{2A3005E3-82FC-D64B-8600-A496E68FD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22</xdr:col>
      <xdr:colOff>2308</xdr:colOff>
      <xdr:row>2</xdr:row>
      <xdr:rowOff>16568</xdr:rowOff>
    </xdr:from>
    <xdr:to>
      <xdr:col>25</xdr:col>
      <xdr:colOff>585808</xdr:colOff>
      <xdr:row>9</xdr:row>
      <xdr:rowOff>167768</xdr:rowOff>
    </xdr:to>
    <xdr:graphicFrame macro="">
      <xdr:nvGraphicFramePr>
        <xdr:cNvPr id="2" name="Chart 1">
          <a:extLst>
            <a:ext uri="{FF2B5EF4-FFF2-40B4-BE49-F238E27FC236}">
              <a16:creationId xmlns:a16="http://schemas.microsoft.com/office/drawing/2014/main" id="{60A476C4-593F-E047-8466-5708FC9F8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2309</xdr:colOff>
      <xdr:row>10</xdr:row>
      <xdr:rowOff>60035</xdr:rowOff>
    </xdr:from>
    <xdr:to>
      <xdr:col>25</xdr:col>
      <xdr:colOff>585809</xdr:colOff>
      <xdr:row>20</xdr:row>
      <xdr:rowOff>135035</xdr:rowOff>
    </xdr:to>
    <xdr:graphicFrame macro="">
      <xdr:nvGraphicFramePr>
        <xdr:cNvPr id="3" name="Chart 2">
          <a:extLst>
            <a:ext uri="{FF2B5EF4-FFF2-40B4-BE49-F238E27FC236}">
              <a16:creationId xmlns:a16="http://schemas.microsoft.com/office/drawing/2014/main" id="{93539A36-38B7-9247-9916-BB56509366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394954" cy="404726"/>
    <xdr:sp macro="" textlink="">
      <xdr:nvSpPr>
        <xdr:cNvPr id="4" name="TextBox 3">
          <a:extLst>
            <a:ext uri="{FF2B5EF4-FFF2-40B4-BE49-F238E27FC236}">
              <a16:creationId xmlns:a16="http://schemas.microsoft.com/office/drawing/2014/main" id="{F15287A4-0795-9F48-8866-AA2E7D910F39}"/>
            </a:ext>
          </a:extLst>
        </xdr:cNvPr>
        <xdr:cNvSpPr txBox="1"/>
      </xdr:nvSpPr>
      <xdr:spPr>
        <a:xfrm>
          <a:off x="10274300" y="228600"/>
          <a:ext cx="5394954" cy="40472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a:latin typeface="Times New Roman" panose="02020603050405020304" pitchFamily="18" charset="0"/>
              <a:cs typeface="Times New Roman" panose="02020603050405020304" pitchFamily="18" charset="0"/>
            </a:rPr>
            <a:t>Notes</a:t>
          </a:r>
        </a:p>
        <a:p>
          <a:endParaRPr lang="en-GB" sz="1100" b="1" kern="1200" baseline="0">
            <a:latin typeface="Times New Roman" panose="02020603050405020304" pitchFamily="18" charset="0"/>
            <a:cs typeface="Times New Roman" panose="02020603050405020304" pitchFamily="18" charset="0"/>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21</xdr:col>
      <xdr:colOff>307108</xdr:colOff>
      <xdr:row>3</xdr:row>
      <xdr:rowOff>143568</xdr:rowOff>
    </xdr:from>
    <xdr:to>
      <xdr:col>25</xdr:col>
      <xdr:colOff>630508</xdr:colOff>
      <xdr:row>11</xdr:row>
      <xdr:rowOff>129668</xdr:rowOff>
    </xdr:to>
    <xdr:graphicFrame macro="">
      <xdr:nvGraphicFramePr>
        <xdr:cNvPr id="2" name="Chart 1">
          <a:extLst>
            <a:ext uri="{FF2B5EF4-FFF2-40B4-BE49-F238E27FC236}">
              <a16:creationId xmlns:a16="http://schemas.microsoft.com/office/drawing/2014/main" id="{75DF595D-A899-464E-8DF9-A2D50B1B9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307109</xdr:colOff>
      <xdr:row>12</xdr:row>
      <xdr:rowOff>21935</xdr:rowOff>
    </xdr:from>
    <xdr:to>
      <xdr:col>25</xdr:col>
      <xdr:colOff>630509</xdr:colOff>
      <xdr:row>22</xdr:row>
      <xdr:rowOff>96935</xdr:rowOff>
    </xdr:to>
    <xdr:graphicFrame macro="">
      <xdr:nvGraphicFramePr>
        <xdr:cNvPr id="3" name="Chart 2">
          <a:extLst>
            <a:ext uri="{FF2B5EF4-FFF2-40B4-BE49-F238E27FC236}">
              <a16:creationId xmlns:a16="http://schemas.microsoft.com/office/drawing/2014/main" id="{B1C54C52-6C02-5E40-A729-C201DBCDE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0</xdr:row>
      <xdr:rowOff>215900</xdr:rowOff>
    </xdr:from>
    <xdr:ext cx="5394954" cy="404726"/>
    <xdr:sp macro="" textlink="">
      <xdr:nvSpPr>
        <xdr:cNvPr id="4" name="TextBox 3">
          <a:extLst>
            <a:ext uri="{FF2B5EF4-FFF2-40B4-BE49-F238E27FC236}">
              <a16:creationId xmlns:a16="http://schemas.microsoft.com/office/drawing/2014/main" id="{B542F8FA-F4E2-FB45-9B19-8FC44F9C0155}"/>
            </a:ext>
          </a:extLst>
        </xdr:cNvPr>
        <xdr:cNvSpPr txBox="1"/>
      </xdr:nvSpPr>
      <xdr:spPr>
        <a:xfrm>
          <a:off x="9944100" y="215900"/>
          <a:ext cx="5394954" cy="40472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a:latin typeface="Times New Roman" panose="02020603050405020304" pitchFamily="18" charset="0"/>
              <a:cs typeface="Times New Roman" panose="02020603050405020304" pitchFamily="18" charset="0"/>
            </a:rPr>
            <a:t>Equal</a:t>
          </a:r>
          <a:r>
            <a:rPr lang="en-GB" sz="1100" b="1" kern="1200" baseline="0">
              <a:latin typeface="Times New Roman" panose="02020603050405020304" pitchFamily="18" charset="0"/>
              <a:cs typeface="Times New Roman" panose="02020603050405020304" pitchFamily="18" charset="0"/>
            </a:rPr>
            <a:t> Temperament</a:t>
          </a:r>
        </a:p>
        <a:p>
          <a:r>
            <a:rPr lang="en-GB" sz="1100" kern="1200">
              <a:latin typeface="Times New Roman" panose="02020603050405020304" pitchFamily="18" charset="0"/>
              <a:cs typeface="Times New Roman" panose="02020603050405020304" pitchFamily="18" charset="0"/>
            </a:rPr>
            <a:t>Defined by 100 cent steps between semitones.</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21</xdr:col>
      <xdr:colOff>154708</xdr:colOff>
      <xdr:row>4</xdr:row>
      <xdr:rowOff>54668</xdr:rowOff>
    </xdr:from>
    <xdr:to>
      <xdr:col>25</xdr:col>
      <xdr:colOff>97108</xdr:colOff>
      <xdr:row>11</xdr:row>
      <xdr:rowOff>40768</xdr:rowOff>
    </xdr:to>
    <xdr:graphicFrame macro="">
      <xdr:nvGraphicFramePr>
        <xdr:cNvPr id="2" name="Chart 1">
          <a:extLst>
            <a:ext uri="{FF2B5EF4-FFF2-40B4-BE49-F238E27FC236}">
              <a16:creationId xmlns:a16="http://schemas.microsoft.com/office/drawing/2014/main" id="{1B54B8A5-9E10-1D4C-A9A1-7C0447670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154709</xdr:colOff>
      <xdr:row>11</xdr:row>
      <xdr:rowOff>123535</xdr:rowOff>
    </xdr:from>
    <xdr:to>
      <xdr:col>25</xdr:col>
      <xdr:colOff>97109</xdr:colOff>
      <xdr:row>22</xdr:row>
      <xdr:rowOff>8035</xdr:rowOff>
    </xdr:to>
    <xdr:graphicFrame macro="">
      <xdr:nvGraphicFramePr>
        <xdr:cNvPr id="3" name="Chart 2">
          <a:extLst>
            <a:ext uri="{FF2B5EF4-FFF2-40B4-BE49-F238E27FC236}">
              <a16:creationId xmlns:a16="http://schemas.microsoft.com/office/drawing/2014/main" id="{511325B7-48B6-874D-AD2C-D40A01779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185709"/>
    <xdr:sp macro="" textlink="" fLocksText="0">
      <xdr:nvSpPr>
        <xdr:cNvPr id="4" name="TextBox 3">
          <a:extLst>
            <a:ext uri="{FF2B5EF4-FFF2-40B4-BE49-F238E27FC236}">
              <a16:creationId xmlns:a16="http://schemas.microsoft.com/office/drawing/2014/main" id="{9B706D12-1B74-5F43-92FA-2A5AAEEB0A0D}"/>
            </a:ext>
          </a:extLst>
        </xdr:cNvPr>
        <xdr:cNvSpPr txBox="1"/>
      </xdr:nvSpPr>
      <xdr:spPr>
        <a:xfrm>
          <a:off x="10274300" y="228600"/>
          <a:ext cx="5486400" cy="118570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b="0" kern="1200" baseline="0">
              <a:latin typeface="Times New Roman" panose="02020603050405020304" pitchFamily="18" charset="0"/>
              <a:cs typeface="Times New Roman" panose="02020603050405020304" pitchFamily="18" charset="0"/>
            </a:rPr>
            <a:t>Tempered according to Benderler's practice to have a maximum of three consecutive pure fifths, to avoid Pythagorean thirds; but the comma is distributed over five fifths. This results in the widest thirds being somewhat worse than Bendeler (+4/5 instead of +3/4 comma), but it gives better fifths and a more pronounced key character. </a:t>
          </a:r>
        </a:p>
        <a:p>
          <a:r>
            <a:rPr lang="en-GB" sz="1100" b="0" kern="1200" baseline="0">
              <a:latin typeface="Times New Roman" panose="02020603050405020304" pitchFamily="18" charset="0"/>
              <a:cs typeface="Times New Roman" panose="02020603050405020304" pitchFamily="18" charset="0"/>
            </a:rPr>
            <a:t>[Johannes Grote. Vorschlag für eine ungleichstufige zirkulierende Temperatur.  Nov. 2024 unpublished]Grote 5th</a:t>
          </a:r>
        </a:p>
      </xdr:txBody>
    </xdr:sp>
    <xdr:clientData fLocksWithSheet="0"/>
  </xdr:oneCellAnchor>
</xdr:wsDr>
</file>

<file path=xl/drawings/drawing16.xml><?xml version="1.0" encoding="utf-8"?>
<xdr:wsDr xmlns:xdr="http://schemas.openxmlformats.org/drawingml/2006/spreadsheetDrawing" xmlns:a="http://schemas.openxmlformats.org/drawingml/2006/main">
  <xdr:twoCellAnchor>
    <xdr:from>
      <xdr:col>21</xdr:col>
      <xdr:colOff>154708</xdr:colOff>
      <xdr:row>4</xdr:row>
      <xdr:rowOff>80068</xdr:rowOff>
    </xdr:from>
    <xdr:to>
      <xdr:col>25</xdr:col>
      <xdr:colOff>97108</xdr:colOff>
      <xdr:row>12</xdr:row>
      <xdr:rowOff>66168</xdr:rowOff>
    </xdr:to>
    <xdr:graphicFrame macro="">
      <xdr:nvGraphicFramePr>
        <xdr:cNvPr id="2" name="Chart 1">
          <a:extLst>
            <a:ext uri="{FF2B5EF4-FFF2-40B4-BE49-F238E27FC236}">
              <a16:creationId xmlns:a16="http://schemas.microsoft.com/office/drawing/2014/main" id="{15B9DF5E-8D96-3E43-A029-41170B9B1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154709</xdr:colOff>
      <xdr:row>12</xdr:row>
      <xdr:rowOff>148935</xdr:rowOff>
    </xdr:from>
    <xdr:to>
      <xdr:col>25</xdr:col>
      <xdr:colOff>97109</xdr:colOff>
      <xdr:row>23</xdr:row>
      <xdr:rowOff>33435</xdr:rowOff>
    </xdr:to>
    <xdr:graphicFrame macro="">
      <xdr:nvGraphicFramePr>
        <xdr:cNvPr id="3" name="Chart 2">
          <a:extLst>
            <a:ext uri="{FF2B5EF4-FFF2-40B4-BE49-F238E27FC236}">
              <a16:creationId xmlns:a16="http://schemas.microsoft.com/office/drawing/2014/main" id="{BC6C9E1A-826A-874E-AEAD-4B146642A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717119"/>
    <xdr:sp macro="" textlink="" fLocksText="0">
      <xdr:nvSpPr>
        <xdr:cNvPr id="4" name="TextBox 3">
          <a:extLst>
            <a:ext uri="{FF2B5EF4-FFF2-40B4-BE49-F238E27FC236}">
              <a16:creationId xmlns:a16="http://schemas.microsoft.com/office/drawing/2014/main" id="{BF98E86F-B23C-5846-B3D5-7CB2E3237046}"/>
            </a:ext>
          </a:extLst>
        </xdr:cNvPr>
        <xdr:cNvSpPr txBox="1"/>
      </xdr:nvSpPr>
      <xdr:spPr>
        <a:xfrm>
          <a:off x="10274300" y="228600"/>
          <a:ext cx="5486400" cy="71711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kern="1200" baseline="0">
              <a:latin typeface="Times New Roman" panose="02020603050405020304" pitchFamily="18" charset="0"/>
              <a:cs typeface="Times New Roman" panose="02020603050405020304" pitchFamily="18" charset="0"/>
            </a:rPr>
            <a:t>From Kristian Wegscheider. Zwei Stimmungsarten in einer Orgel - Möglichkeiten der Realisierung. </a:t>
          </a:r>
        </a:p>
        <a:p>
          <a:r>
            <a:rPr lang="en-GB" sz="1100" b="0" kern="1200" baseline="0">
              <a:latin typeface="Times New Roman" panose="02020603050405020304" pitchFamily="18" charset="0"/>
              <a:cs typeface="Times New Roman" panose="02020603050405020304" pitchFamily="18" charset="0"/>
            </a:rPr>
            <a:t>In Michaelsteiner Konferenzberichte 52. Stimmungen im 17. und 18. Jahrhundert. Vielfalt oder Konfusion? 1994/1997 </a:t>
          </a:r>
        </a:p>
      </xdr:txBody>
    </xdr:sp>
    <xdr:clientData fLocksWithSheet="0"/>
  </xdr:oneCellAnchor>
</xdr:wsDr>
</file>

<file path=xl/drawings/drawing17.xml><?xml version="1.0" encoding="utf-8"?>
<xdr:wsDr xmlns:xdr="http://schemas.openxmlformats.org/drawingml/2006/spreadsheetDrawing" xmlns:a="http://schemas.openxmlformats.org/drawingml/2006/main">
  <xdr:twoCellAnchor>
    <xdr:from>
      <xdr:col>21</xdr:col>
      <xdr:colOff>269008</xdr:colOff>
      <xdr:row>3</xdr:row>
      <xdr:rowOff>143568</xdr:rowOff>
    </xdr:from>
    <xdr:to>
      <xdr:col>25</xdr:col>
      <xdr:colOff>211408</xdr:colOff>
      <xdr:row>11</xdr:row>
      <xdr:rowOff>116968</xdr:rowOff>
    </xdr:to>
    <xdr:graphicFrame macro="">
      <xdr:nvGraphicFramePr>
        <xdr:cNvPr id="2" name="Chart 1">
          <a:extLst>
            <a:ext uri="{FF2B5EF4-FFF2-40B4-BE49-F238E27FC236}">
              <a16:creationId xmlns:a16="http://schemas.microsoft.com/office/drawing/2014/main" id="{45C29C40-6E10-9843-B074-AC4C82B05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269009</xdr:colOff>
      <xdr:row>12</xdr:row>
      <xdr:rowOff>9235</xdr:rowOff>
    </xdr:from>
    <xdr:to>
      <xdr:col>25</xdr:col>
      <xdr:colOff>211409</xdr:colOff>
      <xdr:row>22</xdr:row>
      <xdr:rowOff>84235</xdr:rowOff>
    </xdr:to>
    <xdr:graphicFrame macro="">
      <xdr:nvGraphicFramePr>
        <xdr:cNvPr id="3" name="Chart 2">
          <a:extLst>
            <a:ext uri="{FF2B5EF4-FFF2-40B4-BE49-F238E27FC236}">
              <a16:creationId xmlns:a16="http://schemas.microsoft.com/office/drawing/2014/main" id="{541826EA-F4CD-744E-AFCD-54D7853F0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498102"/>
    <xdr:sp macro="" textlink="" fLocksText="0">
      <xdr:nvSpPr>
        <xdr:cNvPr id="4" name="TextBox 3">
          <a:extLst>
            <a:ext uri="{FF2B5EF4-FFF2-40B4-BE49-F238E27FC236}">
              <a16:creationId xmlns:a16="http://schemas.microsoft.com/office/drawing/2014/main" id="{3876ED75-9ADD-ED4D-B3F5-9B26CEC91C43}"/>
            </a:ext>
          </a:extLst>
        </xdr:cNvPr>
        <xdr:cNvSpPr txBox="1"/>
      </xdr:nvSpPr>
      <xdr:spPr>
        <a:xfrm>
          <a:off x="10274300" y="228600"/>
          <a:ext cx="5486400" cy="1498102"/>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kern="1200" baseline="0">
              <a:latin typeface="Times New Roman" panose="02020603050405020304" pitchFamily="18" charset="0"/>
              <a:cs typeface="Times New Roman" panose="02020603050405020304" pitchFamily="18" charset="0"/>
            </a:rPr>
            <a:t>From Kristian Wegscheider. Zwei Stimmungsarten in einer Orgel - Möglichkeiten der Realisierung. </a:t>
          </a:r>
        </a:p>
        <a:p>
          <a:r>
            <a:rPr lang="en-GB" sz="1100" b="0" kern="1200" baseline="0">
              <a:latin typeface="Times New Roman" panose="02020603050405020304" pitchFamily="18" charset="0"/>
              <a:cs typeface="Times New Roman" panose="02020603050405020304" pitchFamily="18" charset="0"/>
            </a:rPr>
            <a:t>In Michaelsteiner Konferenzberichte 52. Stimmungen im 17. und 18. Jahrhundert. Vielfalt oder Konfusion? 1994/1997</a:t>
          </a:r>
        </a:p>
        <a:p>
          <a:r>
            <a:rPr lang="en-GB" sz="1100" b="0" kern="1200" baseline="0">
              <a:latin typeface="Times New Roman" panose="02020603050405020304" pitchFamily="18" charset="0"/>
              <a:cs typeface="Times New Roman" panose="02020603050405020304" pitchFamily="18" charset="0"/>
            </a:rPr>
            <a:t>The 1/5 comma values for F#, D# and c oct. were calculated back from the cents given in Wegscheider's table: e.g. (694.525 - 701.955) /  4.692 = -1.583... quarter Pyth.  commas</a:t>
          </a:r>
        </a:p>
        <a:p>
          <a:r>
            <a:rPr lang="en-GB" sz="1100" b="0" kern="1200" baseline="0">
              <a:latin typeface="Times New Roman" panose="02020603050405020304" pitchFamily="18" charset="0"/>
              <a:cs typeface="Times New Roman" panose="02020603050405020304" pitchFamily="18" charset="0"/>
            </a:rPr>
            <a:t>694.525 = given interval B-F# in cents</a:t>
          </a:r>
        </a:p>
        <a:p>
          <a:r>
            <a:rPr lang="en-GB" sz="1100" b="0" kern="1200" baseline="0">
              <a:latin typeface="Times New Roman" panose="02020603050405020304" pitchFamily="18" charset="0"/>
              <a:cs typeface="Times New Roman" panose="02020603050405020304" pitchFamily="18" charset="0"/>
            </a:rPr>
            <a:t>701.955 = 3/2 in cents.</a:t>
          </a:r>
        </a:p>
        <a:p>
          <a:r>
            <a:rPr lang="en-GB" sz="1100" b="0" kern="1200" baseline="0">
              <a:latin typeface="Times New Roman" panose="02020603050405020304" pitchFamily="18" charset="0"/>
              <a:cs typeface="Times New Roman" panose="02020603050405020304" pitchFamily="18" charset="0"/>
            </a:rPr>
            <a:t> 4.692 = 1/5 comma on cents</a:t>
          </a:r>
        </a:p>
      </xdr:txBody>
    </xdr:sp>
    <xdr:clientData fLocksWithSheet="0"/>
  </xdr:oneCellAnchor>
</xdr:wsDr>
</file>

<file path=xl/drawings/drawing18.xml><?xml version="1.0" encoding="utf-8"?>
<xdr:wsDr xmlns:xdr="http://schemas.openxmlformats.org/drawingml/2006/spreadsheetDrawing" xmlns:a="http://schemas.openxmlformats.org/drawingml/2006/main">
  <xdr:twoCellAnchor>
    <xdr:from>
      <xdr:col>21</xdr:col>
      <xdr:colOff>192808</xdr:colOff>
      <xdr:row>3</xdr:row>
      <xdr:rowOff>181668</xdr:rowOff>
    </xdr:from>
    <xdr:to>
      <xdr:col>25</xdr:col>
      <xdr:colOff>135208</xdr:colOff>
      <xdr:row>11</xdr:row>
      <xdr:rowOff>155068</xdr:rowOff>
    </xdr:to>
    <xdr:graphicFrame macro="">
      <xdr:nvGraphicFramePr>
        <xdr:cNvPr id="2" name="Chart 1">
          <a:extLst>
            <a:ext uri="{FF2B5EF4-FFF2-40B4-BE49-F238E27FC236}">
              <a16:creationId xmlns:a16="http://schemas.microsoft.com/office/drawing/2014/main" id="{8F850452-F8EA-B644-8C49-70F9530A8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192809</xdr:colOff>
      <xdr:row>12</xdr:row>
      <xdr:rowOff>47335</xdr:rowOff>
    </xdr:from>
    <xdr:to>
      <xdr:col>25</xdr:col>
      <xdr:colOff>135209</xdr:colOff>
      <xdr:row>22</xdr:row>
      <xdr:rowOff>122335</xdr:rowOff>
    </xdr:to>
    <xdr:graphicFrame macro="">
      <xdr:nvGraphicFramePr>
        <xdr:cNvPr id="3" name="Chart 2">
          <a:extLst>
            <a:ext uri="{FF2B5EF4-FFF2-40B4-BE49-F238E27FC236}">
              <a16:creationId xmlns:a16="http://schemas.microsoft.com/office/drawing/2014/main" id="{9F9A4F99-441D-E94D-B535-912944B29C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21</xdr:col>
      <xdr:colOff>192808</xdr:colOff>
      <xdr:row>3</xdr:row>
      <xdr:rowOff>105468</xdr:rowOff>
    </xdr:from>
    <xdr:to>
      <xdr:col>25</xdr:col>
      <xdr:colOff>135208</xdr:colOff>
      <xdr:row>11</xdr:row>
      <xdr:rowOff>78868</xdr:rowOff>
    </xdr:to>
    <xdr:graphicFrame macro="">
      <xdr:nvGraphicFramePr>
        <xdr:cNvPr id="2" name="Chart 1">
          <a:extLst>
            <a:ext uri="{FF2B5EF4-FFF2-40B4-BE49-F238E27FC236}">
              <a16:creationId xmlns:a16="http://schemas.microsoft.com/office/drawing/2014/main" id="{7883F7F4-BB04-5E4D-A4E4-C91B0E233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192809</xdr:colOff>
      <xdr:row>11</xdr:row>
      <xdr:rowOff>161635</xdr:rowOff>
    </xdr:from>
    <xdr:to>
      <xdr:col>25</xdr:col>
      <xdr:colOff>135209</xdr:colOff>
      <xdr:row>22</xdr:row>
      <xdr:rowOff>46135</xdr:rowOff>
    </xdr:to>
    <xdr:graphicFrame macro="">
      <xdr:nvGraphicFramePr>
        <xdr:cNvPr id="3" name="Chart 2">
          <a:extLst>
            <a:ext uri="{FF2B5EF4-FFF2-40B4-BE49-F238E27FC236}">
              <a16:creationId xmlns:a16="http://schemas.microsoft.com/office/drawing/2014/main" id="{4BFB8710-3C3F-5642-9B41-3E63F4233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241300</xdr:colOff>
      <xdr:row>24</xdr:row>
      <xdr:rowOff>152400</xdr:rowOff>
    </xdr:from>
    <xdr:ext cx="5704416" cy="1965923"/>
    <xdr:sp macro="" textlink="">
      <xdr:nvSpPr>
        <xdr:cNvPr id="2" name="TextBox 1">
          <a:extLst>
            <a:ext uri="{FF2B5EF4-FFF2-40B4-BE49-F238E27FC236}">
              <a16:creationId xmlns:a16="http://schemas.microsoft.com/office/drawing/2014/main" id="{6174B965-F47C-F041-B0DA-40DB58E86DBD}"/>
            </a:ext>
          </a:extLst>
        </xdr:cNvPr>
        <xdr:cNvSpPr txBox="1"/>
      </xdr:nvSpPr>
      <xdr:spPr>
        <a:xfrm>
          <a:off x="241300" y="5163751"/>
          <a:ext cx="5704416" cy="1965923"/>
        </a:xfrm>
        <a:prstGeom prst="rect">
          <a:avLst/>
        </a:prstGeom>
        <a:solidFill>
          <a:srgbClr val="83CBEB">
            <a:alpha val="20784"/>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kern="1200" baseline="0">
              <a:latin typeface="Times New Roman" panose="02020603050405020304" pitchFamily="18" charset="0"/>
              <a:cs typeface="Times New Roman" panose="02020603050405020304" pitchFamily="18" charset="0"/>
            </a:rPr>
            <a:t>Termperaments give the narrowing or widening of the intervals in commas, fractions of commas or cents, and may use the Pythagorean or the syntonic comma. </a:t>
          </a:r>
        </a:p>
        <a:p>
          <a:r>
            <a:rPr lang="en-GB" sz="1100" kern="1200" baseline="0">
              <a:latin typeface="Times New Roman" panose="02020603050405020304" pitchFamily="18" charset="0"/>
              <a:cs typeface="Times New Roman" panose="02020603050405020304" pitchFamily="18" charset="0"/>
            </a:rPr>
            <a:t>This sheet can be used to convert between commas and cents.</a:t>
          </a:r>
        </a:p>
        <a:p>
          <a:r>
            <a:rPr lang="en-GB" sz="1100" kern="1200" baseline="0">
              <a:latin typeface="Times New Roman" panose="02020603050405020304" pitchFamily="18" charset="0"/>
              <a:cs typeface="Times New Roman" panose="02020603050405020304" pitchFamily="18" charset="0"/>
            </a:rPr>
            <a:t>Other fractions can easily be seen, e.g. 1/3 = 2/6.</a:t>
          </a:r>
        </a:p>
        <a:p>
          <a:endParaRPr lang="en-GB" sz="1100" kern="1200" baseline="0">
            <a:latin typeface="Times New Roman" panose="02020603050405020304" pitchFamily="18" charset="0"/>
            <a:cs typeface="Times New Roman" panose="02020603050405020304" pitchFamily="18" charset="0"/>
          </a:endParaRPr>
        </a:p>
        <a:p>
          <a:r>
            <a:rPr lang="en-GB" sz="1100" kern="1200" baseline="0">
              <a:latin typeface="Times New Roman" panose="02020603050405020304" pitchFamily="18" charset="0"/>
              <a:cs typeface="Times New Roman" panose="02020603050405020304" pitchFamily="18" charset="0"/>
            </a:rPr>
            <a:t>Cells D3 - J3 and O3 - U3 give give the denominators of the fractions.</a:t>
          </a:r>
        </a:p>
        <a:p>
          <a:r>
            <a:rPr lang="en-GB" sz="1100" kern="1200" baseline="0">
              <a:latin typeface="Times New Roman" panose="02020603050405020304" pitchFamily="18" charset="0"/>
              <a:cs typeface="Times New Roman" panose="02020603050405020304" pitchFamily="18" charset="0"/>
            </a:rPr>
            <a:t>Cells B7  - B18 and M7 - M18 give the numerators.</a:t>
          </a:r>
        </a:p>
        <a:p>
          <a:endParaRPr lang="en-GB" sz="1100" kern="1200" baseline="0">
            <a:latin typeface="Times New Roman" panose="02020603050405020304" pitchFamily="18" charset="0"/>
            <a:cs typeface="Times New Roman" panose="02020603050405020304" pitchFamily="18" charset="0"/>
          </a:endParaRPr>
        </a:p>
        <a:p>
          <a:r>
            <a:rPr lang="en-GB" sz="1100" kern="1200" baseline="0">
              <a:latin typeface="Times New Roman" panose="02020603050405020304" pitchFamily="18" charset="0"/>
              <a:cs typeface="Times New Roman" panose="02020603050405020304" pitchFamily="18" charset="0"/>
            </a:rPr>
            <a:t>Cell K21 gives the schisma as a fraction (32805/32768).</a:t>
          </a:r>
        </a:p>
        <a:p>
          <a:r>
            <a:rPr lang="en-GB" sz="1100" kern="1200" baseline="0">
              <a:latin typeface="Times New Roman" panose="02020603050405020304" pitchFamily="18" charset="0"/>
              <a:cs typeface="Times New Roman" panose="02020603050405020304" pitchFamily="18" charset="0"/>
            </a:rPr>
            <a:t>Cell K22 gives the schisma in cents, K32 in Pythagorean commas and K33 in Syntonic commas.</a:t>
          </a:r>
        </a:p>
        <a:p>
          <a:r>
            <a:rPr lang="en-GB" sz="1100" kern="1200" baseline="0">
              <a:latin typeface="Times New Roman" panose="02020603050405020304" pitchFamily="18" charset="0"/>
              <a:cs typeface="Times New Roman" panose="02020603050405020304" pitchFamily="18" charset="0"/>
            </a:rPr>
            <a:t>Cells D23 - J23 give the schisma in fractions of a Pythagorean comma.</a:t>
          </a:r>
        </a:p>
        <a:p>
          <a:r>
            <a:rPr lang="en-GB" sz="1100" kern="1200" baseline="0">
              <a:latin typeface="Times New Roman" panose="02020603050405020304" pitchFamily="18" charset="0"/>
              <a:cs typeface="Times New Roman" panose="02020603050405020304" pitchFamily="18" charset="0"/>
            </a:rPr>
            <a:t>Cells P23 - V23 give the schisma in fractions of a Syntonic comma.</a:t>
          </a:r>
          <a:endParaRPr lang="en-GB" sz="1100" kern="1200">
            <a:latin typeface="Times New Roman" panose="02020603050405020304" pitchFamily="18" charset="0"/>
            <a:cs typeface="Times New Roman" panose="02020603050405020304" pitchFamily="18" charset="0"/>
          </a:endParaRPr>
        </a:p>
      </xdr:txBody>
    </xdr:sp>
    <xdr:clientData/>
  </xdr:oneCellAnchor>
  <xdr:oneCellAnchor>
    <xdr:from>
      <xdr:col>16</xdr:col>
      <xdr:colOff>525856</xdr:colOff>
      <xdr:row>24</xdr:row>
      <xdr:rowOff>151438</xdr:rowOff>
    </xdr:from>
    <xdr:ext cx="4500000" cy="1470146"/>
    <xdr:sp macro="" textlink="">
      <xdr:nvSpPr>
        <xdr:cNvPr id="3" name="TextBox 2">
          <a:extLst>
            <a:ext uri="{FF2B5EF4-FFF2-40B4-BE49-F238E27FC236}">
              <a16:creationId xmlns:a16="http://schemas.microsoft.com/office/drawing/2014/main" id="{CA2B3F92-C297-0E49-B4FD-A8107D003E63}"/>
            </a:ext>
          </a:extLst>
        </xdr:cNvPr>
        <xdr:cNvSpPr txBox="1"/>
      </xdr:nvSpPr>
      <xdr:spPr>
        <a:xfrm>
          <a:off x="10800270" y="5162789"/>
          <a:ext cx="4500000" cy="147014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t>Syntonic</a:t>
          </a:r>
          <a:r>
            <a:rPr lang="en-GB" sz="1100" b="1" baseline="0"/>
            <a:t> comma</a:t>
          </a:r>
          <a:r>
            <a:rPr lang="en-GB" sz="1100" baseline="0"/>
            <a:t> = 81/80</a:t>
          </a:r>
        </a:p>
        <a:p>
          <a:r>
            <a:rPr lang="en-GB" sz="1100" baseline="0"/>
            <a:t>Difference between Pythoagorean major third 81:64 and pure major third 5:4.</a:t>
          </a:r>
          <a:endParaRPr lang="en-GB" sz="1100"/>
        </a:p>
        <a:p>
          <a:r>
            <a:rPr lang="en-GB" sz="1100"/>
            <a:t>Frequency</a:t>
          </a:r>
          <a:r>
            <a:rPr lang="en-GB" sz="1100" baseline="0"/>
            <a:t> down by 1 Syntonic </a:t>
          </a:r>
          <a:r>
            <a:rPr lang="en-GB" sz="1100"/>
            <a:t>Comma = Frequency ** 80/81</a:t>
          </a:r>
        </a:p>
        <a:p>
          <a:r>
            <a:rPr lang="en-GB" sz="1100"/>
            <a:t>Frequency up</a:t>
          </a:r>
          <a:r>
            <a:rPr lang="en-GB" sz="1100" baseline="0"/>
            <a:t> by</a:t>
          </a:r>
          <a:r>
            <a:rPr lang="en-GB" sz="1100"/>
            <a:t> 1 Syntonic Comma</a:t>
          </a:r>
          <a:r>
            <a:rPr lang="en-GB" sz="1100" baseline="0"/>
            <a:t> = Frequency ** 81/80</a:t>
          </a:r>
        </a:p>
        <a:p>
          <a:r>
            <a:rPr lang="en-GB" sz="1100" baseline="0"/>
            <a:t>Syntonic comma in cents = log2(81/80)*1200 = 21,50629</a:t>
          </a:r>
        </a:p>
        <a:p>
          <a:r>
            <a:rPr lang="en-GB" sz="1100" baseline="0"/>
            <a:t>M/N in Commas = Comma ** (M/N)</a:t>
          </a:r>
        </a:p>
        <a:p>
          <a:r>
            <a:rPr lang="en-GB" sz="1100" baseline="0"/>
            <a:t>Frequency down by M/N Commas = (Frequency ** 80/81) ** (M/N)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Frequency up by M/N Commas = (Frequency ** 81/80) ** (M/N)</a:t>
          </a:r>
        </a:p>
      </xdr:txBody>
    </xdr:sp>
    <xdr:clientData/>
  </xdr:oneCellAnchor>
  <xdr:oneCellAnchor>
    <xdr:from>
      <xdr:col>7</xdr:col>
      <xdr:colOff>812800</xdr:colOff>
      <xdr:row>31</xdr:row>
      <xdr:rowOff>189345</xdr:rowOff>
    </xdr:from>
    <xdr:ext cx="4500000" cy="781240"/>
    <xdr:sp macro="" textlink="">
      <xdr:nvSpPr>
        <xdr:cNvPr id="4" name="TextBox 3">
          <a:extLst>
            <a:ext uri="{FF2B5EF4-FFF2-40B4-BE49-F238E27FC236}">
              <a16:creationId xmlns:a16="http://schemas.microsoft.com/office/drawing/2014/main" id="{C4CF8EB6-8717-494F-8BE6-154405ED54B7}"/>
            </a:ext>
          </a:extLst>
        </xdr:cNvPr>
        <xdr:cNvSpPr txBox="1"/>
      </xdr:nvSpPr>
      <xdr:spPr>
        <a:xfrm>
          <a:off x="6197600" y="5701145"/>
          <a:ext cx="4500000" cy="78124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t>Ratio</a:t>
          </a:r>
          <a:r>
            <a:rPr lang="en-GB" sz="1100" b="1" baseline="0"/>
            <a:t> F2:F1 </a:t>
          </a:r>
          <a:r>
            <a:rPr lang="en-GB" sz="1100" baseline="0"/>
            <a:t>in Cents = Log2(F2/F1) * 1200</a:t>
          </a:r>
        </a:p>
        <a:p>
          <a:endParaRPr lang="en-GB" sz="1100"/>
        </a:p>
        <a:p>
          <a:r>
            <a:rPr lang="en-GB" sz="1100"/>
            <a:t>Ratio</a:t>
          </a:r>
          <a:r>
            <a:rPr lang="en-GB" sz="1100" baseline="0"/>
            <a:t> F2:F1 in pythagoran commas = log to base comma of F2/F1</a:t>
          </a:r>
        </a:p>
        <a:p>
          <a:r>
            <a:rPr lang="en-GB" sz="1100"/>
            <a:t>Ratio</a:t>
          </a:r>
          <a:r>
            <a:rPr lang="en-GB" sz="1100" baseline="0"/>
            <a:t> F2:F1 in pythagoran 1/4 commas = log to base 1/4 comma of F2/F1</a:t>
          </a:r>
        </a:p>
      </xdr:txBody>
    </xdr:sp>
    <xdr:clientData/>
  </xdr:oneCellAnchor>
  <xdr:oneCellAnchor>
    <xdr:from>
      <xdr:col>7</xdr:col>
      <xdr:colOff>800100</xdr:colOff>
      <xdr:row>24</xdr:row>
      <xdr:rowOff>152400</xdr:rowOff>
    </xdr:from>
    <xdr:ext cx="4500000" cy="1308100"/>
    <xdr:sp macro="" textlink="">
      <xdr:nvSpPr>
        <xdr:cNvPr id="5" name="TextBox 4">
          <a:extLst>
            <a:ext uri="{FF2B5EF4-FFF2-40B4-BE49-F238E27FC236}">
              <a16:creationId xmlns:a16="http://schemas.microsoft.com/office/drawing/2014/main" id="{2DC64355-9EF9-6545-8422-8B0BECFE45FE}"/>
            </a:ext>
          </a:extLst>
        </xdr:cNvPr>
        <xdr:cNvSpPr txBox="1"/>
      </xdr:nvSpPr>
      <xdr:spPr>
        <a:xfrm>
          <a:off x="6184900" y="4241800"/>
          <a:ext cx="4500000" cy="13081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t>Pythagoran Comma</a:t>
          </a:r>
        </a:p>
        <a:p>
          <a:r>
            <a:rPr lang="en-GB" sz="1100"/>
            <a:t>12 fifths =</a:t>
          </a:r>
          <a:r>
            <a:rPr lang="en-GB" sz="1100" baseline="0"/>
            <a:t> 3/2 ** 12 and spans 8 octaves</a:t>
          </a:r>
        </a:p>
        <a:p>
          <a:r>
            <a:rPr lang="en-GB" sz="1100" baseline="0"/>
            <a:t>Reduce by 7 octaves (3/2 **12) * (2 ** 7)</a:t>
          </a:r>
        </a:p>
        <a:p>
          <a:r>
            <a:rPr lang="en-GB" sz="1100" baseline="0"/>
            <a:t>= 3**12 / 2**19</a:t>
          </a:r>
        </a:p>
        <a:p>
          <a:r>
            <a:rPr lang="en-GB" sz="1100" baseline="0"/>
            <a:t>= 531441 / 524288</a:t>
          </a:r>
        </a:p>
        <a:p>
          <a:r>
            <a:rPr lang="en-GB" sz="1100" baseline="0"/>
            <a:t>= 1.013643265...</a:t>
          </a:r>
        </a:p>
        <a:p>
          <a:r>
            <a:rPr lang="en-GB" sz="1100" baseline="0"/>
            <a:t>Pythagoran comma in cents = log2(531441/524288)*1200 = 23,46</a:t>
          </a:r>
          <a:endParaRPr lang="en-GB" sz="1100"/>
        </a:p>
      </xdr:txBody>
    </xdr:sp>
    <xdr:clientData/>
  </xdr:oneCellAnchor>
  <xdr:oneCellAnchor>
    <xdr:from>
      <xdr:col>16</xdr:col>
      <xdr:colOff>525856</xdr:colOff>
      <xdr:row>34</xdr:row>
      <xdr:rowOff>189345</xdr:rowOff>
    </xdr:from>
    <xdr:ext cx="1820300" cy="436786"/>
    <xdr:sp macro="" textlink="">
      <xdr:nvSpPr>
        <xdr:cNvPr id="6" name="TextBox 5">
          <a:extLst>
            <a:ext uri="{FF2B5EF4-FFF2-40B4-BE49-F238E27FC236}">
              <a16:creationId xmlns:a16="http://schemas.microsoft.com/office/drawing/2014/main" id="{05509A70-6B7F-F70B-2F57-93BC46BC549E}"/>
            </a:ext>
          </a:extLst>
        </xdr:cNvPr>
        <xdr:cNvSpPr txBox="1"/>
      </xdr:nvSpPr>
      <xdr:spPr>
        <a:xfrm>
          <a:off x="10800270" y="7260156"/>
          <a:ext cx="1820300" cy="43678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a:t>* means "times"</a:t>
          </a:r>
        </a:p>
        <a:p>
          <a:r>
            <a:rPr lang="en-GB" sz="1100" b="0"/>
            <a:t>** means "to the power of"</a:t>
          </a:r>
        </a:p>
      </xdr:txBody>
    </xdr:sp>
    <xdr:clientData/>
  </xdr:oneCellAnchor>
  <xdr:oneCellAnchor>
    <xdr:from>
      <xdr:col>16</xdr:col>
      <xdr:colOff>525856</xdr:colOff>
      <xdr:row>32</xdr:row>
      <xdr:rowOff>77472</xdr:rowOff>
    </xdr:from>
    <xdr:ext cx="4500000" cy="436786"/>
    <xdr:sp macro="" textlink="">
      <xdr:nvSpPr>
        <xdr:cNvPr id="7" name="TextBox 6">
          <a:extLst>
            <a:ext uri="{FF2B5EF4-FFF2-40B4-BE49-F238E27FC236}">
              <a16:creationId xmlns:a16="http://schemas.microsoft.com/office/drawing/2014/main" id="{F3977D61-8BF2-0F3D-D937-879A7735470C}"/>
            </a:ext>
          </a:extLst>
        </xdr:cNvPr>
        <xdr:cNvSpPr txBox="1"/>
      </xdr:nvSpPr>
      <xdr:spPr>
        <a:xfrm>
          <a:off x="10800270" y="6736391"/>
          <a:ext cx="4500000" cy="43678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a:t>The </a:t>
          </a:r>
          <a:r>
            <a:rPr lang="en-GB" sz="1100" b="1">
              <a:solidFill>
                <a:schemeClr val="dk1"/>
              </a:solidFill>
              <a:effectLst/>
              <a:latin typeface="+mn-lt"/>
              <a:ea typeface="+mn-ea"/>
              <a:cs typeface="+mn-cs"/>
            </a:rPr>
            <a:t>schisma</a:t>
          </a:r>
          <a:r>
            <a:rPr lang="en-GB" sz="1100" b="0" baseline="0">
              <a:solidFill>
                <a:schemeClr val="dk1"/>
              </a:solidFill>
              <a:effectLst/>
              <a:latin typeface="+mn-lt"/>
              <a:ea typeface="+mn-ea"/>
              <a:cs typeface="+mn-cs"/>
            </a:rPr>
            <a:t> is the difference between the Pythagorean and the syntonic comma, (531441/52488) / (81/80) = 32805/32768.</a:t>
          </a:r>
          <a:endParaRPr lang="en-GB" sz="1100" b="0" baseline="0"/>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21</xdr:col>
      <xdr:colOff>167408</xdr:colOff>
      <xdr:row>4</xdr:row>
      <xdr:rowOff>3868</xdr:rowOff>
    </xdr:from>
    <xdr:to>
      <xdr:col>25</xdr:col>
      <xdr:colOff>109808</xdr:colOff>
      <xdr:row>11</xdr:row>
      <xdr:rowOff>180468</xdr:rowOff>
    </xdr:to>
    <xdr:graphicFrame macro="">
      <xdr:nvGraphicFramePr>
        <xdr:cNvPr id="2" name="Chart 1">
          <a:extLst>
            <a:ext uri="{FF2B5EF4-FFF2-40B4-BE49-F238E27FC236}">
              <a16:creationId xmlns:a16="http://schemas.microsoft.com/office/drawing/2014/main" id="{DB74FD32-5F06-7D42-9311-719FA91E0A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167409</xdr:colOff>
      <xdr:row>12</xdr:row>
      <xdr:rowOff>60035</xdr:rowOff>
    </xdr:from>
    <xdr:to>
      <xdr:col>25</xdr:col>
      <xdr:colOff>109809</xdr:colOff>
      <xdr:row>22</xdr:row>
      <xdr:rowOff>135035</xdr:rowOff>
    </xdr:to>
    <xdr:graphicFrame macro="">
      <xdr:nvGraphicFramePr>
        <xdr:cNvPr id="3" name="Chart 2">
          <a:extLst>
            <a:ext uri="{FF2B5EF4-FFF2-40B4-BE49-F238E27FC236}">
              <a16:creationId xmlns:a16="http://schemas.microsoft.com/office/drawing/2014/main" id="{7C29729A-10F9-5849-B82D-523D6B621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D8D85381-57D2-AE46-890D-93D95ADE8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9DB5A175-350B-1B48-AF6C-565B8E69F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4DD4142C-D8B7-554A-AEAA-3197E20B1791}"/>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22.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F17E205C-CC82-0F49-A681-A43915B3F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EB816BC1-4E9F-B044-96E1-3BFB76D82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65E7B912-D713-434F-B799-9AD74D53C1B3}"/>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23.xml><?xml version="1.0" encoding="utf-8"?>
<xdr:wsDr xmlns:xdr="http://schemas.openxmlformats.org/drawingml/2006/spreadsheetDrawing" xmlns:a="http://schemas.openxmlformats.org/drawingml/2006/main">
  <xdr:twoCellAnchor>
    <xdr:from>
      <xdr:col>21</xdr:col>
      <xdr:colOff>192808</xdr:colOff>
      <xdr:row>4</xdr:row>
      <xdr:rowOff>105468</xdr:rowOff>
    </xdr:from>
    <xdr:to>
      <xdr:col>25</xdr:col>
      <xdr:colOff>135208</xdr:colOff>
      <xdr:row>12</xdr:row>
      <xdr:rowOff>91568</xdr:rowOff>
    </xdr:to>
    <xdr:graphicFrame macro="">
      <xdr:nvGraphicFramePr>
        <xdr:cNvPr id="2" name="Chart 1">
          <a:extLst>
            <a:ext uri="{FF2B5EF4-FFF2-40B4-BE49-F238E27FC236}">
              <a16:creationId xmlns:a16="http://schemas.microsoft.com/office/drawing/2014/main" id="{E27EE2F5-6C2F-DB4E-87DD-AFF366597C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192809</xdr:colOff>
      <xdr:row>12</xdr:row>
      <xdr:rowOff>174335</xdr:rowOff>
    </xdr:from>
    <xdr:to>
      <xdr:col>25</xdr:col>
      <xdr:colOff>135209</xdr:colOff>
      <xdr:row>23</xdr:row>
      <xdr:rowOff>58835</xdr:rowOff>
    </xdr:to>
    <xdr:graphicFrame macro="">
      <xdr:nvGraphicFramePr>
        <xdr:cNvPr id="3" name="Chart 2">
          <a:extLst>
            <a:ext uri="{FF2B5EF4-FFF2-40B4-BE49-F238E27FC236}">
              <a16:creationId xmlns:a16="http://schemas.microsoft.com/office/drawing/2014/main" id="{307F1A1B-D115-7E4B-849A-36EFC8BC81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0</xdr:colOff>
      <xdr:row>1</xdr:row>
      <xdr:rowOff>0</xdr:rowOff>
    </xdr:from>
    <xdr:to>
      <xdr:col>18</xdr:col>
      <xdr:colOff>515880</xdr:colOff>
      <xdr:row>3</xdr:row>
      <xdr:rowOff>88420</xdr:rowOff>
    </xdr:to>
    <xdr:sp macro="" textlink="">
      <xdr:nvSpPr>
        <xdr:cNvPr id="5" name="TextBox 1">
          <a:extLst>
            <a:ext uri="{FF2B5EF4-FFF2-40B4-BE49-F238E27FC236}">
              <a16:creationId xmlns:a16="http://schemas.microsoft.com/office/drawing/2014/main" id="{305A9206-F19F-8E45-8692-1DDBAA75C644}"/>
            </a:ext>
          </a:extLst>
        </xdr:cNvPr>
        <xdr:cNvSpPr/>
      </xdr:nvSpPr>
      <xdr:spPr>
        <a:xfrm>
          <a:off x="9652000" y="228600"/>
          <a:ext cx="6002280" cy="698020"/>
        </a:xfrm>
        <a:prstGeom prst="rect">
          <a:avLst/>
        </a:prstGeom>
        <a:solidFill>
          <a:srgbClr val="83CBEB">
            <a:alpha val="21000"/>
          </a:srgbClr>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en-GB" sz="1100" b="1" u="none" strike="noStrike">
              <a:solidFill>
                <a:schemeClr val="dk1"/>
              </a:solidFill>
              <a:uFillTx/>
              <a:latin typeface="Times New Roman"/>
            </a:rPr>
            <a:t>Meantone with matching octaves.</a:t>
          </a:r>
          <a:endParaRPr lang="de-DE" sz="1100" b="0" u="none" strike="noStrike">
            <a:uFillTx/>
            <a:latin typeface="Times New Roman"/>
          </a:endParaRPr>
        </a:p>
        <a:p>
          <a:pPr>
            <a:lnSpc>
              <a:spcPct val="100000"/>
            </a:lnSpc>
          </a:pPr>
          <a:r>
            <a:rPr lang="en-GB" sz="1100" b="0" u="none" strike="noStrike">
              <a:solidFill>
                <a:schemeClr val="dk1"/>
              </a:solidFill>
              <a:uFillTx/>
              <a:latin typeface="Times New Roman"/>
            </a:rPr>
            <a:t>This includes Eb, so the notes above D# are set downwards from c-octave, as in Benson.</a:t>
          </a:r>
          <a:endParaRPr lang="de-DE" sz="1100" b="0" u="none" strike="noStrike">
            <a:uFillTx/>
            <a:latin typeface="Times New Roman"/>
          </a:endParaRPr>
        </a:p>
        <a:p>
          <a:pPr>
            <a:lnSpc>
              <a:spcPct val="100000"/>
            </a:lnSpc>
          </a:pPr>
          <a:r>
            <a:rPr lang="en-GB" sz="1100" b="0" u="none" strike="noStrike">
              <a:solidFill>
                <a:schemeClr val="dk1"/>
              </a:solidFill>
              <a:uFillTx/>
              <a:latin typeface="Times New Roman"/>
            </a:rPr>
            <a:t>the fifth D# - Eb is the "wolf" (cell P34).</a:t>
          </a:r>
          <a:endParaRPr lang="de-DE" sz="1100" b="0" u="none" strike="noStrike">
            <a:uFillTx/>
            <a:latin typeface="Times New Roman"/>
          </a:endParaRPr>
        </a:p>
        <a:p>
          <a:pPr>
            <a:lnSpc>
              <a:spcPct val="100000"/>
            </a:lnSpc>
          </a:pPr>
          <a:endParaRPr lang="de-DE" sz="1100" b="0" u="none" strike="noStrike">
            <a:uFillTx/>
            <a:latin typeface="Times New Roman"/>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F1343DBA-E525-5E4C-8B2C-1C94BDF4C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16EA8A50-CE78-2243-964F-7CE556C854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717119"/>
    <xdr:sp macro="" textlink="" fLocksText="0">
      <xdr:nvSpPr>
        <xdr:cNvPr id="4" name="TextBox 3">
          <a:extLst>
            <a:ext uri="{FF2B5EF4-FFF2-40B4-BE49-F238E27FC236}">
              <a16:creationId xmlns:a16="http://schemas.microsoft.com/office/drawing/2014/main" id="{9B970F6F-488C-9A41-A361-133FD38EF88F}"/>
            </a:ext>
          </a:extLst>
        </xdr:cNvPr>
        <xdr:cNvSpPr txBox="1"/>
      </xdr:nvSpPr>
      <xdr:spPr>
        <a:xfrm>
          <a:off x="10274300" y="228600"/>
          <a:ext cx="5486400" cy="71711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a:latin typeface="Times New Roman" panose="02020603050405020304" pitchFamily="18" charset="0"/>
              <a:cs typeface="Times New Roman" panose="02020603050405020304" pitchFamily="18" charset="0"/>
            </a:rPr>
            <a:t>Meantone with matching octaves.</a:t>
          </a:r>
        </a:p>
        <a:p>
          <a:r>
            <a:rPr lang="en-GB" sz="1100" b="0" kern="1200">
              <a:latin typeface="Times New Roman" panose="02020603050405020304" pitchFamily="18" charset="0"/>
              <a:cs typeface="Times New Roman" panose="02020603050405020304" pitchFamily="18" charset="0"/>
            </a:rPr>
            <a:t>This omits Eb and reduces all fifths by one quarter comma, leaving a residue</a:t>
          </a:r>
          <a:r>
            <a:rPr lang="en-GB" sz="1100" b="0" kern="1200" baseline="0">
              <a:latin typeface="Times New Roman" panose="02020603050405020304" pitchFamily="18" charset="0"/>
              <a:cs typeface="Times New Roman" panose="02020603050405020304" pitchFamily="18" charset="0"/>
            </a:rPr>
            <a:t> to get back to c-octave.</a:t>
          </a:r>
        </a:p>
        <a:p>
          <a:endParaRPr lang="en-GB" sz="1100" b="0" kern="1200" baseline="0">
            <a:latin typeface="Times New Roman" panose="02020603050405020304" pitchFamily="18" charset="0"/>
            <a:cs typeface="Times New Roman" panose="02020603050405020304" pitchFamily="18" charset="0"/>
          </a:endParaRPr>
        </a:p>
      </xdr:txBody>
    </xdr:sp>
    <xdr:clientData fLocksWithSheet="0"/>
  </xdr:oneCellAnchor>
</xdr:wsDr>
</file>

<file path=xl/drawings/drawing25.xml><?xml version="1.0" encoding="utf-8"?>
<xdr:wsDr xmlns:xdr="http://schemas.openxmlformats.org/drawingml/2006/spreadsheetDrawing" xmlns:a="http://schemas.openxmlformats.org/drawingml/2006/main">
  <xdr:twoCellAnchor>
    <xdr:from>
      <xdr:col>21</xdr:col>
      <xdr:colOff>142008</xdr:colOff>
      <xdr:row>3</xdr:row>
      <xdr:rowOff>168968</xdr:rowOff>
    </xdr:from>
    <xdr:to>
      <xdr:col>25</xdr:col>
      <xdr:colOff>84408</xdr:colOff>
      <xdr:row>11</xdr:row>
      <xdr:rowOff>142368</xdr:rowOff>
    </xdr:to>
    <xdr:graphicFrame macro="">
      <xdr:nvGraphicFramePr>
        <xdr:cNvPr id="2" name="Chart 1">
          <a:extLst>
            <a:ext uri="{FF2B5EF4-FFF2-40B4-BE49-F238E27FC236}">
              <a16:creationId xmlns:a16="http://schemas.microsoft.com/office/drawing/2014/main" id="{6EDD9ED2-1DE7-9F47-85EA-1A77E90AB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142009</xdr:colOff>
      <xdr:row>12</xdr:row>
      <xdr:rowOff>34635</xdr:rowOff>
    </xdr:from>
    <xdr:to>
      <xdr:col>25</xdr:col>
      <xdr:colOff>84409</xdr:colOff>
      <xdr:row>22</xdr:row>
      <xdr:rowOff>109635</xdr:rowOff>
    </xdr:to>
    <xdr:graphicFrame macro="">
      <xdr:nvGraphicFramePr>
        <xdr:cNvPr id="3" name="Chart 2">
          <a:extLst>
            <a:ext uri="{FF2B5EF4-FFF2-40B4-BE49-F238E27FC236}">
              <a16:creationId xmlns:a16="http://schemas.microsoft.com/office/drawing/2014/main" id="{B2563170-7BEB-0449-B96A-FCDF9CB05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812800</xdr:colOff>
      <xdr:row>0</xdr:row>
      <xdr:rowOff>215900</xdr:rowOff>
    </xdr:from>
    <xdr:to>
      <xdr:col>18</xdr:col>
      <xdr:colOff>698500</xdr:colOff>
      <xdr:row>3</xdr:row>
      <xdr:rowOff>93365</xdr:rowOff>
    </xdr:to>
    <xdr:sp macro="" textlink="">
      <xdr:nvSpPr>
        <xdr:cNvPr id="4" name="TextBox 1">
          <a:extLst>
            <a:ext uri="{FF2B5EF4-FFF2-40B4-BE49-F238E27FC236}">
              <a16:creationId xmlns:a16="http://schemas.microsoft.com/office/drawing/2014/main" id="{771E4B59-2148-CB47-980C-5C79548558F9}"/>
            </a:ext>
          </a:extLst>
        </xdr:cNvPr>
        <xdr:cNvSpPr/>
      </xdr:nvSpPr>
      <xdr:spPr>
        <a:xfrm>
          <a:off x="9677400" y="215900"/>
          <a:ext cx="6286500" cy="715665"/>
        </a:xfrm>
        <a:prstGeom prst="rect">
          <a:avLst/>
        </a:prstGeom>
        <a:solidFill>
          <a:srgbClr val="83CBEB">
            <a:alpha val="21000"/>
          </a:srgbClr>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wrap="square" lIns="90000" tIns="45000" rIns="90000" bIns="45000" anchor="t">
          <a:spAutoFit/>
        </a:bodyPr>
        <a:lstStyle/>
        <a:p>
          <a:pPr>
            <a:lnSpc>
              <a:spcPct val="100000"/>
            </a:lnSpc>
          </a:pPr>
          <a:r>
            <a:rPr lang="en-GB" sz="1100" b="1" u="none" strike="noStrike">
              <a:solidFill>
                <a:schemeClr val="dk1"/>
              </a:solidFill>
              <a:uFillTx/>
              <a:latin typeface="Times New Roman"/>
            </a:rPr>
            <a:t>Quarter Comma Meantone</a:t>
          </a:r>
          <a:endParaRPr lang="de-DE" sz="1100" b="0" u="none" strike="noStrike">
            <a:uFillTx/>
            <a:latin typeface="Times New Roman"/>
          </a:endParaRPr>
        </a:p>
        <a:p>
          <a:pPr>
            <a:lnSpc>
              <a:spcPct val="100000"/>
            </a:lnSpc>
          </a:pPr>
          <a:r>
            <a:rPr lang="en-GB" sz="1100" b="0" u="none" strike="noStrike">
              <a:solidFill>
                <a:schemeClr val="dk1"/>
              </a:solidFill>
              <a:uFillTx/>
              <a:latin typeface="Times New Roman"/>
            </a:rPr>
            <a:t>Note that the octaves C-c' and G-g' do not match.</a:t>
          </a:r>
          <a:endParaRPr lang="de-DE" sz="1100" b="0" u="none" strike="noStrike">
            <a:uFillTx/>
            <a:latin typeface="Times New Roman"/>
          </a:endParaRPr>
        </a:p>
        <a:p>
          <a:pPr>
            <a:lnSpc>
              <a:spcPct val="100000"/>
            </a:lnSpc>
          </a:pPr>
          <a:endParaRPr lang="de-DE" sz="1100" b="0" u="none" strike="noStrike">
            <a:uFillTx/>
            <a:latin typeface="Times New Roman"/>
          </a:endParaRPr>
        </a:p>
        <a:p>
          <a:pPr>
            <a:lnSpc>
              <a:spcPct val="100000"/>
            </a:lnSpc>
          </a:pPr>
          <a:r>
            <a:rPr lang="en-GB" sz="1100" b="0" u="none" strike="noStrike">
              <a:solidFill>
                <a:schemeClr val="dk1"/>
              </a:solidFill>
              <a:uFillTx/>
              <a:latin typeface="Times New Roman"/>
            </a:rPr>
            <a:t>It can also be derived by making the fifths all an equal step of the 4th root of 5 (not</a:t>
          </a:r>
          <a:r>
            <a:rPr lang="en-GB" sz="1100" b="0" u="none" strike="noStrike" baseline="0">
              <a:solidFill>
                <a:schemeClr val="dk1"/>
              </a:solidFill>
              <a:uFillTx/>
              <a:latin typeface="Times New Roman"/>
            </a:rPr>
            <a:t> shown here).</a:t>
          </a:r>
          <a:endParaRPr lang="de-DE" sz="1100" b="0" u="none" strike="noStrike">
            <a:uFillTx/>
            <a:latin typeface="Times New Roman"/>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21</xdr:col>
      <xdr:colOff>192808</xdr:colOff>
      <xdr:row>4</xdr:row>
      <xdr:rowOff>54668</xdr:rowOff>
    </xdr:from>
    <xdr:to>
      <xdr:col>25</xdr:col>
      <xdr:colOff>135208</xdr:colOff>
      <xdr:row>12</xdr:row>
      <xdr:rowOff>40768</xdr:rowOff>
    </xdr:to>
    <xdr:graphicFrame macro="">
      <xdr:nvGraphicFramePr>
        <xdr:cNvPr id="2" name="Chart 1">
          <a:extLst>
            <a:ext uri="{FF2B5EF4-FFF2-40B4-BE49-F238E27FC236}">
              <a16:creationId xmlns:a16="http://schemas.microsoft.com/office/drawing/2014/main" id="{2DC255C3-7595-1F4E-A26C-1AF052610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192809</xdr:colOff>
      <xdr:row>12</xdr:row>
      <xdr:rowOff>123535</xdr:rowOff>
    </xdr:from>
    <xdr:to>
      <xdr:col>25</xdr:col>
      <xdr:colOff>135209</xdr:colOff>
      <xdr:row>23</xdr:row>
      <xdr:rowOff>8035</xdr:rowOff>
    </xdr:to>
    <xdr:graphicFrame macro="">
      <xdr:nvGraphicFramePr>
        <xdr:cNvPr id="3" name="Chart 2">
          <a:extLst>
            <a:ext uri="{FF2B5EF4-FFF2-40B4-BE49-F238E27FC236}">
              <a16:creationId xmlns:a16="http://schemas.microsoft.com/office/drawing/2014/main" id="{D354AAD9-D60D-224B-9BAA-9AA9D3CB2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11</xdr:col>
      <xdr:colOff>901700</xdr:colOff>
      <xdr:row>1</xdr:row>
      <xdr:rowOff>50800</xdr:rowOff>
    </xdr:from>
    <xdr:ext cx="4104822" cy="560923"/>
    <xdr:sp macro="" textlink="">
      <xdr:nvSpPr>
        <xdr:cNvPr id="4" name="TextBox 3">
          <a:extLst>
            <a:ext uri="{FF2B5EF4-FFF2-40B4-BE49-F238E27FC236}">
              <a16:creationId xmlns:a16="http://schemas.microsoft.com/office/drawing/2014/main" id="{25A06D8D-8E53-D14D-86CD-AC3F2C1BDCAA}"/>
            </a:ext>
          </a:extLst>
        </xdr:cNvPr>
        <xdr:cNvSpPr txBox="1"/>
      </xdr:nvSpPr>
      <xdr:spPr>
        <a:xfrm>
          <a:off x="10261600" y="279400"/>
          <a:ext cx="4104822" cy="560923"/>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a:latin typeface="Times New Roman" panose="02020603050405020304" pitchFamily="18" charset="0"/>
              <a:cs typeface="Times New Roman" panose="02020603050405020304" pitchFamily="18" charset="0"/>
            </a:rPr>
            <a:t>Meantone Bavington Donat</a:t>
          </a:r>
        </a:p>
        <a:p>
          <a:r>
            <a:rPr lang="en-GB" sz="1100" kern="1200">
              <a:latin typeface="Times New Roman" panose="02020603050405020304" pitchFamily="18" charset="0"/>
              <a:cs typeface="Times New Roman" panose="02020603050405020304" pitchFamily="18" charset="0"/>
            </a:rPr>
            <a:t>From http://www.peter-bavington.co.uk/donat.htm</a:t>
          </a:r>
        </a:p>
        <a:p>
          <a:r>
            <a:rPr lang="en-GB" sz="1100" kern="1200">
              <a:latin typeface="Times New Roman" panose="02020603050405020304" pitchFamily="18" charset="0"/>
              <a:cs typeface="Times New Roman" panose="02020603050405020304" pitchFamily="18" charset="0"/>
            </a:rPr>
            <a:t>Sheet based on Meantone</a:t>
          </a:r>
          <a:r>
            <a:rPr lang="en-GB" sz="1100" kern="1200" baseline="0">
              <a:latin typeface="Times New Roman" panose="02020603050405020304" pitchFamily="18" charset="0"/>
              <a:cs typeface="Times New Roman" panose="02020603050405020304" pitchFamily="18" charset="0"/>
            </a:rPr>
            <a:t> q. comma - octaves c and G do not match.</a:t>
          </a:r>
          <a:endParaRPr lang="en-GB" sz="1100" kern="1200">
            <a:latin typeface="Times New Roman" panose="02020603050405020304" pitchFamily="18" charset="0"/>
            <a:cs typeface="Times New Roman" panose="02020603050405020304" pitchFamily="18" charset="0"/>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22</xdr:col>
      <xdr:colOff>165099</xdr:colOff>
      <xdr:row>2</xdr:row>
      <xdr:rowOff>139700</xdr:rowOff>
    </xdr:from>
    <xdr:to>
      <xdr:col>26</xdr:col>
      <xdr:colOff>99119</xdr:colOff>
      <xdr:row>10</xdr:row>
      <xdr:rowOff>77226</xdr:rowOff>
    </xdr:to>
    <xdr:graphicFrame macro="">
      <xdr:nvGraphicFramePr>
        <xdr:cNvPr id="2" name="Chart 1">
          <a:extLst>
            <a:ext uri="{FF2B5EF4-FFF2-40B4-BE49-F238E27FC236}">
              <a16:creationId xmlns:a16="http://schemas.microsoft.com/office/drawing/2014/main" id="{D80A31FB-25CC-7944-9915-E6D2E9339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204378</xdr:colOff>
      <xdr:row>10</xdr:row>
      <xdr:rowOff>160910</xdr:rowOff>
    </xdr:from>
    <xdr:to>
      <xdr:col>26</xdr:col>
      <xdr:colOff>138398</xdr:colOff>
      <xdr:row>20</xdr:row>
      <xdr:rowOff>176992</xdr:rowOff>
    </xdr:to>
    <xdr:graphicFrame macro="">
      <xdr:nvGraphicFramePr>
        <xdr:cNvPr id="3" name="Chart 2">
          <a:extLst>
            <a:ext uri="{FF2B5EF4-FFF2-40B4-BE49-F238E27FC236}">
              <a16:creationId xmlns:a16="http://schemas.microsoft.com/office/drawing/2014/main" id="{AF687877-5B44-3043-A8BC-311882708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11</xdr:col>
      <xdr:colOff>0</xdr:colOff>
      <xdr:row>1</xdr:row>
      <xdr:rowOff>0</xdr:rowOff>
    </xdr:from>
    <xdr:ext cx="4104822" cy="404726"/>
    <xdr:sp macro="" textlink="">
      <xdr:nvSpPr>
        <xdr:cNvPr id="5" name="TextBox 4">
          <a:extLst>
            <a:ext uri="{FF2B5EF4-FFF2-40B4-BE49-F238E27FC236}">
              <a16:creationId xmlns:a16="http://schemas.microsoft.com/office/drawing/2014/main" id="{FFFDDE33-0AC3-8546-951D-777F87239AB9}"/>
            </a:ext>
          </a:extLst>
        </xdr:cNvPr>
        <xdr:cNvSpPr txBox="1"/>
      </xdr:nvSpPr>
      <xdr:spPr>
        <a:xfrm>
          <a:off x="9359900" y="228600"/>
          <a:ext cx="4104822" cy="40472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a:latin typeface="Times New Roman" panose="02020603050405020304" pitchFamily="18" charset="0"/>
              <a:cs typeface="Times New Roman" panose="02020603050405020304" pitchFamily="18" charset="0"/>
            </a:rPr>
            <a:t>Monochord</a:t>
          </a:r>
        </a:p>
        <a:p>
          <a:r>
            <a:rPr lang="en-GB" sz="1100" kern="1200">
              <a:latin typeface="Times New Roman" panose="02020603050405020304" pitchFamily="18" charset="0"/>
              <a:cs typeface="Times New Roman" panose="02020603050405020304" pitchFamily="18" charset="0"/>
            </a:rPr>
            <a:t>Shows the data from Werckmeister,</a:t>
          </a:r>
          <a:r>
            <a:rPr lang="en-GB" sz="1100" kern="1200" baseline="0">
              <a:latin typeface="Times New Roman" panose="02020603050405020304" pitchFamily="18" charset="0"/>
              <a:cs typeface="Times New Roman" panose="02020603050405020304" pitchFamily="18" charset="0"/>
            </a:rPr>
            <a:t> 1691.</a:t>
          </a:r>
          <a:endParaRPr lang="en-GB" sz="1100" kern="1200">
            <a:latin typeface="Times New Roman" panose="02020603050405020304" pitchFamily="18" charset="0"/>
            <a:cs typeface="Times New Roman" panose="02020603050405020304" pitchFamily="18" charset="0"/>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C8159E35-2A51-3241-BBD9-18E03B6EC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CF66CB63-CC50-6245-8425-9E2597200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FEE20D03-A77B-C74F-877D-89FC809C3120}"/>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29.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B5B69D1E-35CA-5548-BDCB-F1E0F22A4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60545C00-590D-E24D-A023-3E353CC45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54FE6DCA-7DEF-4F43-B87D-A46DB83CCC82}"/>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3.xml><?xml version="1.0" encoding="utf-8"?>
<xdr:wsDr xmlns:xdr="http://schemas.openxmlformats.org/drawingml/2006/spreadsheetDrawing" xmlns:a="http://schemas.openxmlformats.org/drawingml/2006/main">
  <xdr:twoCellAnchor>
    <xdr:from>
      <xdr:col>6</xdr:col>
      <xdr:colOff>819675</xdr:colOff>
      <xdr:row>27</xdr:row>
      <xdr:rowOff>33401</xdr:rowOff>
    </xdr:from>
    <xdr:to>
      <xdr:col>11</xdr:col>
      <xdr:colOff>157895</xdr:colOff>
      <xdr:row>40</xdr:row>
      <xdr:rowOff>111841</xdr:rowOff>
    </xdr:to>
    <xdr:graphicFrame macro="">
      <xdr:nvGraphicFramePr>
        <xdr:cNvPr id="2" name="Chart 1">
          <a:extLst>
            <a:ext uri="{FF2B5EF4-FFF2-40B4-BE49-F238E27FC236}">
              <a16:creationId xmlns:a16="http://schemas.microsoft.com/office/drawing/2014/main" id="{019FF976-55D6-B148-B2A8-87B6F74F4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27</xdr:row>
      <xdr:rowOff>33401</xdr:rowOff>
    </xdr:from>
    <xdr:to>
      <xdr:col>16</xdr:col>
      <xdr:colOff>216568</xdr:colOff>
      <xdr:row>40</xdr:row>
      <xdr:rowOff>111841</xdr:rowOff>
    </xdr:to>
    <xdr:graphicFrame macro="">
      <xdr:nvGraphicFramePr>
        <xdr:cNvPr id="3" name="Chart 2">
          <a:extLst>
            <a:ext uri="{FF2B5EF4-FFF2-40B4-BE49-F238E27FC236}">
              <a16:creationId xmlns:a16="http://schemas.microsoft.com/office/drawing/2014/main" id="{F183A647-F47B-7B4E-AE05-A9AF54151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27</xdr:row>
      <xdr:rowOff>84201</xdr:rowOff>
    </xdr:from>
    <xdr:to>
      <xdr:col>26</xdr:col>
      <xdr:colOff>330246</xdr:colOff>
      <xdr:row>40</xdr:row>
      <xdr:rowOff>162641</xdr:rowOff>
    </xdr:to>
    <xdr:graphicFrame macro="">
      <xdr:nvGraphicFramePr>
        <xdr:cNvPr id="4" name="Chart 3">
          <a:extLst>
            <a:ext uri="{FF2B5EF4-FFF2-40B4-BE49-F238E27FC236}">
              <a16:creationId xmlns:a16="http://schemas.microsoft.com/office/drawing/2014/main" id="{500FC821-D9A6-A045-ACC1-9B3A4FA20B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27</xdr:row>
      <xdr:rowOff>56206</xdr:rowOff>
    </xdr:from>
    <xdr:ext cx="4882714" cy="717119"/>
    <xdr:sp macro="" textlink="" fLocksText="0">
      <xdr:nvSpPr>
        <xdr:cNvPr id="5" name="TextBox 4">
          <a:extLst>
            <a:ext uri="{FF2B5EF4-FFF2-40B4-BE49-F238E27FC236}">
              <a16:creationId xmlns:a16="http://schemas.microsoft.com/office/drawing/2014/main" id="{FDCBB5FF-8FA7-1B49-9D93-5BBA73154969}"/>
            </a:ext>
          </a:extLst>
        </xdr:cNvPr>
        <xdr:cNvSpPr txBox="1"/>
      </xdr:nvSpPr>
      <xdr:spPr>
        <a:xfrm>
          <a:off x="589472" y="6012506"/>
          <a:ext cx="4882714" cy="71711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Aria, Spain, Model SP-3M</a:t>
          </a:r>
        </a:p>
        <a:p>
          <a:r>
            <a:rPr lang="en-GB" sz="1100" b="0" kern="1200" baseline="0">
              <a:latin typeface="Times New Roman" panose="02020603050405020304" pitchFamily="18" charset="0"/>
              <a:cs typeface="Times New Roman" panose="02020603050405020304" pitchFamily="18" charset="0"/>
            </a:rPr>
            <a:t>Modern instrument</a:t>
          </a:r>
        </a:p>
        <a:p>
          <a:r>
            <a:rPr lang="en-GB" sz="1100" b="0" kern="1200" baseline="0">
              <a:latin typeface="Times New Roman" panose="02020603050405020304" pitchFamily="18" charset="0"/>
              <a:cs typeface="Times New Roman" panose="02020603050405020304" pitchFamily="18" charset="0"/>
            </a:rPr>
            <a:t>This is just to show that it fits ET well (there is some tolerance in the measurments with a simple ruler).</a:t>
          </a:r>
        </a:p>
      </xdr:txBody>
    </xdr:sp>
    <xdr:clientData fLocksWithSheet="0"/>
  </xdr:oneCellAnchor>
  <xdr:twoCellAnchor>
    <xdr:from>
      <xdr:col>16</xdr:col>
      <xdr:colOff>488852</xdr:colOff>
      <xdr:row>27</xdr:row>
      <xdr:rowOff>33401</xdr:rowOff>
    </xdr:from>
    <xdr:to>
      <xdr:col>21</xdr:col>
      <xdr:colOff>254356</xdr:colOff>
      <xdr:row>40</xdr:row>
      <xdr:rowOff>111841</xdr:rowOff>
    </xdr:to>
    <xdr:graphicFrame macro="">
      <xdr:nvGraphicFramePr>
        <xdr:cNvPr id="6" name="Chart 5">
          <a:extLst>
            <a:ext uri="{FF2B5EF4-FFF2-40B4-BE49-F238E27FC236}">
              <a16:creationId xmlns:a16="http://schemas.microsoft.com/office/drawing/2014/main" id="{3EE358F3-6C8B-424C-B3AF-333E801DA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F9789667-DB99-B441-9B3D-007B24C50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691D18A7-3BAF-8A49-9A3A-F6C841263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002FA3BD-B97C-DF47-BE83-FA982AA7E49B}"/>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31.xml><?xml version="1.0" encoding="utf-8"?>
<xdr:wsDr xmlns:xdr="http://schemas.openxmlformats.org/drawingml/2006/spreadsheetDrawing" xmlns:a="http://schemas.openxmlformats.org/drawingml/2006/main">
  <xdr:twoCellAnchor>
    <xdr:from>
      <xdr:col>22</xdr:col>
      <xdr:colOff>27708</xdr:colOff>
      <xdr:row>2</xdr:row>
      <xdr:rowOff>194368</xdr:rowOff>
    </xdr:from>
    <xdr:to>
      <xdr:col>25</xdr:col>
      <xdr:colOff>611208</xdr:colOff>
      <xdr:row>10</xdr:row>
      <xdr:rowOff>155068</xdr:rowOff>
    </xdr:to>
    <xdr:graphicFrame macro="">
      <xdr:nvGraphicFramePr>
        <xdr:cNvPr id="2" name="Chart 1">
          <a:extLst>
            <a:ext uri="{FF2B5EF4-FFF2-40B4-BE49-F238E27FC236}">
              <a16:creationId xmlns:a16="http://schemas.microsoft.com/office/drawing/2014/main" id="{9E2B376B-DA32-184B-A035-341A3DB5A1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27709</xdr:colOff>
      <xdr:row>11</xdr:row>
      <xdr:rowOff>47335</xdr:rowOff>
    </xdr:from>
    <xdr:to>
      <xdr:col>25</xdr:col>
      <xdr:colOff>611209</xdr:colOff>
      <xdr:row>21</xdr:row>
      <xdr:rowOff>122335</xdr:rowOff>
    </xdr:to>
    <xdr:graphicFrame macro="">
      <xdr:nvGraphicFramePr>
        <xdr:cNvPr id="3" name="Chart 2">
          <a:extLst>
            <a:ext uri="{FF2B5EF4-FFF2-40B4-BE49-F238E27FC236}">
              <a16:creationId xmlns:a16="http://schemas.microsoft.com/office/drawing/2014/main" id="{09DD9FE5-0321-4741-AC9B-EB6FA050F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11</xdr:col>
      <xdr:colOff>787400</xdr:colOff>
      <xdr:row>0</xdr:row>
      <xdr:rowOff>177800</xdr:rowOff>
    </xdr:from>
    <xdr:ext cx="7708900" cy="1029513"/>
    <xdr:sp macro="" textlink="">
      <xdr:nvSpPr>
        <xdr:cNvPr id="4" name="TextBox 3">
          <a:extLst>
            <a:ext uri="{FF2B5EF4-FFF2-40B4-BE49-F238E27FC236}">
              <a16:creationId xmlns:a16="http://schemas.microsoft.com/office/drawing/2014/main" id="{4EF85EC3-D729-C843-9269-F7EC00E12503}"/>
            </a:ext>
          </a:extLst>
        </xdr:cNvPr>
        <xdr:cNvSpPr txBox="1"/>
      </xdr:nvSpPr>
      <xdr:spPr>
        <a:xfrm>
          <a:off x="10566400" y="177800"/>
          <a:ext cx="7708900" cy="1029513"/>
        </a:xfrm>
        <a:prstGeom prst="rect">
          <a:avLst/>
        </a:prstGeom>
        <a:solidFill>
          <a:srgbClr val="83CBEB">
            <a:alpha val="20784"/>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kern="1200" cap="none" spc="0">
              <a:ln>
                <a:noFill/>
              </a:ln>
              <a:solidFill>
                <a:sysClr val="windowText" lastClr="000000"/>
              </a:solidFill>
              <a:effectLst/>
              <a:latin typeface="Times New Roman" panose="02020603050405020304" pitchFamily="18" charset="0"/>
              <a:cs typeface="Times New Roman" panose="02020603050405020304" pitchFamily="18" charset="0"/>
            </a:rPr>
            <a:t>Note: </a:t>
          </a:r>
        </a:p>
        <a:p>
          <a:r>
            <a:rPr lang="en-GB" sz="1100" b="0" kern="1200" cap="none" spc="0">
              <a:ln>
                <a:noFill/>
              </a:ln>
              <a:solidFill>
                <a:sysClr val="windowText" lastClr="000000"/>
              </a:solidFill>
              <a:effectLst/>
              <a:latin typeface="Times New Roman" panose="02020603050405020304" pitchFamily="18" charset="0"/>
              <a:cs typeface="Times New Roman" panose="02020603050405020304" pitchFamily="18" charset="0"/>
            </a:rPr>
            <a:t>With the fifth G# to Eb instead of G# to D#, </a:t>
          </a:r>
          <a:r>
            <a:rPr lang="en-GB" sz="1100" b="0" kern="1200" cap="none" spc="0" baseline="0">
              <a:ln>
                <a:noFill/>
              </a:ln>
              <a:solidFill>
                <a:sysClr val="windowText" lastClr="000000"/>
              </a:solidFill>
              <a:effectLst/>
              <a:latin typeface="Times New Roman" panose="02020603050405020304" pitchFamily="18" charset="0"/>
              <a:cs typeface="Times New Roman" panose="02020603050405020304" pitchFamily="18" charset="0"/>
            </a:rPr>
            <a:t>different values for Bb and F are reached and the octave c is then  correct.</a:t>
          </a:r>
        </a:p>
        <a:p>
          <a:r>
            <a:rPr lang="en-GB" sz="1100" b="0" kern="1200" cap="none" spc="0" baseline="0">
              <a:ln>
                <a:noFill/>
              </a:ln>
              <a:solidFill>
                <a:sysClr val="windowText" lastClr="000000"/>
              </a:solidFill>
              <a:effectLst/>
              <a:latin typeface="Times New Roman" panose="02020603050405020304" pitchFamily="18" charset="0"/>
              <a:cs typeface="Times New Roman" panose="02020603050405020304" pitchFamily="18" charset="0"/>
            </a:rPr>
            <a:t>That version is given in</a:t>
          </a:r>
        </a:p>
        <a:p>
          <a:r>
            <a:rPr lang="en-GB" sz="1100" b="0" kern="1200" cap="none" spc="0">
              <a:ln>
                <a:noFill/>
              </a:ln>
              <a:solidFill>
                <a:sysClr val="windowText" lastClr="000000"/>
              </a:solidFill>
              <a:effectLst/>
              <a:latin typeface="Times New Roman" panose="02020603050405020304" pitchFamily="18" charset="0"/>
              <a:cs typeface="Times New Roman" panose="02020603050405020304" pitchFamily="18" charset="0"/>
            </a:rPr>
            <a:t>https://bund-deutscher-orgelbaumeister.de/stimmungen/template.htm?label=2hpy_g&amp;title=pythagoreisch%20genauer&amp;centstr=0,1.955,3.91,5.865,7.82,9.775,11.73,13.685,15.64,-5.865,-3.91,-1.955,0</a:t>
          </a:r>
        </a:p>
      </xdr:txBody>
    </xdr:sp>
    <xdr:clientData/>
  </xdr:oneCellAnchor>
  <xdr:twoCellAnchor>
    <xdr:from>
      <xdr:col>6</xdr:col>
      <xdr:colOff>317499</xdr:colOff>
      <xdr:row>7</xdr:row>
      <xdr:rowOff>117592</xdr:rowOff>
    </xdr:from>
    <xdr:to>
      <xdr:col>8</xdr:col>
      <xdr:colOff>117592</xdr:colOff>
      <xdr:row>8</xdr:row>
      <xdr:rowOff>517407</xdr:rowOff>
    </xdr:to>
    <xdr:sp macro="" textlink="">
      <xdr:nvSpPr>
        <xdr:cNvPr id="5" name="Line Callout 1 4">
          <a:extLst>
            <a:ext uri="{FF2B5EF4-FFF2-40B4-BE49-F238E27FC236}">
              <a16:creationId xmlns:a16="http://schemas.microsoft.com/office/drawing/2014/main" id="{3EEA7204-4E34-80E7-A34B-E799A8006FCE}"/>
            </a:ext>
          </a:extLst>
        </xdr:cNvPr>
        <xdr:cNvSpPr/>
      </xdr:nvSpPr>
      <xdr:spPr>
        <a:xfrm>
          <a:off x="5115277" y="1505185"/>
          <a:ext cx="1634537" cy="623241"/>
        </a:xfrm>
        <a:prstGeom prst="borderCallout1">
          <a:avLst>
            <a:gd name="adj1" fmla="val 20637"/>
            <a:gd name="adj2" fmla="val -1139"/>
            <a:gd name="adj3" fmla="val 74356"/>
            <a:gd name="adj4" fmla="val -36851"/>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rgbClr val="FF0000"/>
              </a:solidFill>
            </a:rPr>
            <a:t>Changed</a:t>
          </a:r>
          <a:r>
            <a:rPr lang="en-GB" sz="1100" baseline="0">
              <a:solidFill>
                <a:srgbClr val="FF0000"/>
              </a:solidFill>
            </a:rPr>
            <a:t> to use column C instead of E</a:t>
          </a:r>
          <a:endParaRPr lang="en-GB" sz="1100">
            <a:solidFill>
              <a:srgbClr val="FF0000"/>
            </a:solidFill>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21</xdr:col>
      <xdr:colOff>133834</xdr:colOff>
      <xdr:row>3</xdr:row>
      <xdr:rowOff>180535</xdr:rowOff>
    </xdr:from>
    <xdr:to>
      <xdr:col>25</xdr:col>
      <xdr:colOff>76234</xdr:colOff>
      <xdr:row>10</xdr:row>
      <xdr:rowOff>153935</xdr:rowOff>
    </xdr:to>
    <xdr:graphicFrame macro="">
      <xdr:nvGraphicFramePr>
        <xdr:cNvPr id="2" name="Chart 1">
          <a:extLst>
            <a:ext uri="{FF2B5EF4-FFF2-40B4-BE49-F238E27FC236}">
              <a16:creationId xmlns:a16="http://schemas.microsoft.com/office/drawing/2014/main" id="{DF9297C7-F30D-C745-BAB1-D4C94F777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133834</xdr:colOff>
      <xdr:row>11</xdr:row>
      <xdr:rowOff>20928</xdr:rowOff>
    </xdr:from>
    <xdr:to>
      <xdr:col>25</xdr:col>
      <xdr:colOff>76234</xdr:colOff>
      <xdr:row>21</xdr:row>
      <xdr:rowOff>95928</xdr:rowOff>
    </xdr:to>
    <xdr:graphicFrame macro="">
      <xdr:nvGraphicFramePr>
        <xdr:cNvPr id="3" name="Chart 2">
          <a:extLst>
            <a:ext uri="{FF2B5EF4-FFF2-40B4-BE49-F238E27FC236}">
              <a16:creationId xmlns:a16="http://schemas.microsoft.com/office/drawing/2014/main" id="{60709D99-6838-9A4D-8108-2FA757F260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341906"/>
    <xdr:sp macro="" textlink="" fLocksText="0">
      <xdr:nvSpPr>
        <xdr:cNvPr id="4" name="TextBox 3">
          <a:extLst>
            <a:ext uri="{FF2B5EF4-FFF2-40B4-BE49-F238E27FC236}">
              <a16:creationId xmlns:a16="http://schemas.microsoft.com/office/drawing/2014/main" id="{7C84E570-706D-D744-8A3A-9235BF615078}"/>
            </a:ext>
          </a:extLst>
        </xdr:cNvPr>
        <xdr:cNvSpPr txBox="1"/>
      </xdr:nvSpPr>
      <xdr:spPr>
        <a:xfrm>
          <a:off x="10274300" y="228600"/>
          <a:ext cx="5486400" cy="134190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b="0" kern="1200" baseline="0">
              <a:latin typeface="Times New Roman" panose="02020603050405020304" pitchFamily="18" charset="0"/>
              <a:cs typeface="Times New Roman" panose="02020603050405020304" pitchFamily="18" charset="0"/>
            </a:rPr>
            <a:t>Silbermann Freiberger Dom Holzprinicpal 16'</a:t>
          </a:r>
        </a:p>
        <a:p>
          <a:r>
            <a:rPr lang="en-GB" sz="1100" b="0" kern="1200" baseline="0">
              <a:latin typeface="Times New Roman" panose="02020603050405020304" pitchFamily="18" charset="0"/>
              <a:cs typeface="Times New Roman" panose="02020603050405020304" pitchFamily="18" charset="0"/>
            </a:rPr>
            <a:t>From Beobachtungen am vorhandenen Pfeifenwerk der Freiberger Domorgel, p. 78.</a:t>
          </a:r>
        </a:p>
        <a:p>
          <a:r>
            <a:rPr lang="en-GB" sz="1100" b="0" kern="1200" baseline="0">
              <a:latin typeface="Times New Roman" panose="02020603050405020304" pitchFamily="18" charset="0"/>
              <a:cs typeface="Times New Roman" panose="02020603050405020304" pitchFamily="18" charset="0"/>
            </a:rPr>
            <a:t>Orgeltemperatur - ein Beitrag zum Problem der Rekonstruktion historischer Stimmungsarten bei Orgelrestaurierungen.</a:t>
          </a:r>
        </a:p>
        <a:p>
          <a:pPr marL="0" marR="0" lvl="0" indent="0" defTabSz="914400" eaLnBrk="1" fontAlgn="auto" latinLnBrk="0" hangingPunct="1">
            <a:lnSpc>
              <a:spcPct val="100000"/>
            </a:lnSpc>
            <a:spcBef>
              <a:spcPts val="0"/>
            </a:spcBef>
            <a:spcAft>
              <a:spcPts val="0"/>
            </a:spcAft>
            <a:buClrTx/>
            <a:buSzTx/>
            <a:buFontTx/>
            <a:buNone/>
            <a:tabLst/>
            <a:defRPr/>
          </a:pPr>
          <a:r>
            <a:rPr lang="en-GB" sz="1100" b="0" kern="1200" baseline="0">
              <a:latin typeface="Times New Roman" panose="02020603050405020304" pitchFamily="18" charset="0"/>
              <a:cs typeface="Times New Roman" panose="02020603050405020304" pitchFamily="18" charset="0"/>
            </a:rPr>
            <a:t>Kristian Wegscheider, Hartmut Schütz.</a:t>
          </a:r>
        </a:p>
        <a:p>
          <a:r>
            <a:rPr lang="en-GB" sz="1100" b="0" kern="1200" baseline="0">
              <a:latin typeface="Times New Roman" panose="02020603050405020304" pitchFamily="18" charset="0"/>
              <a:cs typeface="Times New Roman" panose="02020603050405020304" pitchFamily="18" charset="0"/>
            </a:rPr>
            <a:t>Kultur- und Forschungsstätte Michaelstein, Sonderbeitrag Heft 5. Herausgegeben von Eitelfriedrich Thom</a:t>
          </a:r>
          <a:r>
            <a:rPr lang="en-GB" sz="1100" b="1" kern="1200" baseline="0">
              <a:latin typeface="Times New Roman" panose="02020603050405020304" pitchFamily="18" charset="0"/>
              <a:cs typeface="Times New Roman" panose="02020603050405020304" pitchFamily="18" charset="0"/>
            </a:rPr>
            <a:t>.</a:t>
          </a:r>
          <a:endParaRPr lang="en-GB" sz="1100" b="0" kern="1200" baseline="0">
            <a:latin typeface="Times New Roman" panose="02020603050405020304" pitchFamily="18" charset="0"/>
            <a:cs typeface="Times New Roman" panose="02020603050405020304" pitchFamily="18" charset="0"/>
          </a:endParaRPr>
        </a:p>
      </xdr:txBody>
    </xdr:sp>
    <xdr:clientData fLocksWithSheet="0"/>
  </xdr:oneCellAnchor>
</xdr:wsDr>
</file>

<file path=xl/drawings/drawing33.xml><?xml version="1.0" encoding="utf-8"?>
<xdr:wsDr xmlns:xdr="http://schemas.openxmlformats.org/drawingml/2006/spreadsheetDrawing" xmlns:a="http://schemas.openxmlformats.org/drawingml/2006/main">
  <xdr:twoCellAnchor>
    <xdr:from>
      <xdr:col>21</xdr:col>
      <xdr:colOff>133834</xdr:colOff>
      <xdr:row>3</xdr:row>
      <xdr:rowOff>180535</xdr:rowOff>
    </xdr:from>
    <xdr:to>
      <xdr:col>25</xdr:col>
      <xdr:colOff>76234</xdr:colOff>
      <xdr:row>10</xdr:row>
      <xdr:rowOff>153935</xdr:rowOff>
    </xdr:to>
    <xdr:graphicFrame macro="">
      <xdr:nvGraphicFramePr>
        <xdr:cNvPr id="2" name="Chart 1">
          <a:extLst>
            <a:ext uri="{FF2B5EF4-FFF2-40B4-BE49-F238E27FC236}">
              <a16:creationId xmlns:a16="http://schemas.microsoft.com/office/drawing/2014/main" id="{9A4402CF-941A-5644-AF6F-B7D3D1396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133834</xdr:colOff>
      <xdr:row>11</xdr:row>
      <xdr:rowOff>20928</xdr:rowOff>
    </xdr:from>
    <xdr:to>
      <xdr:col>25</xdr:col>
      <xdr:colOff>76234</xdr:colOff>
      <xdr:row>21</xdr:row>
      <xdr:rowOff>95928</xdr:rowOff>
    </xdr:to>
    <xdr:graphicFrame macro="">
      <xdr:nvGraphicFramePr>
        <xdr:cNvPr id="3" name="Chart 2">
          <a:extLst>
            <a:ext uri="{FF2B5EF4-FFF2-40B4-BE49-F238E27FC236}">
              <a16:creationId xmlns:a16="http://schemas.microsoft.com/office/drawing/2014/main" id="{97968D89-6B94-4B44-8F88-990B53EF8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341906"/>
    <xdr:sp macro="" textlink="" fLocksText="0">
      <xdr:nvSpPr>
        <xdr:cNvPr id="4" name="TextBox 3">
          <a:extLst>
            <a:ext uri="{FF2B5EF4-FFF2-40B4-BE49-F238E27FC236}">
              <a16:creationId xmlns:a16="http://schemas.microsoft.com/office/drawing/2014/main" id="{1290CC62-EC70-1A4D-942C-1C39E1286DB6}"/>
            </a:ext>
          </a:extLst>
        </xdr:cNvPr>
        <xdr:cNvSpPr txBox="1"/>
      </xdr:nvSpPr>
      <xdr:spPr>
        <a:xfrm>
          <a:off x="10274300" y="228600"/>
          <a:ext cx="5486400" cy="134190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b="0" kern="1200" baseline="0">
              <a:latin typeface="Times New Roman" panose="02020603050405020304" pitchFamily="18" charset="0"/>
              <a:cs typeface="Times New Roman" panose="02020603050405020304" pitchFamily="18" charset="0"/>
            </a:rPr>
            <a:t>Silbermann Freiberger Dom Holzprinicpal 16'</a:t>
          </a:r>
        </a:p>
        <a:p>
          <a:r>
            <a:rPr lang="en-GB" sz="1100" b="0" kern="1200" baseline="0">
              <a:latin typeface="Times New Roman" panose="02020603050405020304" pitchFamily="18" charset="0"/>
              <a:cs typeface="Times New Roman" panose="02020603050405020304" pitchFamily="18" charset="0"/>
            </a:rPr>
            <a:t>From Beobachtungen am vorhandenen Pfeifenwerk der Freiberger Domorgel, p. 79.</a:t>
          </a:r>
        </a:p>
        <a:p>
          <a:r>
            <a:rPr lang="en-GB" sz="1100" b="0" kern="1200" baseline="0">
              <a:latin typeface="Times New Roman" panose="02020603050405020304" pitchFamily="18" charset="0"/>
              <a:cs typeface="Times New Roman" panose="02020603050405020304" pitchFamily="18" charset="0"/>
            </a:rPr>
            <a:t>Orgeltemperatur - ein Beitrag zum Problem der Rekonstruktion historischer Stimmungsarten bei Orgelrestaurierungen.</a:t>
          </a:r>
        </a:p>
        <a:p>
          <a:pPr marL="0" marR="0" lvl="0" indent="0" defTabSz="914400" eaLnBrk="1" fontAlgn="auto" latinLnBrk="0" hangingPunct="1">
            <a:lnSpc>
              <a:spcPct val="100000"/>
            </a:lnSpc>
            <a:spcBef>
              <a:spcPts val="0"/>
            </a:spcBef>
            <a:spcAft>
              <a:spcPts val="0"/>
            </a:spcAft>
            <a:buClrTx/>
            <a:buSzTx/>
            <a:buFontTx/>
            <a:buNone/>
            <a:tabLst/>
            <a:defRPr/>
          </a:pPr>
          <a:r>
            <a:rPr lang="en-GB" sz="1100" b="0" kern="1200" baseline="0">
              <a:latin typeface="Times New Roman" panose="02020603050405020304" pitchFamily="18" charset="0"/>
              <a:cs typeface="Times New Roman" panose="02020603050405020304" pitchFamily="18" charset="0"/>
            </a:rPr>
            <a:t>Kristian Wegscheider, Hartmut Schütz.</a:t>
          </a:r>
        </a:p>
        <a:p>
          <a:r>
            <a:rPr lang="en-GB" sz="1100" b="0" kern="1200" baseline="0">
              <a:latin typeface="Times New Roman" panose="02020603050405020304" pitchFamily="18" charset="0"/>
              <a:cs typeface="Times New Roman" panose="02020603050405020304" pitchFamily="18" charset="0"/>
            </a:rPr>
            <a:t>Kultur- und Forschungsstätte Michaelstein, Sonderbeitrag Heft 5. Herausgegeben von Eitelfriedrich Thom</a:t>
          </a:r>
          <a:r>
            <a:rPr lang="en-GB" sz="1100" b="1" kern="1200" baseline="0">
              <a:latin typeface="Times New Roman" panose="02020603050405020304" pitchFamily="18" charset="0"/>
              <a:cs typeface="Times New Roman" panose="02020603050405020304" pitchFamily="18" charset="0"/>
            </a:rPr>
            <a:t>.</a:t>
          </a:r>
          <a:endParaRPr lang="en-GB" sz="1100" b="0" kern="1200" baseline="0">
            <a:latin typeface="Times New Roman" panose="02020603050405020304" pitchFamily="18" charset="0"/>
            <a:cs typeface="Times New Roman" panose="02020603050405020304" pitchFamily="18" charset="0"/>
          </a:endParaRPr>
        </a:p>
      </xdr:txBody>
    </xdr:sp>
    <xdr:clientData fLocksWithSheet="0"/>
  </xdr:oneCellAnchor>
</xdr:wsDr>
</file>

<file path=xl/drawings/drawing34.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DC54F508-FEE9-3C49-BA78-D3CB84B43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88D0CFC1-53E2-0D46-8483-BA09741FA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341906"/>
    <xdr:sp macro="" textlink="" fLocksText="0">
      <xdr:nvSpPr>
        <xdr:cNvPr id="4" name="TextBox 3">
          <a:extLst>
            <a:ext uri="{FF2B5EF4-FFF2-40B4-BE49-F238E27FC236}">
              <a16:creationId xmlns:a16="http://schemas.microsoft.com/office/drawing/2014/main" id="{912B2162-F4B8-D447-9700-D7F04B5DF91F}"/>
            </a:ext>
          </a:extLst>
        </xdr:cNvPr>
        <xdr:cNvSpPr txBox="1"/>
      </xdr:nvSpPr>
      <xdr:spPr>
        <a:xfrm>
          <a:off x="10274300" y="228600"/>
          <a:ext cx="5486400" cy="134190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b="0" kern="1200" baseline="0">
              <a:latin typeface="Times New Roman" panose="02020603050405020304" pitchFamily="18" charset="0"/>
              <a:cs typeface="Times New Roman" panose="02020603050405020304" pitchFamily="18" charset="0"/>
            </a:rPr>
            <a:t>Silbermann Freiberger Dom final tuning of September1983.</a:t>
          </a:r>
        </a:p>
        <a:p>
          <a:r>
            <a:rPr lang="en-GB" sz="1100" b="0" kern="1200" baseline="0">
              <a:latin typeface="Times New Roman" panose="02020603050405020304" pitchFamily="18" charset="0"/>
              <a:cs typeface="Times New Roman" panose="02020603050405020304" pitchFamily="18" charset="0"/>
            </a:rPr>
            <a:t>From Beobachtungen am vorhandenen Pfeifenwerk der Freiberger Domorgel, p. 86.</a:t>
          </a:r>
        </a:p>
        <a:p>
          <a:r>
            <a:rPr lang="en-GB" sz="1100" b="0" kern="1200" baseline="0">
              <a:latin typeface="Times New Roman" panose="02020603050405020304" pitchFamily="18" charset="0"/>
              <a:cs typeface="Times New Roman" panose="02020603050405020304" pitchFamily="18" charset="0"/>
            </a:rPr>
            <a:t>Orgeltemperatur - ein Beitrag zum Problem der Rekonstruktion historischer Stimmungsarten bei Orgelrestaurierungen.</a:t>
          </a:r>
        </a:p>
        <a:p>
          <a:pPr marL="0" marR="0" lvl="0" indent="0" defTabSz="914400" eaLnBrk="1" fontAlgn="auto" latinLnBrk="0" hangingPunct="1">
            <a:lnSpc>
              <a:spcPct val="100000"/>
            </a:lnSpc>
            <a:spcBef>
              <a:spcPts val="0"/>
            </a:spcBef>
            <a:spcAft>
              <a:spcPts val="0"/>
            </a:spcAft>
            <a:buClrTx/>
            <a:buSzTx/>
            <a:buFontTx/>
            <a:buNone/>
            <a:tabLst/>
            <a:defRPr/>
          </a:pPr>
          <a:r>
            <a:rPr lang="en-GB" sz="1100" b="0" kern="1200" baseline="0">
              <a:latin typeface="Times New Roman" panose="02020603050405020304" pitchFamily="18" charset="0"/>
              <a:cs typeface="Times New Roman" panose="02020603050405020304" pitchFamily="18" charset="0"/>
            </a:rPr>
            <a:t>Kristian Wegscheider, Hartmut Schütz.</a:t>
          </a:r>
        </a:p>
        <a:p>
          <a:r>
            <a:rPr lang="en-GB" sz="1100" b="0" kern="1200" baseline="0">
              <a:latin typeface="Times New Roman" panose="02020603050405020304" pitchFamily="18" charset="0"/>
              <a:cs typeface="Times New Roman" panose="02020603050405020304" pitchFamily="18" charset="0"/>
            </a:rPr>
            <a:t>Kultur- und Forschungsstätte Michaelstein, Sonderbeitrag Heft 5. Herausgegeben von Eitelfriedrich Thom</a:t>
          </a:r>
          <a:r>
            <a:rPr lang="en-GB" sz="1100" b="1" kern="1200" baseline="0">
              <a:latin typeface="Times New Roman" panose="02020603050405020304" pitchFamily="18" charset="0"/>
              <a:cs typeface="Times New Roman" panose="02020603050405020304" pitchFamily="18" charset="0"/>
            </a:rPr>
            <a:t>.</a:t>
          </a:r>
        </a:p>
      </xdr:txBody>
    </xdr:sp>
    <xdr:clientData fLocksWithSheet="0"/>
  </xdr:oneCellAnchor>
</xdr:wsDr>
</file>

<file path=xl/drawings/drawing35.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A14767CB-CB45-314F-B36F-8B391F64E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8894DB24-4A09-D948-B756-33482A96E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1341906"/>
    <xdr:sp macro="" textlink="" fLocksText="0">
      <xdr:nvSpPr>
        <xdr:cNvPr id="4" name="TextBox 3">
          <a:extLst>
            <a:ext uri="{FF2B5EF4-FFF2-40B4-BE49-F238E27FC236}">
              <a16:creationId xmlns:a16="http://schemas.microsoft.com/office/drawing/2014/main" id="{1A72287F-083F-3B4F-BF40-1CDDB48532B4}"/>
            </a:ext>
          </a:extLst>
        </xdr:cNvPr>
        <xdr:cNvSpPr txBox="1"/>
      </xdr:nvSpPr>
      <xdr:spPr>
        <a:xfrm>
          <a:off x="10274300" y="228600"/>
          <a:ext cx="5486400" cy="134190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b="0" kern="1200" baseline="0">
              <a:latin typeface="Times New Roman" panose="02020603050405020304" pitchFamily="18" charset="0"/>
              <a:cs typeface="Times New Roman" panose="02020603050405020304" pitchFamily="18" charset="0"/>
            </a:rPr>
            <a:t>Silbermann Freiberger Dom final tuning of September1985.</a:t>
          </a:r>
        </a:p>
        <a:p>
          <a:r>
            <a:rPr lang="en-GB" sz="1100" b="0" kern="1200" baseline="0">
              <a:latin typeface="Times New Roman" panose="02020603050405020304" pitchFamily="18" charset="0"/>
              <a:cs typeface="Times New Roman" panose="02020603050405020304" pitchFamily="18" charset="0"/>
            </a:rPr>
            <a:t>From Beobachtungen am vorhandenen Pfeifenwerk der Freiberger Domorgel, pp. 84, 89-91</a:t>
          </a:r>
        </a:p>
        <a:p>
          <a:r>
            <a:rPr lang="en-GB" sz="1100" b="0" kern="1200" baseline="0">
              <a:latin typeface="Times New Roman" panose="02020603050405020304" pitchFamily="18" charset="0"/>
              <a:cs typeface="Times New Roman" panose="02020603050405020304" pitchFamily="18" charset="0"/>
            </a:rPr>
            <a:t>Orgeltemperatur - ein Beitrag zum Problem der Rekonstruktion historischer Stimmungsarten bei Orgelrestaurierungen.</a:t>
          </a:r>
        </a:p>
        <a:p>
          <a:pPr marL="0" marR="0" lvl="0" indent="0" defTabSz="914400" eaLnBrk="1" fontAlgn="auto" latinLnBrk="0" hangingPunct="1">
            <a:lnSpc>
              <a:spcPct val="100000"/>
            </a:lnSpc>
            <a:spcBef>
              <a:spcPts val="0"/>
            </a:spcBef>
            <a:spcAft>
              <a:spcPts val="0"/>
            </a:spcAft>
            <a:buClrTx/>
            <a:buSzTx/>
            <a:buFontTx/>
            <a:buNone/>
            <a:tabLst/>
            <a:defRPr/>
          </a:pPr>
          <a:r>
            <a:rPr lang="en-GB" sz="1100" b="0" kern="1200" baseline="0">
              <a:latin typeface="Times New Roman" panose="02020603050405020304" pitchFamily="18" charset="0"/>
              <a:cs typeface="Times New Roman" panose="02020603050405020304" pitchFamily="18" charset="0"/>
            </a:rPr>
            <a:t>Kristian Wegscheider, Hartmut Schütz.</a:t>
          </a:r>
        </a:p>
        <a:p>
          <a:r>
            <a:rPr lang="en-GB" sz="1100" b="0" kern="1200" baseline="0">
              <a:latin typeface="Times New Roman" panose="02020603050405020304" pitchFamily="18" charset="0"/>
              <a:cs typeface="Times New Roman" panose="02020603050405020304" pitchFamily="18" charset="0"/>
            </a:rPr>
            <a:t>Kultur- und Forschungsstätte Michaelstein, Sonderbeitrag Heft 5. Herausgegeben von Eitelfriedrich Thom</a:t>
          </a:r>
          <a:r>
            <a:rPr lang="en-GB" sz="1100" b="1" kern="1200" baseline="0">
              <a:latin typeface="Times New Roman" panose="02020603050405020304" pitchFamily="18" charset="0"/>
              <a:cs typeface="Times New Roman" panose="02020603050405020304" pitchFamily="18" charset="0"/>
            </a:rPr>
            <a:t>.</a:t>
          </a:r>
          <a:endParaRPr lang="en-GB" sz="1100" b="0" kern="1200" baseline="0">
            <a:latin typeface="Times New Roman" panose="02020603050405020304" pitchFamily="18" charset="0"/>
            <a:cs typeface="Times New Roman" panose="02020603050405020304" pitchFamily="18" charset="0"/>
          </a:endParaRPr>
        </a:p>
      </xdr:txBody>
    </xdr:sp>
    <xdr:clientData fLocksWithSheet="0"/>
  </xdr:oneCellAnchor>
</xdr:wsDr>
</file>

<file path=xl/drawings/drawing36.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74F3228A-6C0B-554A-8F7B-73EDA2E080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730BC27E-1019-B548-8ED1-F7A38A262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765209"/>
    <xdr:sp macro="" textlink="" fLocksText="0">
      <xdr:nvSpPr>
        <xdr:cNvPr id="4" name="TextBox 3">
          <a:extLst>
            <a:ext uri="{FF2B5EF4-FFF2-40B4-BE49-F238E27FC236}">
              <a16:creationId xmlns:a16="http://schemas.microsoft.com/office/drawing/2014/main" id="{9491ACF9-F6A2-E84E-9B25-2B94D02A5E0C}"/>
            </a:ext>
          </a:extLst>
        </xdr:cNvPr>
        <xdr:cNvSpPr txBox="1"/>
      </xdr:nvSpPr>
      <xdr:spPr>
        <a:xfrm>
          <a:off x="10274300" y="228600"/>
          <a:ext cx="5486400" cy="76520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a:p>
          <a:r>
            <a:rPr lang="en-GB" sz="1100"/>
            <a:t>Cycle</a:t>
          </a:r>
          <a:r>
            <a:rPr lang="en-GB" sz="1100" baseline="0"/>
            <a:t> of fifths defined in sixths of Pythagorean commas from Norrback  p. 81, Fig. 35. The interval G#-Eb (G#-D#) is given there as "Wolf", and we set it to complete the octave.</a:t>
          </a:r>
        </a:p>
        <a:p>
          <a:r>
            <a:rPr lang="en-GB" sz="1100"/>
            <a:t>This agrees with the BDO data.</a:t>
          </a:r>
          <a:endParaRPr lang="en-GB" sz="1100" b="1" kern="1200" baseline="0">
            <a:latin typeface="Times New Roman" panose="02020603050405020304" pitchFamily="18" charset="0"/>
            <a:cs typeface="Times New Roman" panose="02020603050405020304" pitchFamily="18" charset="0"/>
          </a:endParaRPr>
        </a:p>
      </xdr:txBody>
    </xdr:sp>
    <xdr:clientData fLocksWithSheet="0"/>
  </xdr:oneCellAnchor>
</xdr:wsDr>
</file>

<file path=xl/drawings/drawing37.xml><?xml version="1.0" encoding="utf-8"?>
<xdr:wsDr xmlns:xdr="http://schemas.openxmlformats.org/drawingml/2006/spreadsheetDrawing" xmlns:a="http://schemas.openxmlformats.org/drawingml/2006/main">
  <xdr:twoCellAnchor>
    <xdr:from>
      <xdr:col>21</xdr:col>
      <xdr:colOff>133834</xdr:colOff>
      <xdr:row>3</xdr:row>
      <xdr:rowOff>180535</xdr:rowOff>
    </xdr:from>
    <xdr:to>
      <xdr:col>25</xdr:col>
      <xdr:colOff>76234</xdr:colOff>
      <xdr:row>10</xdr:row>
      <xdr:rowOff>153935</xdr:rowOff>
    </xdr:to>
    <xdr:graphicFrame macro="">
      <xdr:nvGraphicFramePr>
        <xdr:cNvPr id="2" name="Chart 1">
          <a:extLst>
            <a:ext uri="{FF2B5EF4-FFF2-40B4-BE49-F238E27FC236}">
              <a16:creationId xmlns:a16="http://schemas.microsoft.com/office/drawing/2014/main" id="{B7AC2F3F-9ECC-B041-9FF9-A432989B2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133834</xdr:colOff>
      <xdr:row>11</xdr:row>
      <xdr:rowOff>20928</xdr:rowOff>
    </xdr:from>
    <xdr:to>
      <xdr:col>25</xdr:col>
      <xdr:colOff>76234</xdr:colOff>
      <xdr:row>21</xdr:row>
      <xdr:rowOff>95928</xdr:rowOff>
    </xdr:to>
    <xdr:graphicFrame macro="">
      <xdr:nvGraphicFramePr>
        <xdr:cNvPr id="3" name="Chart 2">
          <a:extLst>
            <a:ext uri="{FF2B5EF4-FFF2-40B4-BE49-F238E27FC236}">
              <a16:creationId xmlns:a16="http://schemas.microsoft.com/office/drawing/2014/main" id="{1BFA3388-74D2-154E-B69C-54B64B605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7706F52E-DECB-9846-937F-BFFA577459AD}"/>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38.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096BF02F-AE09-804A-BAE2-45B178118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155A8605-CC4D-0646-BBDD-4945DFCA8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CC473836-FA53-BF41-8E94-31B347E1A5D9}"/>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39.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6F2551A1-33BA-4A48-B8D7-91C8FB537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1E29A978-00F9-7841-AB43-3EE4F4A6BA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1FE7429F-321C-D24A-9EE1-8B35EC5BA3C7}"/>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4.xml><?xml version="1.0" encoding="utf-8"?>
<xdr:wsDr xmlns:xdr="http://schemas.openxmlformats.org/drawingml/2006/spreadsheetDrawing" xmlns:a="http://schemas.openxmlformats.org/drawingml/2006/main">
  <xdr:twoCellAnchor>
    <xdr:from>
      <xdr:col>6</xdr:col>
      <xdr:colOff>819675</xdr:colOff>
      <xdr:row>21</xdr:row>
      <xdr:rowOff>33401</xdr:rowOff>
    </xdr:from>
    <xdr:to>
      <xdr:col>11</xdr:col>
      <xdr:colOff>157895</xdr:colOff>
      <xdr:row>34</xdr:row>
      <xdr:rowOff>111841</xdr:rowOff>
    </xdr:to>
    <xdr:graphicFrame macro="">
      <xdr:nvGraphicFramePr>
        <xdr:cNvPr id="2" name="Chart 1">
          <a:extLst>
            <a:ext uri="{FF2B5EF4-FFF2-40B4-BE49-F238E27FC236}">
              <a16:creationId xmlns:a16="http://schemas.microsoft.com/office/drawing/2014/main" id="{46F40262-F204-4C47-BEC0-F07B36A87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21</xdr:row>
      <xdr:rowOff>33401</xdr:rowOff>
    </xdr:from>
    <xdr:to>
      <xdr:col>16</xdr:col>
      <xdr:colOff>216568</xdr:colOff>
      <xdr:row>34</xdr:row>
      <xdr:rowOff>111841</xdr:rowOff>
    </xdr:to>
    <xdr:graphicFrame macro="">
      <xdr:nvGraphicFramePr>
        <xdr:cNvPr id="3" name="Chart 2">
          <a:extLst>
            <a:ext uri="{FF2B5EF4-FFF2-40B4-BE49-F238E27FC236}">
              <a16:creationId xmlns:a16="http://schemas.microsoft.com/office/drawing/2014/main" id="{26D5D222-FB8B-FB49-81A1-529F64933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21</xdr:row>
      <xdr:rowOff>84201</xdr:rowOff>
    </xdr:from>
    <xdr:to>
      <xdr:col>26</xdr:col>
      <xdr:colOff>330246</xdr:colOff>
      <xdr:row>34</xdr:row>
      <xdr:rowOff>162641</xdr:rowOff>
    </xdr:to>
    <xdr:graphicFrame macro="">
      <xdr:nvGraphicFramePr>
        <xdr:cNvPr id="4" name="Chart 3">
          <a:extLst>
            <a:ext uri="{FF2B5EF4-FFF2-40B4-BE49-F238E27FC236}">
              <a16:creationId xmlns:a16="http://schemas.microsoft.com/office/drawing/2014/main" id="{5826480A-5588-4641-A539-AA8AB395A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21</xdr:row>
      <xdr:rowOff>56206</xdr:rowOff>
    </xdr:from>
    <xdr:ext cx="4882714" cy="248530"/>
    <xdr:sp macro="" textlink="" fLocksText="0">
      <xdr:nvSpPr>
        <xdr:cNvPr id="5" name="TextBox 4">
          <a:extLst>
            <a:ext uri="{FF2B5EF4-FFF2-40B4-BE49-F238E27FC236}">
              <a16:creationId xmlns:a16="http://schemas.microsoft.com/office/drawing/2014/main" id="{417DB1E4-EA0D-9A4B-A94F-325A282C3D4D}"/>
            </a:ext>
          </a:extLst>
        </xdr:cNvPr>
        <xdr:cNvSpPr txBox="1"/>
      </xdr:nvSpPr>
      <xdr:spPr>
        <a:xfrm>
          <a:off x="589472" y="5009206"/>
          <a:ext cx="4882714"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twoCellAnchor>
    <xdr:from>
      <xdr:col>16</xdr:col>
      <xdr:colOff>488852</xdr:colOff>
      <xdr:row>21</xdr:row>
      <xdr:rowOff>33401</xdr:rowOff>
    </xdr:from>
    <xdr:to>
      <xdr:col>21</xdr:col>
      <xdr:colOff>254356</xdr:colOff>
      <xdr:row>34</xdr:row>
      <xdr:rowOff>111841</xdr:rowOff>
    </xdr:to>
    <xdr:graphicFrame macro="">
      <xdr:nvGraphicFramePr>
        <xdr:cNvPr id="6" name="Chart 5">
          <a:extLst>
            <a:ext uri="{FF2B5EF4-FFF2-40B4-BE49-F238E27FC236}">
              <a16:creationId xmlns:a16="http://schemas.microsoft.com/office/drawing/2014/main" id="{5A878817-1132-E244-A43B-7D1563288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819675</xdr:colOff>
      <xdr:row>26</xdr:row>
      <xdr:rowOff>33401</xdr:rowOff>
    </xdr:from>
    <xdr:to>
      <xdr:col>11</xdr:col>
      <xdr:colOff>157895</xdr:colOff>
      <xdr:row>39</xdr:row>
      <xdr:rowOff>111841</xdr:rowOff>
    </xdr:to>
    <xdr:graphicFrame macro="">
      <xdr:nvGraphicFramePr>
        <xdr:cNvPr id="2" name="Chart 1">
          <a:extLst>
            <a:ext uri="{FF2B5EF4-FFF2-40B4-BE49-F238E27FC236}">
              <a16:creationId xmlns:a16="http://schemas.microsoft.com/office/drawing/2014/main" id="{2ED41EA4-9F98-6A40-BBA4-E6327EEEE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26</xdr:row>
      <xdr:rowOff>33401</xdr:rowOff>
    </xdr:from>
    <xdr:to>
      <xdr:col>16</xdr:col>
      <xdr:colOff>216568</xdr:colOff>
      <xdr:row>39</xdr:row>
      <xdr:rowOff>111841</xdr:rowOff>
    </xdr:to>
    <xdr:graphicFrame macro="">
      <xdr:nvGraphicFramePr>
        <xdr:cNvPr id="3" name="Chart 2">
          <a:extLst>
            <a:ext uri="{FF2B5EF4-FFF2-40B4-BE49-F238E27FC236}">
              <a16:creationId xmlns:a16="http://schemas.microsoft.com/office/drawing/2014/main" id="{57674F3D-E192-E542-9E10-A86970852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26</xdr:row>
      <xdr:rowOff>84201</xdr:rowOff>
    </xdr:from>
    <xdr:to>
      <xdr:col>26</xdr:col>
      <xdr:colOff>330246</xdr:colOff>
      <xdr:row>39</xdr:row>
      <xdr:rowOff>162641</xdr:rowOff>
    </xdr:to>
    <xdr:graphicFrame macro="">
      <xdr:nvGraphicFramePr>
        <xdr:cNvPr id="4" name="Chart 3">
          <a:extLst>
            <a:ext uri="{FF2B5EF4-FFF2-40B4-BE49-F238E27FC236}">
              <a16:creationId xmlns:a16="http://schemas.microsoft.com/office/drawing/2014/main" id="{E7757FD4-297B-8F46-B45F-654E49843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26</xdr:row>
      <xdr:rowOff>56206</xdr:rowOff>
    </xdr:from>
    <xdr:ext cx="4882714" cy="248530"/>
    <xdr:sp macro="" textlink="" fLocksText="0">
      <xdr:nvSpPr>
        <xdr:cNvPr id="5" name="TextBox 4">
          <a:extLst>
            <a:ext uri="{FF2B5EF4-FFF2-40B4-BE49-F238E27FC236}">
              <a16:creationId xmlns:a16="http://schemas.microsoft.com/office/drawing/2014/main" id="{E246E9E9-8E7D-DA40-8477-47A44C6BABCB}"/>
            </a:ext>
          </a:extLst>
        </xdr:cNvPr>
        <xdr:cNvSpPr txBox="1"/>
      </xdr:nvSpPr>
      <xdr:spPr>
        <a:xfrm>
          <a:off x="589472" y="6025206"/>
          <a:ext cx="4882714"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twoCellAnchor>
    <xdr:from>
      <xdr:col>16</xdr:col>
      <xdr:colOff>488852</xdr:colOff>
      <xdr:row>26</xdr:row>
      <xdr:rowOff>33401</xdr:rowOff>
    </xdr:from>
    <xdr:to>
      <xdr:col>21</xdr:col>
      <xdr:colOff>254356</xdr:colOff>
      <xdr:row>39</xdr:row>
      <xdr:rowOff>111841</xdr:rowOff>
    </xdr:to>
    <xdr:graphicFrame macro="">
      <xdr:nvGraphicFramePr>
        <xdr:cNvPr id="6" name="Chart 5">
          <a:extLst>
            <a:ext uri="{FF2B5EF4-FFF2-40B4-BE49-F238E27FC236}">
              <a16:creationId xmlns:a16="http://schemas.microsoft.com/office/drawing/2014/main" id="{1ABD4D34-303D-4542-957C-77669C463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12</xdr:col>
      <xdr:colOff>216832</xdr:colOff>
      <xdr:row>5</xdr:row>
      <xdr:rowOff>202659</xdr:rowOff>
    </xdr:from>
    <xdr:to>
      <xdr:col>19</xdr:col>
      <xdr:colOff>171790</xdr:colOff>
      <xdr:row>26</xdr:row>
      <xdr:rowOff>956</xdr:rowOff>
    </xdr:to>
    <xdr:graphicFrame macro="">
      <xdr:nvGraphicFramePr>
        <xdr:cNvPr id="2" name="Chart 1">
          <a:extLst>
            <a:ext uri="{FF2B5EF4-FFF2-40B4-BE49-F238E27FC236}">
              <a16:creationId xmlns:a16="http://schemas.microsoft.com/office/drawing/2014/main" id="{94EA370D-1D19-EA4C-A1CA-5DDE22416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19</xdr:col>
      <xdr:colOff>441769</xdr:colOff>
      <xdr:row>6</xdr:row>
      <xdr:rowOff>21114</xdr:rowOff>
    </xdr:from>
    <xdr:ext cx="5856080" cy="1484189"/>
    <xdr:sp macro="" textlink="">
      <xdr:nvSpPr>
        <xdr:cNvPr id="3" name="TextBox 2">
          <a:extLst>
            <a:ext uri="{FF2B5EF4-FFF2-40B4-BE49-F238E27FC236}">
              <a16:creationId xmlns:a16="http://schemas.microsoft.com/office/drawing/2014/main" id="{43C81C7E-A1AA-5041-BD3C-70DFDF7F8654}"/>
            </a:ext>
          </a:extLst>
        </xdr:cNvPr>
        <xdr:cNvSpPr txBox="1"/>
      </xdr:nvSpPr>
      <xdr:spPr>
        <a:xfrm>
          <a:off x="15492620" y="1439731"/>
          <a:ext cx="5856080" cy="148418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400">
              <a:latin typeface="Times New Roman" panose="02020603050405020304" pitchFamily="18" charset="0"/>
              <a:cs typeface="Times New Roman" panose="02020603050405020304" pitchFamily="18" charset="0"/>
            </a:rPr>
            <a:t>Measure the lengths in the "Fretted Notes" table as accurately as possible. </a:t>
          </a:r>
          <a:endParaRPr lang="en-GB" sz="1400" baseline="0">
            <a:latin typeface="Times New Roman" panose="02020603050405020304" pitchFamily="18" charset="0"/>
            <a:cs typeface="Times New Roman" panose="02020603050405020304" pitchFamily="18" charset="0"/>
          </a:endParaRPr>
        </a:p>
        <a:p>
          <a:r>
            <a:rPr lang="en-GB" sz="1400">
              <a:latin typeface="Times New Roman" panose="02020603050405020304" pitchFamily="18" charset="0"/>
              <a:cs typeface="Times New Roman" panose="02020603050405020304" pitchFamily="18" charset="0"/>
            </a:rPr>
            <a:t>If the string</a:t>
          </a:r>
          <a:r>
            <a:rPr lang="en-GB" sz="1400" baseline="0">
              <a:latin typeface="Times New Roman" panose="02020603050405020304" pitchFamily="18" charset="0"/>
              <a:cs typeface="Times New Roman" panose="02020603050405020304" pitchFamily="18" charset="0"/>
            </a:rPr>
            <a:t> pair is tuned to unison at the lower note (left tangent), the "</a:t>
          </a:r>
          <a:r>
            <a:rPr lang="el-GR" sz="1400" baseline="0">
              <a:latin typeface="Times New Roman" panose="02020603050405020304" pitchFamily="18" charset="0"/>
              <a:cs typeface="Times New Roman" panose="02020603050405020304" pitchFamily="18" charset="0"/>
            </a:rPr>
            <a:t>δ </a:t>
          </a:r>
          <a:r>
            <a:rPr lang="en-GB" sz="1400" baseline="0">
              <a:latin typeface="Times New Roman" panose="02020603050405020304" pitchFamily="18" charset="0"/>
              <a:cs typeface="Times New Roman" panose="02020603050405020304" pitchFamily="18" charset="0"/>
            </a:rPr>
            <a:t>Cents" column shows the difference in cents for the higher note (right tangent) resulting from the offset between the bridge pins.</a:t>
          </a:r>
        </a:p>
        <a:p>
          <a:r>
            <a:rPr lang="en-GB" sz="1400" baseline="0">
              <a:latin typeface="Times New Roman" panose="02020603050405020304" pitchFamily="18" charset="0"/>
              <a:cs typeface="Times New Roman" panose="02020603050405020304" pitchFamily="18" charset="0"/>
            </a:rPr>
            <a:t>Enter the measurement tolerance in the "Tolerance in lengths" column. The maximum and minimum values and the +- precision are shown in the other columns.</a:t>
          </a:r>
        </a:p>
      </xdr:txBody>
    </xdr:sp>
    <xdr:clientData/>
  </xdr:oneCellAnchor>
  <xdr:oneCellAnchor>
    <xdr:from>
      <xdr:col>13</xdr:col>
      <xdr:colOff>796241</xdr:colOff>
      <xdr:row>28</xdr:row>
      <xdr:rowOff>159087</xdr:rowOff>
    </xdr:from>
    <xdr:ext cx="5854506" cy="1284967"/>
    <xdr:sp macro="" textlink="">
      <xdr:nvSpPr>
        <xdr:cNvPr id="4" name="TextBox 3">
          <a:extLst>
            <a:ext uri="{FF2B5EF4-FFF2-40B4-BE49-F238E27FC236}">
              <a16:creationId xmlns:a16="http://schemas.microsoft.com/office/drawing/2014/main" id="{80D941F4-6288-7444-B376-E52C38FA76C9}"/>
            </a:ext>
          </a:extLst>
        </xdr:cNvPr>
        <xdr:cNvSpPr txBox="1"/>
      </xdr:nvSpPr>
      <xdr:spPr>
        <a:xfrm>
          <a:off x="10902198" y="6482066"/>
          <a:ext cx="5854506" cy="1284967"/>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400">
              <a:latin typeface="Times New Roman" panose="02020603050405020304" pitchFamily="18" charset="0"/>
              <a:cs typeface="Times New Roman" panose="02020603050405020304" pitchFamily="18" charset="0"/>
            </a:rPr>
            <a:t>Due to the curve of the bridge</a:t>
          </a:r>
          <a:r>
            <a:rPr lang="en-GB" sz="1400" baseline="0">
              <a:latin typeface="Times New Roman" panose="02020603050405020304" pitchFamily="18" charset="0"/>
              <a:cs typeface="Times New Roman" panose="02020603050405020304" pitchFamily="18" charset="0"/>
            </a:rPr>
            <a:t> the</a:t>
          </a:r>
          <a:r>
            <a:rPr lang="en-GB" sz="1400">
              <a:latin typeface="Times New Roman" panose="02020603050405020304" pitchFamily="18" charset="0"/>
              <a:cs typeface="Times New Roman" panose="02020603050405020304" pitchFamily="18" charset="0"/>
            </a:rPr>
            <a:t> two strings of a choir</a:t>
          </a:r>
          <a:r>
            <a:rPr lang="en-GB" sz="1400" baseline="0">
              <a:latin typeface="Times New Roman" panose="02020603050405020304" pitchFamily="18" charset="0"/>
              <a:cs typeface="Times New Roman" panose="02020603050405020304" pitchFamily="18" charset="0"/>
            </a:rPr>
            <a:t> may have different sounding lengths. </a:t>
          </a:r>
        </a:p>
        <a:p>
          <a:r>
            <a:rPr lang="en-GB" sz="1400" baseline="0">
              <a:latin typeface="Times New Roman" panose="02020603050405020304" pitchFamily="18" charset="0"/>
              <a:cs typeface="Times New Roman" panose="02020603050405020304" pitchFamily="18" charset="0"/>
            </a:rPr>
            <a:t>Furthermore, the descant end may have the opposite curve to the bass end, so that in the descant the back string is longer and in the bass the front string is longer. We therefore call the two strings of a choir"longer" and "shorter" rather than "front" and "back".</a:t>
          </a:r>
          <a:endParaRPr lang="en-GB" sz="1400">
            <a:latin typeface="Times New Roman" panose="02020603050405020304" pitchFamily="18" charset="0"/>
            <a:cs typeface="Times New Roman" panose="02020603050405020304" pitchFamily="18" charset="0"/>
          </a:endParaRPr>
        </a:p>
      </xdr:txBody>
    </xdr:sp>
    <xdr:clientData/>
  </xdr:oneCellAnchor>
  <xdr:twoCellAnchor editAs="oneCell">
    <xdr:from>
      <xdr:col>0</xdr:col>
      <xdr:colOff>48354</xdr:colOff>
      <xdr:row>28</xdr:row>
      <xdr:rowOff>88899</xdr:rowOff>
    </xdr:from>
    <xdr:to>
      <xdr:col>13</xdr:col>
      <xdr:colOff>612046</xdr:colOff>
      <xdr:row>50</xdr:row>
      <xdr:rowOff>190499</xdr:rowOff>
    </xdr:to>
    <xdr:pic>
      <xdr:nvPicPr>
        <xdr:cNvPr id="67" name="Picture 66">
          <a:extLst>
            <a:ext uri="{FF2B5EF4-FFF2-40B4-BE49-F238E27FC236}">
              <a16:creationId xmlns:a16="http://schemas.microsoft.com/office/drawing/2014/main" id="{EBAB5EBC-289C-F81C-58BC-145E4B09E3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354" y="6411878"/>
          <a:ext cx="10669649" cy="456011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4</xdr:col>
      <xdr:colOff>603775</xdr:colOff>
      <xdr:row>24</xdr:row>
      <xdr:rowOff>46101</xdr:rowOff>
    </xdr:from>
    <xdr:to>
      <xdr:col>7</xdr:col>
      <xdr:colOff>336375</xdr:colOff>
      <xdr:row>40</xdr:row>
      <xdr:rowOff>28222</xdr:rowOff>
    </xdr:to>
    <xdr:graphicFrame macro="">
      <xdr:nvGraphicFramePr>
        <xdr:cNvPr id="2" name="Chart 1">
          <a:extLst>
            <a:ext uri="{FF2B5EF4-FFF2-40B4-BE49-F238E27FC236}">
              <a16:creationId xmlns:a16="http://schemas.microsoft.com/office/drawing/2014/main" id="{E9976C0D-CFF5-A147-BC89-FD90D31E0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624630</xdr:colOff>
      <xdr:row>24</xdr:row>
      <xdr:rowOff>46101</xdr:rowOff>
    </xdr:from>
    <xdr:to>
      <xdr:col>10</xdr:col>
      <xdr:colOff>357230</xdr:colOff>
      <xdr:row>40</xdr:row>
      <xdr:rowOff>28222</xdr:rowOff>
    </xdr:to>
    <xdr:graphicFrame macro="">
      <xdr:nvGraphicFramePr>
        <xdr:cNvPr id="3" name="Chart 2">
          <a:extLst>
            <a:ext uri="{FF2B5EF4-FFF2-40B4-BE49-F238E27FC236}">
              <a16:creationId xmlns:a16="http://schemas.microsoft.com/office/drawing/2014/main" id="{D947C549-3CE1-8749-89EC-790E9D670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666341</xdr:colOff>
      <xdr:row>24</xdr:row>
      <xdr:rowOff>46101</xdr:rowOff>
    </xdr:from>
    <xdr:to>
      <xdr:col>17</xdr:col>
      <xdr:colOff>6652</xdr:colOff>
      <xdr:row>40</xdr:row>
      <xdr:rowOff>28222</xdr:rowOff>
    </xdr:to>
    <xdr:graphicFrame macro="">
      <xdr:nvGraphicFramePr>
        <xdr:cNvPr id="4" name="Chart 3">
          <a:extLst>
            <a:ext uri="{FF2B5EF4-FFF2-40B4-BE49-F238E27FC236}">
              <a16:creationId xmlns:a16="http://schemas.microsoft.com/office/drawing/2014/main" id="{FFFA4659-4DE3-0241-9F0C-9FE02CF3E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645485</xdr:colOff>
      <xdr:row>24</xdr:row>
      <xdr:rowOff>46101</xdr:rowOff>
    </xdr:from>
    <xdr:to>
      <xdr:col>13</xdr:col>
      <xdr:colOff>378085</xdr:colOff>
      <xdr:row>40</xdr:row>
      <xdr:rowOff>28222</xdr:rowOff>
    </xdr:to>
    <xdr:graphicFrame macro="">
      <xdr:nvGraphicFramePr>
        <xdr:cNvPr id="6" name="Chart 5">
          <a:extLst>
            <a:ext uri="{FF2B5EF4-FFF2-40B4-BE49-F238E27FC236}">
              <a16:creationId xmlns:a16="http://schemas.microsoft.com/office/drawing/2014/main" id="{A48F2EB7-CA9C-7A43-8506-7AC6A6E64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190500</xdr:colOff>
      <xdr:row>24</xdr:row>
      <xdr:rowOff>203200</xdr:rowOff>
    </xdr:from>
    <xdr:ext cx="3086100" cy="248530"/>
    <xdr:sp macro="" textlink="" fLocksText="0">
      <xdr:nvSpPr>
        <xdr:cNvPr id="7" name="TextBox 6">
          <a:extLst>
            <a:ext uri="{FF2B5EF4-FFF2-40B4-BE49-F238E27FC236}">
              <a16:creationId xmlns:a16="http://schemas.microsoft.com/office/drawing/2014/main" id="{A2785B57-D215-0A42-AD02-50421918E5DA}"/>
            </a:ext>
          </a:extLst>
        </xdr:cNvPr>
        <xdr:cNvSpPr txBox="1"/>
      </xdr:nvSpPr>
      <xdr:spPr>
        <a:xfrm>
          <a:off x="190500" y="5130800"/>
          <a:ext cx="30861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twoCellAnchor>
    <xdr:from>
      <xdr:col>23</xdr:col>
      <xdr:colOff>261054</xdr:colOff>
      <xdr:row>4</xdr:row>
      <xdr:rowOff>218724</xdr:rowOff>
    </xdr:from>
    <xdr:to>
      <xdr:col>27</xdr:col>
      <xdr:colOff>192165</xdr:colOff>
      <xdr:row>10</xdr:row>
      <xdr:rowOff>124390</xdr:rowOff>
    </xdr:to>
    <xdr:graphicFrame macro="">
      <xdr:nvGraphicFramePr>
        <xdr:cNvPr id="5" name="Chart 4">
          <a:extLst>
            <a:ext uri="{FF2B5EF4-FFF2-40B4-BE49-F238E27FC236}">
              <a16:creationId xmlns:a16="http://schemas.microsoft.com/office/drawing/2014/main" id="{23E9AB49-771D-5E42-BF2F-3403FC1FF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261054</xdr:colOff>
      <xdr:row>11</xdr:row>
      <xdr:rowOff>32181</xdr:rowOff>
    </xdr:from>
    <xdr:to>
      <xdr:col>27</xdr:col>
      <xdr:colOff>192165</xdr:colOff>
      <xdr:row>21</xdr:row>
      <xdr:rowOff>36625</xdr:rowOff>
    </xdr:to>
    <xdr:graphicFrame macro="">
      <xdr:nvGraphicFramePr>
        <xdr:cNvPr id="8" name="Chart 7">
          <a:extLst>
            <a:ext uri="{FF2B5EF4-FFF2-40B4-BE49-F238E27FC236}">
              <a16:creationId xmlns:a16="http://schemas.microsoft.com/office/drawing/2014/main" id="{4C9EA44A-AEBF-5446-8B7C-040E104E0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21</xdr:col>
      <xdr:colOff>161058</xdr:colOff>
      <xdr:row>3</xdr:row>
      <xdr:rowOff>80068</xdr:rowOff>
    </xdr:from>
    <xdr:to>
      <xdr:col>25</xdr:col>
      <xdr:colOff>103458</xdr:colOff>
      <xdr:row>11</xdr:row>
      <xdr:rowOff>66168</xdr:rowOff>
    </xdr:to>
    <xdr:graphicFrame macro="">
      <xdr:nvGraphicFramePr>
        <xdr:cNvPr id="2" name="Chart 1">
          <a:extLst>
            <a:ext uri="{FF2B5EF4-FFF2-40B4-BE49-F238E27FC236}">
              <a16:creationId xmlns:a16="http://schemas.microsoft.com/office/drawing/2014/main" id="{81C8ECB4-9CEF-1741-8820-B54E748ED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161058</xdr:colOff>
      <xdr:row>11</xdr:row>
      <xdr:rowOff>110835</xdr:rowOff>
    </xdr:from>
    <xdr:to>
      <xdr:col>25</xdr:col>
      <xdr:colOff>103458</xdr:colOff>
      <xdr:row>21</xdr:row>
      <xdr:rowOff>185835</xdr:rowOff>
    </xdr:to>
    <xdr:graphicFrame macro="">
      <xdr:nvGraphicFramePr>
        <xdr:cNvPr id="3" name="Chart 2">
          <a:extLst>
            <a:ext uri="{FF2B5EF4-FFF2-40B4-BE49-F238E27FC236}">
              <a16:creationId xmlns:a16="http://schemas.microsoft.com/office/drawing/2014/main" id="{63101CE2-9496-9B4D-85C9-A0C10418F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4E107170-88A5-EE48-86CC-285E1CE93A49}"/>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44.xml><?xml version="1.0" encoding="utf-8"?>
<xdr:wsDr xmlns:xdr="http://schemas.openxmlformats.org/drawingml/2006/spreadsheetDrawing" xmlns:a="http://schemas.openxmlformats.org/drawingml/2006/main">
  <xdr:twoCellAnchor>
    <xdr:from>
      <xdr:col>21</xdr:col>
      <xdr:colOff>133834</xdr:colOff>
      <xdr:row>3</xdr:row>
      <xdr:rowOff>180535</xdr:rowOff>
    </xdr:from>
    <xdr:to>
      <xdr:col>25</xdr:col>
      <xdr:colOff>76234</xdr:colOff>
      <xdr:row>10</xdr:row>
      <xdr:rowOff>153935</xdr:rowOff>
    </xdr:to>
    <xdr:graphicFrame macro="">
      <xdr:nvGraphicFramePr>
        <xdr:cNvPr id="2" name="Chart 1">
          <a:extLst>
            <a:ext uri="{FF2B5EF4-FFF2-40B4-BE49-F238E27FC236}">
              <a16:creationId xmlns:a16="http://schemas.microsoft.com/office/drawing/2014/main" id="{0D14F7E5-54BB-A04F-8889-A487B76453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133834</xdr:colOff>
      <xdr:row>11</xdr:row>
      <xdr:rowOff>20928</xdr:rowOff>
    </xdr:from>
    <xdr:to>
      <xdr:col>25</xdr:col>
      <xdr:colOff>76234</xdr:colOff>
      <xdr:row>21</xdr:row>
      <xdr:rowOff>95928</xdr:rowOff>
    </xdr:to>
    <xdr:graphicFrame macro="">
      <xdr:nvGraphicFramePr>
        <xdr:cNvPr id="3" name="Chart 2">
          <a:extLst>
            <a:ext uri="{FF2B5EF4-FFF2-40B4-BE49-F238E27FC236}">
              <a16:creationId xmlns:a16="http://schemas.microsoft.com/office/drawing/2014/main" id="{6303A1F5-3A02-4942-AE58-151741B17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09B19E18-0BEF-C941-89ED-754869AC2469}"/>
            </a:ext>
          </a:extLst>
        </xdr:cNvPr>
        <xdr:cNvSpPr txBox="1"/>
      </xdr:nvSpPr>
      <xdr:spPr>
        <a:xfrm>
          <a:off x="10310891" y="226337"/>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45.xml><?xml version="1.0" encoding="utf-8"?>
<xdr:wsDr xmlns:xdr="http://schemas.openxmlformats.org/drawingml/2006/spreadsheetDrawing" xmlns:a="http://schemas.openxmlformats.org/drawingml/2006/main">
  <xdr:twoCellAnchor>
    <xdr:from>
      <xdr:col>21</xdr:col>
      <xdr:colOff>169948</xdr:colOff>
      <xdr:row>4</xdr:row>
      <xdr:rowOff>241300</xdr:rowOff>
    </xdr:from>
    <xdr:to>
      <xdr:col>26</xdr:col>
      <xdr:colOff>86948</xdr:colOff>
      <xdr:row>10</xdr:row>
      <xdr:rowOff>189300</xdr:rowOff>
    </xdr:to>
    <xdr:graphicFrame macro="">
      <xdr:nvGraphicFramePr>
        <xdr:cNvPr id="2" name="Chart 1">
          <a:extLst>
            <a:ext uri="{FF2B5EF4-FFF2-40B4-BE49-F238E27FC236}">
              <a16:creationId xmlns:a16="http://schemas.microsoft.com/office/drawing/2014/main" id="{B5EB7276-9B59-3941-B73E-FFA64FA24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169949</xdr:colOff>
      <xdr:row>11</xdr:row>
      <xdr:rowOff>60035</xdr:rowOff>
    </xdr:from>
    <xdr:to>
      <xdr:col>26</xdr:col>
      <xdr:colOff>86949</xdr:colOff>
      <xdr:row>21</xdr:row>
      <xdr:rowOff>135035</xdr:rowOff>
    </xdr:to>
    <xdr:graphicFrame macro="">
      <xdr:nvGraphicFramePr>
        <xdr:cNvPr id="3" name="Chart 2">
          <a:extLst>
            <a:ext uri="{FF2B5EF4-FFF2-40B4-BE49-F238E27FC236}">
              <a16:creationId xmlns:a16="http://schemas.microsoft.com/office/drawing/2014/main" id="{C2166C31-C9E1-5540-9E05-5888C42C7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E0147D79-24D9-4149-AF2E-DEE449D35155}"/>
            </a:ext>
          </a:extLst>
        </xdr:cNvPr>
        <xdr:cNvSpPr txBox="1"/>
      </xdr:nvSpPr>
      <xdr:spPr>
        <a:xfrm>
          <a:off x="10236970" y="230909"/>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46.xml><?xml version="1.0" encoding="utf-8"?>
<xdr:wsDr xmlns:xdr="http://schemas.openxmlformats.org/drawingml/2006/spreadsheetDrawing" xmlns:a="http://schemas.openxmlformats.org/drawingml/2006/main">
  <xdr:twoCellAnchor>
    <xdr:from>
      <xdr:col>20</xdr:col>
      <xdr:colOff>256273</xdr:colOff>
      <xdr:row>5</xdr:row>
      <xdr:rowOff>422968</xdr:rowOff>
    </xdr:from>
    <xdr:to>
      <xdr:col>25</xdr:col>
      <xdr:colOff>566973</xdr:colOff>
      <xdr:row>10</xdr:row>
      <xdr:rowOff>142368</xdr:rowOff>
    </xdr:to>
    <xdr:graphicFrame macro="">
      <xdr:nvGraphicFramePr>
        <xdr:cNvPr id="2" name="Chart 1">
          <a:extLst>
            <a:ext uri="{FF2B5EF4-FFF2-40B4-BE49-F238E27FC236}">
              <a16:creationId xmlns:a16="http://schemas.microsoft.com/office/drawing/2014/main" id="{B91B6080-970B-D84E-A955-2D1885DB4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256273</xdr:colOff>
      <xdr:row>11</xdr:row>
      <xdr:rowOff>34635</xdr:rowOff>
    </xdr:from>
    <xdr:to>
      <xdr:col>25</xdr:col>
      <xdr:colOff>566973</xdr:colOff>
      <xdr:row>21</xdr:row>
      <xdr:rowOff>109635</xdr:rowOff>
    </xdr:to>
    <xdr:graphicFrame macro="">
      <xdr:nvGraphicFramePr>
        <xdr:cNvPr id="3" name="Chart 2">
          <a:extLst>
            <a:ext uri="{FF2B5EF4-FFF2-40B4-BE49-F238E27FC236}">
              <a16:creationId xmlns:a16="http://schemas.microsoft.com/office/drawing/2014/main" id="{F477545A-0BF3-2942-9200-62F9B7F39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1</xdr:row>
      <xdr:rowOff>0</xdr:rowOff>
    </xdr:from>
    <xdr:ext cx="5486400" cy="248530"/>
    <xdr:sp macro="" textlink="" fLocksText="0">
      <xdr:nvSpPr>
        <xdr:cNvPr id="4" name="TextBox 3">
          <a:extLst>
            <a:ext uri="{FF2B5EF4-FFF2-40B4-BE49-F238E27FC236}">
              <a16:creationId xmlns:a16="http://schemas.microsoft.com/office/drawing/2014/main" id="{5ED65BB2-8D9A-3945-9F49-31C62E00B079}"/>
            </a:ext>
          </a:extLst>
        </xdr:cNvPr>
        <xdr:cNvSpPr txBox="1"/>
      </xdr:nvSpPr>
      <xdr:spPr>
        <a:xfrm>
          <a:off x="10274300" y="228600"/>
          <a:ext cx="5486400" cy="248530"/>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Notes</a:t>
          </a:r>
        </a:p>
      </xdr:txBody>
    </xdr:sp>
    <xdr:clientData fLocksWithSheet="0"/>
  </xdr:oneCellAnchor>
</xdr:wsDr>
</file>

<file path=xl/drawings/drawing5.xml><?xml version="1.0" encoding="utf-8"?>
<xdr:wsDr xmlns:xdr="http://schemas.openxmlformats.org/drawingml/2006/spreadsheetDrawing" xmlns:a="http://schemas.openxmlformats.org/drawingml/2006/main">
  <xdr:twoCellAnchor>
    <xdr:from>
      <xdr:col>12</xdr:col>
      <xdr:colOff>216832</xdr:colOff>
      <xdr:row>5</xdr:row>
      <xdr:rowOff>202659</xdr:rowOff>
    </xdr:from>
    <xdr:to>
      <xdr:col>19</xdr:col>
      <xdr:colOff>171790</xdr:colOff>
      <xdr:row>26</xdr:row>
      <xdr:rowOff>956</xdr:rowOff>
    </xdr:to>
    <xdr:graphicFrame macro="">
      <xdr:nvGraphicFramePr>
        <xdr:cNvPr id="2" name="Chart 1">
          <a:extLst>
            <a:ext uri="{FF2B5EF4-FFF2-40B4-BE49-F238E27FC236}">
              <a16:creationId xmlns:a16="http://schemas.microsoft.com/office/drawing/2014/main" id="{4D2A6AB6-8D43-6F44-964D-8990E18B1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19</xdr:col>
      <xdr:colOff>441769</xdr:colOff>
      <xdr:row>6</xdr:row>
      <xdr:rowOff>21114</xdr:rowOff>
    </xdr:from>
    <xdr:ext cx="5856080" cy="1484189"/>
    <xdr:sp macro="" textlink="">
      <xdr:nvSpPr>
        <xdr:cNvPr id="3" name="TextBox 2">
          <a:extLst>
            <a:ext uri="{FF2B5EF4-FFF2-40B4-BE49-F238E27FC236}">
              <a16:creationId xmlns:a16="http://schemas.microsoft.com/office/drawing/2014/main" id="{87B56997-2043-5A46-9D74-1B799233F3C2}"/>
            </a:ext>
          </a:extLst>
        </xdr:cNvPr>
        <xdr:cNvSpPr txBox="1"/>
      </xdr:nvSpPr>
      <xdr:spPr>
        <a:xfrm>
          <a:off x="15516669" y="1430814"/>
          <a:ext cx="5856080" cy="148418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400">
              <a:latin typeface="Times New Roman" panose="02020603050405020304" pitchFamily="18" charset="0"/>
              <a:cs typeface="Times New Roman" panose="02020603050405020304" pitchFamily="18" charset="0"/>
            </a:rPr>
            <a:t>Measure the lengths in the "Fretted Notes" table as accurately as possible. </a:t>
          </a:r>
          <a:endParaRPr lang="en-GB" sz="1400" baseline="0">
            <a:latin typeface="Times New Roman" panose="02020603050405020304" pitchFamily="18" charset="0"/>
            <a:cs typeface="Times New Roman" panose="02020603050405020304" pitchFamily="18" charset="0"/>
          </a:endParaRPr>
        </a:p>
        <a:p>
          <a:r>
            <a:rPr lang="en-GB" sz="1400">
              <a:latin typeface="Times New Roman" panose="02020603050405020304" pitchFamily="18" charset="0"/>
              <a:cs typeface="Times New Roman" panose="02020603050405020304" pitchFamily="18" charset="0"/>
            </a:rPr>
            <a:t>If the string</a:t>
          </a:r>
          <a:r>
            <a:rPr lang="en-GB" sz="1400" baseline="0">
              <a:latin typeface="Times New Roman" panose="02020603050405020304" pitchFamily="18" charset="0"/>
              <a:cs typeface="Times New Roman" panose="02020603050405020304" pitchFamily="18" charset="0"/>
            </a:rPr>
            <a:t> pair is tuned to unison at the lower note (left tangent), the "</a:t>
          </a:r>
          <a:r>
            <a:rPr lang="el-GR" sz="1400" baseline="0">
              <a:latin typeface="Times New Roman" panose="02020603050405020304" pitchFamily="18" charset="0"/>
              <a:cs typeface="Times New Roman" panose="02020603050405020304" pitchFamily="18" charset="0"/>
            </a:rPr>
            <a:t>δ </a:t>
          </a:r>
          <a:r>
            <a:rPr lang="en-GB" sz="1400" baseline="0">
              <a:latin typeface="Times New Roman" panose="02020603050405020304" pitchFamily="18" charset="0"/>
              <a:cs typeface="Times New Roman" panose="02020603050405020304" pitchFamily="18" charset="0"/>
            </a:rPr>
            <a:t>Cents" column shows the difference in cents for the higher note (right tangent) resulting from the offset between the bridge pins.</a:t>
          </a:r>
        </a:p>
        <a:p>
          <a:r>
            <a:rPr lang="en-GB" sz="1400" baseline="0">
              <a:latin typeface="Times New Roman" panose="02020603050405020304" pitchFamily="18" charset="0"/>
              <a:cs typeface="Times New Roman" panose="02020603050405020304" pitchFamily="18" charset="0"/>
            </a:rPr>
            <a:t>Enter the measurement tolerance in the "Tolerance in lengths" column. The maximum and minimum values and the +- precision are shown in the other columns.</a:t>
          </a:r>
        </a:p>
      </xdr:txBody>
    </xdr:sp>
    <xdr:clientData/>
  </xdr:oneCellAnchor>
  <xdr:oneCellAnchor>
    <xdr:from>
      <xdr:col>13</xdr:col>
      <xdr:colOff>796241</xdr:colOff>
      <xdr:row>28</xdr:row>
      <xdr:rowOff>159087</xdr:rowOff>
    </xdr:from>
    <xdr:ext cx="5854506" cy="1284967"/>
    <xdr:sp macro="" textlink="">
      <xdr:nvSpPr>
        <xdr:cNvPr id="4" name="TextBox 3">
          <a:extLst>
            <a:ext uri="{FF2B5EF4-FFF2-40B4-BE49-F238E27FC236}">
              <a16:creationId xmlns:a16="http://schemas.microsoft.com/office/drawing/2014/main" id="{F9B726A2-5B70-3F4D-9CB3-4AA2C786586D}"/>
            </a:ext>
          </a:extLst>
        </xdr:cNvPr>
        <xdr:cNvSpPr txBox="1"/>
      </xdr:nvSpPr>
      <xdr:spPr>
        <a:xfrm>
          <a:off x="10918141" y="6483687"/>
          <a:ext cx="5854506" cy="1284967"/>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400">
              <a:latin typeface="Times New Roman" panose="02020603050405020304" pitchFamily="18" charset="0"/>
              <a:cs typeface="Times New Roman" panose="02020603050405020304" pitchFamily="18" charset="0"/>
            </a:rPr>
            <a:t>Due to the curve of the bridge</a:t>
          </a:r>
          <a:r>
            <a:rPr lang="en-GB" sz="1400" baseline="0">
              <a:latin typeface="Times New Roman" panose="02020603050405020304" pitchFamily="18" charset="0"/>
              <a:cs typeface="Times New Roman" panose="02020603050405020304" pitchFamily="18" charset="0"/>
            </a:rPr>
            <a:t> the</a:t>
          </a:r>
          <a:r>
            <a:rPr lang="en-GB" sz="1400">
              <a:latin typeface="Times New Roman" panose="02020603050405020304" pitchFamily="18" charset="0"/>
              <a:cs typeface="Times New Roman" panose="02020603050405020304" pitchFamily="18" charset="0"/>
            </a:rPr>
            <a:t> two strings of a choir</a:t>
          </a:r>
          <a:r>
            <a:rPr lang="en-GB" sz="1400" baseline="0">
              <a:latin typeface="Times New Roman" panose="02020603050405020304" pitchFamily="18" charset="0"/>
              <a:cs typeface="Times New Roman" panose="02020603050405020304" pitchFamily="18" charset="0"/>
            </a:rPr>
            <a:t> may have different sounding lengths. </a:t>
          </a:r>
        </a:p>
        <a:p>
          <a:r>
            <a:rPr lang="en-GB" sz="1400" baseline="0">
              <a:latin typeface="Times New Roman" panose="02020603050405020304" pitchFamily="18" charset="0"/>
              <a:cs typeface="Times New Roman" panose="02020603050405020304" pitchFamily="18" charset="0"/>
            </a:rPr>
            <a:t>Furthermore, the descant end may have the opposite curve to the bass end, so that in the descant the back string is longer and in the bass the front string is longer. We therefore call the two strings of a choir"longer" and "shorter" rather than "front" and "back".</a:t>
          </a:r>
          <a:endParaRPr lang="en-GB" sz="1400">
            <a:latin typeface="Times New Roman" panose="02020603050405020304" pitchFamily="18" charset="0"/>
            <a:cs typeface="Times New Roman" panose="02020603050405020304" pitchFamily="18" charset="0"/>
          </a:endParaRPr>
        </a:p>
      </xdr:txBody>
    </xdr:sp>
    <xdr:clientData/>
  </xdr:oneCellAnchor>
  <xdr:twoCellAnchor editAs="oneCell">
    <xdr:from>
      <xdr:col>0</xdr:col>
      <xdr:colOff>48354</xdr:colOff>
      <xdr:row>28</xdr:row>
      <xdr:rowOff>88899</xdr:rowOff>
    </xdr:from>
    <xdr:to>
      <xdr:col>13</xdr:col>
      <xdr:colOff>612046</xdr:colOff>
      <xdr:row>50</xdr:row>
      <xdr:rowOff>190499</xdr:rowOff>
    </xdr:to>
    <xdr:pic>
      <xdr:nvPicPr>
        <xdr:cNvPr id="5" name="Picture 4">
          <a:extLst>
            <a:ext uri="{FF2B5EF4-FFF2-40B4-BE49-F238E27FC236}">
              <a16:creationId xmlns:a16="http://schemas.microsoft.com/office/drawing/2014/main" id="{EA8B1533-892C-434A-BD8D-22FC4FD707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354" y="6413499"/>
          <a:ext cx="10685592" cy="4572000"/>
        </a:xfrm>
        <a:prstGeom prst="rect">
          <a:avLst/>
        </a:prstGeom>
      </xdr:spPr>
    </xdr:pic>
    <xdr:clientData/>
  </xdr:twoCellAnchor>
  <xdr:oneCellAnchor>
    <xdr:from>
      <xdr:col>9</xdr:col>
      <xdr:colOff>810638</xdr:colOff>
      <xdr:row>1</xdr:row>
      <xdr:rowOff>228225</xdr:rowOff>
    </xdr:from>
    <xdr:ext cx="5854506" cy="490006"/>
    <xdr:sp macro="" textlink="">
      <xdr:nvSpPr>
        <xdr:cNvPr id="6" name="TextBox 5">
          <a:extLst>
            <a:ext uri="{FF2B5EF4-FFF2-40B4-BE49-F238E27FC236}">
              <a16:creationId xmlns:a16="http://schemas.microsoft.com/office/drawing/2014/main" id="{0B40E28D-E263-01D1-14A9-D92336A3233A}"/>
            </a:ext>
          </a:extLst>
        </xdr:cNvPr>
        <xdr:cNvSpPr txBox="1"/>
      </xdr:nvSpPr>
      <xdr:spPr>
        <a:xfrm>
          <a:off x="7620000" y="471416"/>
          <a:ext cx="5854506" cy="490006"/>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400" b="1">
              <a:latin typeface="Times New Roman" panose="02020603050405020304" pitchFamily="18" charset="0"/>
              <a:cs typeface="Times New Roman" panose="02020603050405020304" pitchFamily="18" charset="0"/>
            </a:rPr>
            <a:t>Result</a:t>
          </a:r>
        </a:p>
        <a:p>
          <a:r>
            <a:rPr lang="en-GB" sz="1400">
              <a:latin typeface="Times New Roman" panose="02020603050405020304" pitchFamily="18" charset="0"/>
              <a:cs typeface="Times New Roman" panose="02020603050405020304" pitchFamily="18" charset="0"/>
            </a:rPr>
            <a:t>The largest difference</a:t>
          </a:r>
          <a:r>
            <a:rPr lang="en-GB" sz="1400" baseline="0">
              <a:latin typeface="Times New Roman" panose="02020603050405020304" pitchFamily="18" charset="0"/>
              <a:cs typeface="Times New Roman" panose="02020603050405020304" pitchFamily="18" charset="0"/>
            </a:rPr>
            <a:t> is -3.9 cents +/- 0.45 for the high D#-E.</a:t>
          </a:r>
          <a:endParaRPr lang="en-GB" sz="1400">
            <a:latin typeface="Times New Roman" panose="02020603050405020304" pitchFamily="18" charset="0"/>
            <a:cs typeface="Times New Roman" panose="02020603050405020304" pitchFamily="18"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6</xdr:col>
      <xdr:colOff>819675</xdr:colOff>
      <xdr:row>23</xdr:row>
      <xdr:rowOff>33401</xdr:rowOff>
    </xdr:from>
    <xdr:to>
      <xdr:col>11</xdr:col>
      <xdr:colOff>157895</xdr:colOff>
      <xdr:row>36</xdr:row>
      <xdr:rowOff>111841</xdr:rowOff>
    </xdr:to>
    <xdr:graphicFrame macro="">
      <xdr:nvGraphicFramePr>
        <xdr:cNvPr id="2" name="Chart 1">
          <a:extLst>
            <a:ext uri="{FF2B5EF4-FFF2-40B4-BE49-F238E27FC236}">
              <a16:creationId xmlns:a16="http://schemas.microsoft.com/office/drawing/2014/main" id="{7E61E818-64A4-9C4C-AC3B-627D9BEFBB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23</xdr:row>
      <xdr:rowOff>33401</xdr:rowOff>
    </xdr:from>
    <xdr:to>
      <xdr:col>16</xdr:col>
      <xdr:colOff>216568</xdr:colOff>
      <xdr:row>36</xdr:row>
      <xdr:rowOff>111841</xdr:rowOff>
    </xdr:to>
    <xdr:graphicFrame macro="">
      <xdr:nvGraphicFramePr>
        <xdr:cNvPr id="3" name="Chart 2">
          <a:extLst>
            <a:ext uri="{FF2B5EF4-FFF2-40B4-BE49-F238E27FC236}">
              <a16:creationId xmlns:a16="http://schemas.microsoft.com/office/drawing/2014/main" id="{0F63DB50-A4A6-3744-BDBB-0F40DA9B04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23</xdr:row>
      <xdr:rowOff>84201</xdr:rowOff>
    </xdr:from>
    <xdr:to>
      <xdr:col>26</xdr:col>
      <xdr:colOff>330246</xdr:colOff>
      <xdr:row>36</xdr:row>
      <xdr:rowOff>162641</xdr:rowOff>
    </xdr:to>
    <xdr:graphicFrame macro="">
      <xdr:nvGraphicFramePr>
        <xdr:cNvPr id="4" name="Chart 3">
          <a:extLst>
            <a:ext uri="{FF2B5EF4-FFF2-40B4-BE49-F238E27FC236}">
              <a16:creationId xmlns:a16="http://schemas.microsoft.com/office/drawing/2014/main" id="{DC0D3DAA-8579-D644-8217-DB24D56AD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23</xdr:row>
      <xdr:rowOff>56206</xdr:rowOff>
    </xdr:from>
    <xdr:ext cx="4882714" cy="1876091"/>
    <xdr:sp macro="" textlink="" fLocksText="0">
      <xdr:nvSpPr>
        <xdr:cNvPr id="5" name="TextBox 4">
          <a:extLst>
            <a:ext uri="{FF2B5EF4-FFF2-40B4-BE49-F238E27FC236}">
              <a16:creationId xmlns:a16="http://schemas.microsoft.com/office/drawing/2014/main" id="{165DCA00-6565-414B-81B9-76230AD1C7D3}"/>
            </a:ext>
          </a:extLst>
        </xdr:cNvPr>
        <xdr:cNvSpPr txBox="1"/>
      </xdr:nvSpPr>
      <xdr:spPr>
        <a:xfrm>
          <a:off x="589472" y="5415606"/>
          <a:ext cx="4882714" cy="1876091"/>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kern="1200" baseline="0">
              <a:latin typeface="Times New Roman" panose="02020603050405020304" pitchFamily="18" charset="0"/>
              <a:cs typeface="Times New Roman" panose="02020603050405020304" pitchFamily="18" charset="0"/>
            </a:rPr>
            <a:t>This is a copy of Leipzig 10 but with a 1/5 comma temperament designed by Johannes Grote (temperament sheet Grote 5th).</a:t>
          </a:r>
        </a:p>
        <a:p>
          <a:r>
            <a:rPr lang="en-GB" sz="1100" kern="1200" baseline="0">
              <a:latin typeface="Times New Roman" panose="02020603050405020304" pitchFamily="18" charset="0"/>
              <a:cs typeface="Times New Roman" panose="02020603050405020304" pitchFamily="18" charset="0"/>
            </a:rPr>
            <a:t>The first fretted note here is e (to d#). The scaling also differs from the original.</a:t>
          </a:r>
        </a:p>
        <a:p>
          <a:r>
            <a:rPr lang="en-GB" sz="1100" kern="1200" baseline="0">
              <a:latin typeface="Times New Roman" panose="02020603050405020304" pitchFamily="18" charset="0"/>
              <a:cs typeface="Times New Roman" panose="02020603050405020304" pitchFamily="18" charset="0"/>
            </a:rPr>
            <a:t>We include the instrument here to show how inaccuracies and mistakes in building  and measuring the finished instrument compare to the intended outcome.</a:t>
          </a:r>
        </a:p>
        <a:p>
          <a:endParaRPr lang="en-GB" sz="1100" kern="1200" baseline="0">
            <a:latin typeface="Times New Roman" panose="02020603050405020304" pitchFamily="18" charset="0"/>
            <a:cs typeface="Times New Roman" panose="02020603050405020304" pitchFamily="18" charset="0"/>
          </a:endParaRPr>
        </a:p>
        <a:p>
          <a:r>
            <a:rPr lang="en-GB" sz="1100" kern="1200" baseline="0">
              <a:latin typeface="Times New Roman" panose="02020603050405020304" pitchFamily="18" charset="0"/>
              <a:cs typeface="Times New Roman" panose="02020603050405020304" pitchFamily="18" charset="0"/>
            </a:rPr>
            <a:t>By the time I took the measurements the instrument already had developed a twist of about 10mm (back left corner down, front right corner 10mm up). The original has a twist of about 25mm. All the tangents of the copy are perpendicular to the key and centered on the layout lines I made on the key sheet before sawing. In other words, no corrections have been made at this point. </a:t>
          </a:r>
        </a:p>
      </xdr:txBody>
    </xdr:sp>
    <xdr:clientData fLocksWithSheet="0"/>
  </xdr:oneCellAnchor>
  <xdr:twoCellAnchor>
    <xdr:from>
      <xdr:col>16</xdr:col>
      <xdr:colOff>488852</xdr:colOff>
      <xdr:row>23</xdr:row>
      <xdr:rowOff>33401</xdr:rowOff>
    </xdr:from>
    <xdr:to>
      <xdr:col>21</xdr:col>
      <xdr:colOff>254356</xdr:colOff>
      <xdr:row>36</xdr:row>
      <xdr:rowOff>111841</xdr:rowOff>
    </xdr:to>
    <xdr:graphicFrame macro="">
      <xdr:nvGraphicFramePr>
        <xdr:cNvPr id="6" name="Chart 5">
          <a:extLst>
            <a:ext uri="{FF2B5EF4-FFF2-40B4-BE49-F238E27FC236}">
              <a16:creationId xmlns:a16="http://schemas.microsoft.com/office/drawing/2014/main" id="{F40D6498-9BF8-8E41-A0EE-D542701C5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819675</xdr:colOff>
      <xdr:row>26</xdr:row>
      <xdr:rowOff>33401</xdr:rowOff>
    </xdr:from>
    <xdr:to>
      <xdr:col>11</xdr:col>
      <xdr:colOff>157895</xdr:colOff>
      <xdr:row>39</xdr:row>
      <xdr:rowOff>111841</xdr:rowOff>
    </xdr:to>
    <xdr:graphicFrame macro="">
      <xdr:nvGraphicFramePr>
        <xdr:cNvPr id="2" name="Chart 1">
          <a:extLst>
            <a:ext uri="{FF2B5EF4-FFF2-40B4-BE49-F238E27FC236}">
              <a16:creationId xmlns:a16="http://schemas.microsoft.com/office/drawing/2014/main" id="{FF875108-3ECE-C240-AC24-2498CBFFB3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26</xdr:row>
      <xdr:rowOff>33401</xdr:rowOff>
    </xdr:from>
    <xdr:to>
      <xdr:col>16</xdr:col>
      <xdr:colOff>216568</xdr:colOff>
      <xdr:row>39</xdr:row>
      <xdr:rowOff>111841</xdr:rowOff>
    </xdr:to>
    <xdr:graphicFrame macro="">
      <xdr:nvGraphicFramePr>
        <xdr:cNvPr id="3" name="Chart 2">
          <a:extLst>
            <a:ext uri="{FF2B5EF4-FFF2-40B4-BE49-F238E27FC236}">
              <a16:creationId xmlns:a16="http://schemas.microsoft.com/office/drawing/2014/main" id="{46F5C389-1BBA-AA41-8172-F4EC0C92E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26</xdr:row>
      <xdr:rowOff>84201</xdr:rowOff>
    </xdr:from>
    <xdr:to>
      <xdr:col>26</xdr:col>
      <xdr:colOff>330246</xdr:colOff>
      <xdr:row>39</xdr:row>
      <xdr:rowOff>162641</xdr:rowOff>
    </xdr:to>
    <xdr:graphicFrame macro="">
      <xdr:nvGraphicFramePr>
        <xdr:cNvPr id="4" name="Chart 3">
          <a:extLst>
            <a:ext uri="{FF2B5EF4-FFF2-40B4-BE49-F238E27FC236}">
              <a16:creationId xmlns:a16="http://schemas.microsoft.com/office/drawing/2014/main" id="{61B6EF32-3B01-E74A-B12A-958295DDF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26</xdr:row>
      <xdr:rowOff>56206</xdr:rowOff>
    </xdr:from>
    <xdr:ext cx="4882714" cy="1185709"/>
    <xdr:sp macro="" textlink="" fLocksText="0">
      <xdr:nvSpPr>
        <xdr:cNvPr id="5" name="TextBox 4">
          <a:extLst>
            <a:ext uri="{FF2B5EF4-FFF2-40B4-BE49-F238E27FC236}">
              <a16:creationId xmlns:a16="http://schemas.microsoft.com/office/drawing/2014/main" id="{EFECFA86-1E1C-3B45-A6A5-FFB3EE58C95A}"/>
            </a:ext>
          </a:extLst>
        </xdr:cNvPr>
        <xdr:cNvSpPr txBox="1"/>
      </xdr:nvSpPr>
      <xdr:spPr>
        <a:xfrm>
          <a:off x="589472" y="6025206"/>
          <a:ext cx="4882714" cy="118570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kern="1200" baseline="0">
              <a:latin typeface="Times New Roman" panose="02020603050405020304" pitchFamily="18" charset="0"/>
              <a:cs typeface="Times New Roman" panose="02020603050405020304" pitchFamily="18" charset="0"/>
            </a:rPr>
            <a:t>Leipzig UL MIM 10 unknown  ~1700</a:t>
          </a:r>
        </a:p>
        <a:p>
          <a:r>
            <a:rPr lang="en-GB" sz="1100" b="0" kern="1200" baseline="0">
              <a:latin typeface="Times New Roman" panose="02020603050405020304" pitchFamily="18" charset="0"/>
              <a:cs typeface="Times New Roman" panose="02020603050405020304" pitchFamily="18" charset="0"/>
            </a:rPr>
            <a:t>Measurements by Gregor Bergmann</a:t>
          </a:r>
        </a:p>
        <a:p>
          <a:r>
            <a:rPr lang="en-GB" sz="1100" kern="1200" baseline="0">
              <a:latin typeface="Times New Roman" panose="02020603050405020304" pitchFamily="18" charset="0"/>
              <a:cs typeface="Times New Roman" panose="02020603050405020304" pitchFamily="18" charset="0"/>
            </a:rPr>
            <a:t>https://sammlungen.uni-leipzig.de/object/ULMIM_lido_00000011?from=search_result&amp;page=1&amp;fq=%2BobjectType:lido+%2BobjectProject:%22ULMIM%22+%2Bcategory:%22externVocMIMOKeyword:38%22&amp;sort=lido.identifier.unique.sortable+asc&amp;q=*:*+-state:STAT0001+-state:STAT0005&amp;wt=json&amp;rows=12&amp;start=0&amp;numFound=40</a:t>
          </a:r>
        </a:p>
      </xdr:txBody>
    </xdr:sp>
    <xdr:clientData fLocksWithSheet="0"/>
  </xdr:oneCellAnchor>
  <xdr:twoCellAnchor>
    <xdr:from>
      <xdr:col>16</xdr:col>
      <xdr:colOff>488852</xdr:colOff>
      <xdr:row>26</xdr:row>
      <xdr:rowOff>33401</xdr:rowOff>
    </xdr:from>
    <xdr:to>
      <xdr:col>21</xdr:col>
      <xdr:colOff>254356</xdr:colOff>
      <xdr:row>39</xdr:row>
      <xdr:rowOff>111841</xdr:rowOff>
    </xdr:to>
    <xdr:graphicFrame macro="">
      <xdr:nvGraphicFramePr>
        <xdr:cNvPr id="6" name="Chart 5">
          <a:extLst>
            <a:ext uri="{FF2B5EF4-FFF2-40B4-BE49-F238E27FC236}">
              <a16:creationId xmlns:a16="http://schemas.microsoft.com/office/drawing/2014/main" id="{7FDD4F79-8ADB-B841-A0E5-4D0058525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819675</xdr:colOff>
      <xdr:row>33</xdr:row>
      <xdr:rowOff>33401</xdr:rowOff>
    </xdr:from>
    <xdr:to>
      <xdr:col>11</xdr:col>
      <xdr:colOff>157895</xdr:colOff>
      <xdr:row>46</xdr:row>
      <xdr:rowOff>111841</xdr:rowOff>
    </xdr:to>
    <xdr:graphicFrame macro="">
      <xdr:nvGraphicFramePr>
        <xdr:cNvPr id="2" name="Chart 1">
          <a:extLst>
            <a:ext uri="{FF2B5EF4-FFF2-40B4-BE49-F238E27FC236}">
              <a16:creationId xmlns:a16="http://schemas.microsoft.com/office/drawing/2014/main" id="{CC0E2AA7-C47C-2F4C-AB17-1945FE1FE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33</xdr:row>
      <xdr:rowOff>33401</xdr:rowOff>
    </xdr:from>
    <xdr:to>
      <xdr:col>16</xdr:col>
      <xdr:colOff>216568</xdr:colOff>
      <xdr:row>46</xdr:row>
      <xdr:rowOff>111841</xdr:rowOff>
    </xdr:to>
    <xdr:graphicFrame macro="">
      <xdr:nvGraphicFramePr>
        <xdr:cNvPr id="3" name="Chart 2">
          <a:extLst>
            <a:ext uri="{FF2B5EF4-FFF2-40B4-BE49-F238E27FC236}">
              <a16:creationId xmlns:a16="http://schemas.microsoft.com/office/drawing/2014/main" id="{F47A6F01-6E36-1C4D-8A2D-BF6C503A37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33</xdr:row>
      <xdr:rowOff>84201</xdr:rowOff>
    </xdr:from>
    <xdr:to>
      <xdr:col>26</xdr:col>
      <xdr:colOff>330246</xdr:colOff>
      <xdr:row>46</xdr:row>
      <xdr:rowOff>162641</xdr:rowOff>
    </xdr:to>
    <xdr:graphicFrame macro="">
      <xdr:nvGraphicFramePr>
        <xdr:cNvPr id="4" name="Chart 3">
          <a:extLst>
            <a:ext uri="{FF2B5EF4-FFF2-40B4-BE49-F238E27FC236}">
              <a16:creationId xmlns:a16="http://schemas.microsoft.com/office/drawing/2014/main" id="{35D29590-B155-744E-9F96-756148C0E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33</xdr:row>
      <xdr:rowOff>56206</xdr:rowOff>
    </xdr:from>
    <xdr:ext cx="4882714" cy="1750479"/>
    <xdr:sp macro="" textlink="" fLocksText="0">
      <xdr:nvSpPr>
        <xdr:cNvPr id="5" name="TextBox 4">
          <a:extLst>
            <a:ext uri="{FF2B5EF4-FFF2-40B4-BE49-F238E27FC236}">
              <a16:creationId xmlns:a16="http://schemas.microsoft.com/office/drawing/2014/main" id="{B510144E-26CB-AD46-800B-62FF0BC656DD}"/>
            </a:ext>
          </a:extLst>
        </xdr:cNvPr>
        <xdr:cNvSpPr txBox="1"/>
      </xdr:nvSpPr>
      <xdr:spPr>
        <a:xfrm>
          <a:off x="589472" y="7447606"/>
          <a:ext cx="4882714" cy="1750479"/>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i="0" kern="1200" baseline="0">
              <a:latin typeface="Times New Roman" panose="02020603050405020304" pitchFamily="18" charset="0"/>
              <a:cs typeface="Times New Roman" panose="02020603050405020304" pitchFamily="18" charset="0"/>
            </a:rPr>
            <a:t>Instrument belonging to the Archaeological Society of Namur, kept at the Museum of Groesbeeck-de Croix in Namur, Belgium.</a:t>
          </a:r>
        </a:p>
        <a:p>
          <a:r>
            <a:rPr lang="en-GB" sz="1100" b="0" i="0" kern="1200" baseline="0">
              <a:latin typeface="Times New Roman" panose="02020603050405020304" pitchFamily="18" charset="0"/>
              <a:cs typeface="Times New Roman" panose="02020603050405020304" pitchFamily="18" charset="0"/>
            </a:rPr>
            <a:t>Measurements fromVerbeek, Pierre. The Israel Gellinger 1670 clavichord. </a:t>
          </a:r>
        </a:p>
        <a:p>
          <a:r>
            <a:rPr lang="en-GB" sz="1100" b="0" i="0">
              <a:solidFill>
                <a:schemeClr val="dk1"/>
              </a:solidFill>
              <a:effectLst/>
              <a:latin typeface="+mn-lt"/>
              <a:ea typeface="+mn-ea"/>
              <a:cs typeface="+mn-cs"/>
            </a:rPr>
            <a:t>A study first published (in French) at the Journées 2009 de Clavecin en France (CLEF), au Conservatoire</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National Supérieur de Musique et de Danse, Paris 20-22</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mars 2009 and (in English) at the International</a:t>
          </a:r>
        </a:p>
        <a:p>
          <a:r>
            <a:rPr lang="en-GB" sz="1100" b="0" i="0">
              <a:solidFill>
                <a:schemeClr val="dk1"/>
              </a:solidFill>
              <a:effectLst/>
              <a:latin typeface="+mn-lt"/>
              <a:ea typeface="+mn-ea"/>
              <a:cs typeface="+mn-cs"/>
            </a:rPr>
            <a:t>Symposium on Clavichords, Magnano, Italy, 2013.</a:t>
          </a:r>
        </a:p>
        <a:p>
          <a:r>
            <a:rPr lang="en-GB" sz="1100" b="0" i="0">
              <a:solidFill>
                <a:schemeClr val="dk1"/>
              </a:solidFill>
              <a:effectLst/>
              <a:latin typeface="+mn-lt"/>
              <a:ea typeface="+mn-ea"/>
              <a:cs typeface="+mn-cs"/>
            </a:rPr>
            <a:t>The measurements</a:t>
          </a:r>
          <a:r>
            <a:rPr lang="en-GB" sz="1100" b="0" i="0" baseline="0">
              <a:solidFill>
                <a:schemeClr val="dk1"/>
              </a:solidFill>
              <a:effectLst/>
              <a:latin typeface="+mn-lt"/>
              <a:ea typeface="+mn-ea"/>
              <a:cs typeface="+mn-cs"/>
            </a:rPr>
            <a:t> are taken from the column "(2) sounding length calculated from the rack slots(mm)" as the other column does not give all the lengths.</a:t>
          </a:r>
          <a:endParaRPr lang="en-GB" sz="1100" b="0" i="0">
            <a:solidFill>
              <a:schemeClr val="dk1"/>
            </a:solidFill>
            <a:effectLst/>
            <a:latin typeface="+mn-lt"/>
            <a:ea typeface="+mn-ea"/>
            <a:cs typeface="+mn-cs"/>
          </a:endParaRPr>
        </a:p>
        <a:p>
          <a:endParaRPr lang="en-GB" sz="1100" kern="1200" baseline="0">
            <a:latin typeface="Times New Roman" panose="02020603050405020304" pitchFamily="18" charset="0"/>
            <a:cs typeface="Times New Roman" panose="02020603050405020304" pitchFamily="18" charset="0"/>
          </a:endParaRPr>
        </a:p>
      </xdr:txBody>
    </xdr:sp>
    <xdr:clientData fLocksWithSheet="0"/>
  </xdr:oneCellAnchor>
  <xdr:twoCellAnchor>
    <xdr:from>
      <xdr:col>16</xdr:col>
      <xdr:colOff>488852</xdr:colOff>
      <xdr:row>33</xdr:row>
      <xdr:rowOff>33401</xdr:rowOff>
    </xdr:from>
    <xdr:to>
      <xdr:col>21</xdr:col>
      <xdr:colOff>254356</xdr:colOff>
      <xdr:row>46</xdr:row>
      <xdr:rowOff>111841</xdr:rowOff>
    </xdr:to>
    <xdr:graphicFrame macro="">
      <xdr:nvGraphicFramePr>
        <xdr:cNvPr id="6" name="Chart 5">
          <a:extLst>
            <a:ext uri="{FF2B5EF4-FFF2-40B4-BE49-F238E27FC236}">
              <a16:creationId xmlns:a16="http://schemas.microsoft.com/office/drawing/2014/main" id="{129607F5-CEF6-D94E-BD94-47444E3388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819675</xdr:colOff>
      <xdr:row>24</xdr:row>
      <xdr:rowOff>33401</xdr:rowOff>
    </xdr:from>
    <xdr:to>
      <xdr:col>11</xdr:col>
      <xdr:colOff>157895</xdr:colOff>
      <xdr:row>37</xdr:row>
      <xdr:rowOff>111841</xdr:rowOff>
    </xdr:to>
    <xdr:graphicFrame macro="">
      <xdr:nvGraphicFramePr>
        <xdr:cNvPr id="2" name="Chart 1">
          <a:extLst>
            <a:ext uri="{FF2B5EF4-FFF2-40B4-BE49-F238E27FC236}">
              <a16:creationId xmlns:a16="http://schemas.microsoft.com/office/drawing/2014/main" id="{DEF0E454-26E7-E945-B300-C7EE2C2C9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451063</xdr:colOff>
      <xdr:row>24</xdr:row>
      <xdr:rowOff>33401</xdr:rowOff>
    </xdr:from>
    <xdr:to>
      <xdr:col>16</xdr:col>
      <xdr:colOff>216568</xdr:colOff>
      <xdr:row>37</xdr:row>
      <xdr:rowOff>111841</xdr:rowOff>
    </xdr:to>
    <xdr:graphicFrame macro="">
      <xdr:nvGraphicFramePr>
        <xdr:cNvPr id="3" name="Chart 2">
          <a:extLst>
            <a:ext uri="{FF2B5EF4-FFF2-40B4-BE49-F238E27FC236}">
              <a16:creationId xmlns:a16="http://schemas.microsoft.com/office/drawing/2014/main" id="{C2A2D10D-D3A6-6048-888A-8E9EC99F0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564741</xdr:colOff>
      <xdr:row>24</xdr:row>
      <xdr:rowOff>84201</xdr:rowOff>
    </xdr:from>
    <xdr:to>
      <xdr:col>26</xdr:col>
      <xdr:colOff>330246</xdr:colOff>
      <xdr:row>37</xdr:row>
      <xdr:rowOff>162641</xdr:rowOff>
    </xdr:to>
    <xdr:graphicFrame macro="">
      <xdr:nvGraphicFramePr>
        <xdr:cNvPr id="4" name="Chart 3">
          <a:extLst>
            <a:ext uri="{FF2B5EF4-FFF2-40B4-BE49-F238E27FC236}">
              <a16:creationId xmlns:a16="http://schemas.microsoft.com/office/drawing/2014/main" id="{2DFE218E-DA78-434E-B2F9-A93E05B72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373572</xdr:colOff>
      <xdr:row>24</xdr:row>
      <xdr:rowOff>56206</xdr:rowOff>
    </xdr:from>
    <xdr:ext cx="4882714" cy="2940036"/>
    <xdr:sp macro="" textlink="" fLocksText="0">
      <xdr:nvSpPr>
        <xdr:cNvPr id="5" name="TextBox 4">
          <a:extLst>
            <a:ext uri="{FF2B5EF4-FFF2-40B4-BE49-F238E27FC236}">
              <a16:creationId xmlns:a16="http://schemas.microsoft.com/office/drawing/2014/main" id="{FD003C3F-CAB5-EF4E-B3D2-D030D8FEE256}"/>
            </a:ext>
          </a:extLst>
        </xdr:cNvPr>
        <xdr:cNvSpPr txBox="1"/>
      </xdr:nvSpPr>
      <xdr:spPr>
        <a:xfrm>
          <a:off x="589472" y="5618806"/>
          <a:ext cx="4882714" cy="2940036"/>
        </a:xfrm>
        <a:prstGeom prst="rect">
          <a:avLst/>
        </a:prstGeom>
        <a:solidFill>
          <a:srgbClr val="83CBEB">
            <a:alpha val="21176"/>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i="0" u="none" strike="noStrike">
              <a:solidFill>
                <a:schemeClr val="dk1"/>
              </a:solidFill>
              <a:effectLst/>
              <a:latin typeface="+mn-lt"/>
              <a:ea typeface="+mn-ea"/>
              <a:cs typeface="+mn-cs"/>
            </a:rPr>
            <a:t>Bavington copy of Leipzig UL MIM 12 Johann</a:t>
          </a:r>
          <a:r>
            <a:rPr lang="en-GB" sz="1100" b="0" i="0" u="none" strike="noStrike" baseline="0">
              <a:solidFill>
                <a:schemeClr val="dk1"/>
              </a:solidFill>
              <a:effectLst/>
              <a:latin typeface="+mn-lt"/>
              <a:ea typeface="+mn-ea"/>
              <a:cs typeface="+mn-cs"/>
            </a:rPr>
            <a:t> Jacob </a:t>
          </a:r>
          <a:r>
            <a:rPr lang="en-GB" sz="1100" b="0" i="0" u="none" strike="noStrike">
              <a:solidFill>
                <a:schemeClr val="dk1"/>
              </a:solidFill>
              <a:effectLst/>
              <a:latin typeface="+mn-lt"/>
              <a:ea typeface="+mn-ea"/>
              <a:cs typeface="+mn-cs"/>
            </a:rPr>
            <a:t>Donat ~1700</a:t>
          </a:r>
        </a:p>
        <a:p>
          <a:r>
            <a:rPr lang="en-GB" sz="1100" b="0" i="0" u="none" strike="noStrike">
              <a:solidFill>
                <a:schemeClr val="dk1"/>
              </a:solidFill>
              <a:effectLst/>
              <a:latin typeface="+mn-lt"/>
              <a:ea typeface="+mn-ea"/>
              <a:cs typeface="+mn-cs"/>
            </a:rPr>
            <a:t>MusikinstrumentenMuseum, Universität Leipzig.</a:t>
          </a:r>
        </a:p>
        <a:p>
          <a:endParaRPr lang="en-GB" sz="1100" b="0" i="0" u="none" strike="noStrike">
            <a:solidFill>
              <a:schemeClr val="dk1"/>
            </a:solidFill>
            <a:effectLst/>
            <a:latin typeface="+mn-lt"/>
            <a:ea typeface="+mn-ea"/>
            <a:cs typeface="+mn-cs"/>
          </a:endParaRPr>
        </a:p>
        <a:p>
          <a:r>
            <a:rPr lang="en-GB"/>
            <a:t>https://sammlungen.uni-leipzig.de/object/ULMIM_lido_00000013?from=search_result&amp;page=1&amp;fq=%2BobjectType:lido+%2BobjectProject:%22ULMIM%22+%2Bcategory:%22externVocMIMOKeyword:38%22&amp;sort=lido.identifier.unique.sortable+asc&amp;q=*:*+-state:STAT0001+-state:STAT0005&amp;wt=json&amp;rows=12&amp;start=0&amp;numFound=40</a:t>
          </a:r>
        </a:p>
        <a:p>
          <a:endParaRPr lang="en-GB" sz="1100" kern="1200">
            <a:latin typeface="Times New Roman" panose="02020603050405020304" pitchFamily="18" charset="0"/>
            <a:cs typeface="Times New Roman" panose="02020603050405020304" pitchFamily="18" charset="0"/>
          </a:endParaRPr>
        </a:p>
        <a:p>
          <a:r>
            <a:rPr lang="en-GB" sz="1100" kern="1200">
              <a:latin typeface="Times New Roman" panose="02020603050405020304" pitchFamily="18" charset="0"/>
              <a:cs typeface="Times New Roman" panose="02020603050405020304" pitchFamily="18" charset="0"/>
            </a:rPr>
            <a:t>The longer and shorter</a:t>
          </a:r>
          <a:r>
            <a:rPr lang="en-GB" sz="1100" kern="1200" baseline="0">
              <a:latin typeface="Times New Roman" panose="02020603050405020304" pitchFamily="18" charset="0"/>
              <a:cs typeface="Times New Roman" panose="02020603050405020304" pitchFamily="18" charset="0"/>
            </a:rPr>
            <a:t> lengths are taken from Bavington. </a:t>
          </a:r>
        </a:p>
        <a:p>
          <a:r>
            <a:rPr lang="en-GB" sz="1100" b="0" i="0" u="none" strike="noStrike">
              <a:solidFill>
                <a:schemeClr val="dk1"/>
              </a:solidFill>
              <a:effectLst/>
              <a:latin typeface="+mn-lt"/>
              <a:ea typeface="+mn-ea"/>
              <a:cs typeface="+mn-cs"/>
            </a:rPr>
            <a:t>http://www.peter-bavington.co.uk/donat.htm</a:t>
          </a:r>
        </a:p>
        <a:p>
          <a:r>
            <a:rPr lang="en-GB" sz="1100" kern="1200" baseline="0">
              <a:latin typeface="Times New Roman" panose="02020603050405020304" pitchFamily="18" charset="0"/>
              <a:cs typeface="Times New Roman" panose="02020603050405020304" pitchFamily="18" charset="0"/>
            </a:rPr>
            <a:t>Column U is from the sheeet 'Meantone Bav Donat' and the third graph compares the fret size from the string measurements with Bavington's first temperament proposal </a:t>
          </a:r>
        </a:p>
        <a:p>
          <a:r>
            <a:rPr lang="en-GB" sz="1100">
              <a:solidFill>
                <a:schemeClr val="dk1"/>
              </a:solidFill>
              <a:effectLst/>
              <a:latin typeface="+mn-lt"/>
              <a:ea typeface="+mn-ea"/>
              <a:cs typeface="+mn-cs"/>
            </a:rPr>
            <a:t>“a kind of modified quarter-comma meantone, with a very low C# (for reasons unknown) and with Eb and perhaps Bb given a kind of compromise tuning enabling them to serve for D# and A#”</a:t>
          </a:r>
          <a:r>
            <a:rPr lang="en-DE">
              <a:effectLst/>
            </a:rPr>
            <a:t>.</a:t>
          </a:r>
        </a:p>
      </xdr:txBody>
    </xdr:sp>
    <xdr:clientData fLocksWithSheet="0"/>
  </xdr:oneCellAnchor>
  <xdr:twoCellAnchor>
    <xdr:from>
      <xdr:col>16</xdr:col>
      <xdr:colOff>488852</xdr:colOff>
      <xdr:row>24</xdr:row>
      <xdr:rowOff>33401</xdr:rowOff>
    </xdr:from>
    <xdr:to>
      <xdr:col>21</xdr:col>
      <xdr:colOff>254356</xdr:colOff>
      <xdr:row>37</xdr:row>
      <xdr:rowOff>111841</xdr:rowOff>
    </xdr:to>
    <xdr:graphicFrame macro="">
      <xdr:nvGraphicFramePr>
        <xdr:cNvPr id="6" name="Chart 5">
          <a:extLst>
            <a:ext uri="{FF2B5EF4-FFF2-40B4-BE49-F238E27FC236}">
              <a16:creationId xmlns:a16="http://schemas.microsoft.com/office/drawing/2014/main" id="{CA0CEA50-5F69-2247-BCEA-AD308FCD7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DO" connectionId="1" xr16:uid="{0397AC99-CCE2-954F-A0EC-E589C1B7069E}"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DO" connectionId="1" xr16:uid="{9690A831-3922-CA47-BEED-D92EA7623A75}"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77A69F2-8BBA-E743-884F-BB1AA92E1B32}">
  <we:reference id="wa104379279" version="2.1.0.0" store="en-GB" storeType="OMEX"/>
  <we:alternateReferences>
    <we:reference id="WA104379279" version="2.1.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6.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2.vml"/><Relationship Id="rId1" Type="http://schemas.openxmlformats.org/officeDocument/2006/relationships/hyperlink" Target="https://bund-deutscher-orgelbaumeister.de/stimmungen/contents.htm" TargetMode="External"/><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4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hyperlink" Target="https://bund-deutscher-orgelbaumeister.de/stimmungen/contents.ht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D046-B340-CB40-BCBE-6DE231A9C39C}">
  <sheetPr codeName="Sheet1">
    <tabColor theme="0" tint="-0.14999847407452621"/>
  </sheetPr>
  <dimension ref="B2:J38"/>
  <sheetViews>
    <sheetView tabSelected="1" zoomScaleNormal="100" workbookViewId="0"/>
  </sheetViews>
  <sheetFormatPr baseColWidth="10" defaultRowHeight="16" x14ac:dyDescent="0.2"/>
  <cols>
    <col min="1" max="1" width="3.83203125" style="3" customWidth="1"/>
    <col min="2" max="2" width="43.5" style="3" customWidth="1"/>
    <col min="3" max="3" width="8.33203125" style="3" customWidth="1"/>
    <col min="4" max="4" width="41.33203125" style="3" customWidth="1"/>
    <col min="5" max="5" width="10.83203125" style="3"/>
    <col min="6" max="6" width="12.83203125" style="3" customWidth="1"/>
    <col min="7" max="7" width="4.1640625" style="3" customWidth="1"/>
    <col min="8" max="8" width="10.33203125" style="3" customWidth="1"/>
    <col min="9" max="9" width="25.83203125" style="3" customWidth="1"/>
    <col min="10" max="16384" width="10.83203125" style="3"/>
  </cols>
  <sheetData>
    <row r="2" spans="2:10" x14ac:dyDescent="0.2">
      <c r="E2" s="28" t="s">
        <v>110</v>
      </c>
      <c r="F2" s="20"/>
      <c r="H2" s="193" t="s">
        <v>111</v>
      </c>
      <c r="I2" s="194"/>
      <c r="J2" s="195"/>
    </row>
    <row r="3" spans="2:10" x14ac:dyDescent="0.2">
      <c r="E3" s="21"/>
      <c r="F3" s="22" t="s">
        <v>98</v>
      </c>
      <c r="H3" s="54"/>
      <c r="I3" s="3" t="s">
        <v>482</v>
      </c>
      <c r="J3" s="196"/>
    </row>
    <row r="4" spans="2:10" x14ac:dyDescent="0.2">
      <c r="E4" s="23"/>
      <c r="F4" s="22" t="s">
        <v>10</v>
      </c>
      <c r="H4" s="55"/>
      <c r="I4" s="3" t="s">
        <v>160</v>
      </c>
      <c r="J4" s="196"/>
    </row>
    <row r="5" spans="2:10" x14ac:dyDescent="0.2">
      <c r="E5" s="24"/>
      <c r="F5" s="25" t="s">
        <v>97</v>
      </c>
      <c r="H5" s="56"/>
      <c r="I5" s="3" t="s">
        <v>64</v>
      </c>
      <c r="J5" s="196"/>
    </row>
    <row r="6" spans="2:10" x14ac:dyDescent="0.2">
      <c r="H6" s="68"/>
      <c r="I6" s="3" t="s">
        <v>489</v>
      </c>
      <c r="J6" s="196"/>
    </row>
    <row r="7" spans="2:10" x14ac:dyDescent="0.2">
      <c r="H7" s="57"/>
      <c r="I7" s="3" t="s">
        <v>112</v>
      </c>
      <c r="J7" s="196"/>
    </row>
    <row r="8" spans="2:10" x14ac:dyDescent="0.2">
      <c r="H8" s="58"/>
      <c r="I8" s="3" t="s">
        <v>154</v>
      </c>
      <c r="J8" s="196"/>
    </row>
    <row r="9" spans="2:10" x14ac:dyDescent="0.2">
      <c r="H9" s="59"/>
      <c r="I9" s="197" t="s">
        <v>155</v>
      </c>
      <c r="J9" s="198"/>
    </row>
    <row r="11" spans="2:10" x14ac:dyDescent="0.2">
      <c r="B11" s="9" t="s">
        <v>103</v>
      </c>
      <c r="D11" s="9" t="s">
        <v>65</v>
      </c>
    </row>
    <row r="12" spans="2:10" x14ac:dyDescent="0.2">
      <c r="B12" s="29" t="s">
        <v>86</v>
      </c>
      <c r="D12" s="67" t="s">
        <v>488</v>
      </c>
      <c r="F12" s="9" t="s">
        <v>156</v>
      </c>
      <c r="G12" s="9"/>
      <c r="H12" s="9"/>
      <c r="I12" s="9"/>
    </row>
    <row r="13" spans="2:10" x14ac:dyDescent="0.2">
      <c r="B13" s="263" t="s">
        <v>79</v>
      </c>
      <c r="D13" s="30" t="s">
        <v>69</v>
      </c>
      <c r="F13" s="264" t="s">
        <v>543</v>
      </c>
      <c r="G13" s="264"/>
      <c r="H13" s="264"/>
      <c r="I13" s="264"/>
    </row>
    <row r="14" spans="2:10" x14ac:dyDescent="0.2">
      <c r="B14" s="29" t="s">
        <v>542</v>
      </c>
      <c r="D14" s="31" t="s">
        <v>556</v>
      </c>
      <c r="F14" s="264" t="s">
        <v>573</v>
      </c>
      <c r="G14" s="264"/>
      <c r="H14" s="264"/>
      <c r="I14" s="264"/>
    </row>
    <row r="15" spans="2:10" x14ac:dyDescent="0.2">
      <c r="B15" s="29" t="s">
        <v>533</v>
      </c>
      <c r="D15" s="31" t="s">
        <v>551</v>
      </c>
      <c r="F15" s="264" t="s">
        <v>582</v>
      </c>
      <c r="G15" s="264"/>
      <c r="H15" s="264"/>
      <c r="I15" s="264"/>
    </row>
    <row r="16" spans="2:10" x14ac:dyDescent="0.2">
      <c r="D16" s="31" t="s">
        <v>552</v>
      </c>
      <c r="F16" s="264" t="s">
        <v>547</v>
      </c>
      <c r="G16" s="264"/>
      <c r="H16" s="264"/>
      <c r="I16" s="264"/>
    </row>
    <row r="17" spans="2:9" s="9" customFormat="1" x14ac:dyDescent="0.2">
      <c r="B17" s="9" t="s">
        <v>64</v>
      </c>
      <c r="D17" s="31" t="s">
        <v>104</v>
      </c>
      <c r="F17" s="264" t="s">
        <v>548</v>
      </c>
      <c r="G17" s="264"/>
      <c r="H17" s="264"/>
      <c r="I17" s="264"/>
    </row>
    <row r="18" spans="2:9" x14ac:dyDescent="0.2">
      <c r="B18" s="32" t="s">
        <v>553</v>
      </c>
      <c r="D18" s="31" t="s">
        <v>105</v>
      </c>
      <c r="F18" s="264" t="s">
        <v>544</v>
      </c>
      <c r="G18" s="264"/>
      <c r="H18" s="264"/>
      <c r="I18" s="264"/>
    </row>
    <row r="19" spans="2:9" x14ac:dyDescent="0.2">
      <c r="B19" s="32" t="s">
        <v>558</v>
      </c>
      <c r="D19" s="31" t="s">
        <v>106</v>
      </c>
      <c r="F19" s="264" t="s">
        <v>545</v>
      </c>
      <c r="G19" s="264"/>
      <c r="H19" s="264"/>
      <c r="I19" s="264"/>
    </row>
    <row r="20" spans="2:9" x14ac:dyDescent="0.2">
      <c r="B20" s="32" t="s">
        <v>600</v>
      </c>
      <c r="D20" s="31" t="s">
        <v>108</v>
      </c>
    </row>
    <row r="21" spans="2:9" x14ac:dyDescent="0.2">
      <c r="B21" s="32" t="s">
        <v>557</v>
      </c>
      <c r="D21" s="31" t="s">
        <v>107</v>
      </c>
    </row>
    <row r="22" spans="2:9" x14ac:dyDescent="0.2">
      <c r="B22" s="32" t="s">
        <v>530</v>
      </c>
      <c r="D22" s="30" t="s">
        <v>113</v>
      </c>
    </row>
    <row r="23" spans="2:9" x14ac:dyDescent="0.2">
      <c r="B23" s="32" t="s">
        <v>484</v>
      </c>
      <c r="D23" s="30" t="s">
        <v>114</v>
      </c>
    </row>
    <row r="24" spans="2:9" x14ac:dyDescent="0.2">
      <c r="B24" s="32" t="s">
        <v>120</v>
      </c>
      <c r="D24" s="30" t="s">
        <v>68</v>
      </c>
    </row>
    <row r="25" spans="2:9" x14ac:dyDescent="0.2">
      <c r="B25" s="32" t="s">
        <v>483</v>
      </c>
      <c r="D25" s="31" t="s">
        <v>62</v>
      </c>
    </row>
    <row r="26" spans="2:9" x14ac:dyDescent="0.2">
      <c r="B26" s="32" t="s">
        <v>525</v>
      </c>
      <c r="D26" s="30" t="s">
        <v>66</v>
      </c>
    </row>
    <row r="27" spans="2:9" x14ac:dyDescent="0.2">
      <c r="B27" s="32" t="s">
        <v>529</v>
      </c>
      <c r="D27" s="31" t="s">
        <v>102</v>
      </c>
    </row>
    <row r="28" spans="2:9" x14ac:dyDescent="0.2">
      <c r="D28" s="31" t="s">
        <v>152</v>
      </c>
    </row>
    <row r="29" spans="2:9" x14ac:dyDescent="0.2">
      <c r="D29" s="31" t="s">
        <v>101</v>
      </c>
    </row>
    <row r="30" spans="2:9" x14ac:dyDescent="0.2">
      <c r="D30" s="30" t="s">
        <v>67</v>
      </c>
    </row>
    <row r="31" spans="2:9" x14ac:dyDescent="0.2">
      <c r="D31" s="31" t="s">
        <v>536</v>
      </c>
    </row>
    <row r="32" spans="2:9" x14ac:dyDescent="0.2">
      <c r="D32" s="31" t="s">
        <v>537</v>
      </c>
    </row>
    <row r="33" spans="4:4" x14ac:dyDescent="0.2">
      <c r="D33" s="31" t="s">
        <v>538</v>
      </c>
    </row>
    <row r="34" spans="4:4" x14ac:dyDescent="0.2">
      <c r="D34" s="31" t="s">
        <v>541</v>
      </c>
    </row>
    <row r="35" spans="4:4" x14ac:dyDescent="0.2">
      <c r="D35" s="31" t="s">
        <v>126</v>
      </c>
    </row>
    <row r="36" spans="4:4" x14ac:dyDescent="0.2">
      <c r="D36" s="31" t="s">
        <v>153</v>
      </c>
    </row>
    <row r="37" spans="4:4" x14ac:dyDescent="0.2">
      <c r="D37" s="31" t="s">
        <v>100</v>
      </c>
    </row>
    <row r="38" spans="4:4" x14ac:dyDescent="0.2">
      <c r="D38" s="31" t="s">
        <v>24</v>
      </c>
    </row>
  </sheetData>
  <sheetProtection sheet="1" scenarios="1" formatCells="0"/>
  <mergeCells count="7">
    <mergeCell ref="F19:I19"/>
    <mergeCell ref="F13:I13"/>
    <mergeCell ref="F14:I14"/>
    <mergeCell ref="F15:I15"/>
    <mergeCell ref="F16:I16"/>
    <mergeCell ref="F17:I17"/>
    <mergeCell ref="F18:I18"/>
  </mergeCells>
  <conditionalFormatting sqref="E2:F5">
    <cfRule type="expression" dxfId="151" priority="1">
      <formula>_xlfn.ISFORMULA(E2)</formula>
    </cfRule>
  </conditionalFormatting>
  <hyperlinks>
    <hyperlink ref="D38" location="'Werckmeister III'!A1" display="Werckmeister III" xr:uid="{B9A047F0-DDAA-DF47-AE25-55AF8E635714}"/>
    <hyperlink ref="D25" location="'Meantone Bav Donat'!A1" display="Meantone Bavington Donat" xr:uid="{CD736A0E-6BB2-DF43-BFF6-F4513E725F54}"/>
    <hyperlink ref="B22" location="'Anon., Leipzig 10, ~1700'!A1" display="Bergmann Leipzig L10" xr:uid="{1598F390-7B5B-C146-8FBB-3F59EABE9C19}"/>
    <hyperlink ref="B24" location="'Bavington, Donat, L 12, ~1700'!A1" display="Bavington Donat Leipzig L12 ~1700" xr:uid="{0AFCAABC-6C82-7146-B911-5BE43AFC3432}"/>
    <hyperlink ref="D13" location="Equal!A1" display="Equal Temperament" xr:uid="{B8559B2F-CEB9-314B-8E41-F9A2F7342B06}"/>
    <hyperlink ref="D26" location="Monochord!A1" display="Monochord -Derivation of Intervals from Monochord " xr:uid="{5826831C-7F06-104B-BE53-5C9210546517}"/>
    <hyperlink ref="D30" location="Pythagorean!A1" display="Pythogorean" xr:uid="{4167C43E-2DD8-4F4B-8259-1447CA129BD3}"/>
    <hyperlink ref="D22" location="'Meantone Oct 1'!A1" display="Meantone Octave 1" xr:uid="{A2E4BC25-710B-B445-9D15-F973DD265D92}"/>
    <hyperlink ref="D24" location="'Meantone q. comma'!A1" display="Meantone Quarter Comma" xr:uid="{4C148F8B-0F33-3140-8C88-F25638660A28}"/>
    <hyperlink ref="B13" location="'Fret Calculator'!A1" display="Fret Calculator" xr:uid="{24CD6844-395D-D142-809F-7CF4ECC984CE}"/>
    <hyperlink ref="D37" location="'Vallotti-Young'!A1" display="Valotti-Young" xr:uid="{96CEDFBD-8254-E740-B8FE-FB46D61D0B37}"/>
    <hyperlink ref="D27" location="'Neidhardt 1'!A1" display="Neidhardt 1724" xr:uid="{8AA7221F-CBAF-6140-84B3-BC083B52D72B}"/>
    <hyperlink ref="D28" location="'Neidhardt 2'!A1" display="Neidhart 1732" xr:uid="{EAB7ABDC-F0B3-284B-BBB6-6555FF4F3936}"/>
    <hyperlink ref="B26" location="'Hubert, Edinburgh, 1784'!A1" display="Bergmann Hubert Edinburgh 1784" xr:uid="{8F4199D2-DF0C-7544-8BDF-7AA37AFC0EB7}"/>
    <hyperlink ref="D17" location="'Kirnberger col. 1'!A1" display="Kirnberger Column 1" xr:uid="{47FEB1EF-E22C-0A4D-8969-7046F15CCAAE}"/>
    <hyperlink ref="B12" location="'Commas &amp; Cents'!A1" display="Commas and Cents and Fractions of Commas" xr:uid="{A3CB7197-BF3B-7A48-9DDE-6B8604C7BC1F}"/>
    <hyperlink ref="D29" location="'Neidhardt 3'!A1" display="Neidhardt 3" xr:uid="{EA649086-388C-DB49-BA80-C1731EF9C655}"/>
    <hyperlink ref="D18" location="'Kirnberger col. 2'!A1" display="Kirnberger Column 2" xr:uid="{DDDF5B89-630A-7D49-929F-E1970CD44B8A}"/>
    <hyperlink ref="D19" location="'Kirnberger col. 3'!A1" display="Kirnberger Column 3" xr:uid="{8E92B1D7-E985-B54A-8A96-C863082CD9E3}"/>
    <hyperlink ref="D21" location="'Kirnberger III s.'!A1" display="Kirnberger III Syntonic" xr:uid="{E076F17A-B7F9-DD43-BF34-4236DFEB65B4}"/>
    <hyperlink ref="D20" location="'Kirnberger III P.'!A1" display="Kirnberger III Pythagorean" xr:uid="{BD0C86CB-E09C-4749-965C-36FB7EB5055D}"/>
    <hyperlink ref="D23" location="'Meantone Oct 2'!A1" display="Meantone Octave 2" xr:uid="{3DB3D839-5C9B-5843-89CA-C21A61EA79AB}"/>
    <hyperlink ref="D35" location="'Silbermann Sorge'!A1" display="Silbermann Sorge" xr:uid="{7AFD7B5C-566F-9B4A-892C-7727E5BA2841}"/>
    <hyperlink ref="D36" location="'Silbermann Wegscheider 1'!A1" display="Soilbermann Wegscheider 1" xr:uid="{79C539B6-BBD4-0940-A99A-0F3AADBB5BEF}"/>
    <hyperlink ref="B14" location="'Best Fit Fretting'!A1" display="Best Fit of BDO Temperament to Fretting" xr:uid="{1784FF22-1C2F-AD49-A1F9-90712FA1BFE6}"/>
    <hyperlink ref="B25" location="'Wahlström, 1752'!A1" display="Wahlström, 1752" xr:uid="{73DE44F8-97A5-824C-9C39-FE12BE94DBE9}"/>
    <hyperlink ref="B23" location="'Gellinger, Namur, 1670'!A1" display="Gellinger, Namur, 1670" xr:uid="{27FB6A6C-CF82-E646-8606-9DD8D605FB86}"/>
    <hyperlink ref="D12" location="'BDO Any'!A1" display="BDO Any - select any temperament" xr:uid="{C7741911-B1F3-3143-BF3D-792CD4D01675}"/>
    <hyperlink ref="B27" location="'Hubert, Nürnberg, 1789'!A1" display="Hubert Nürnberg 1789" xr:uid="{56DEA40E-71D1-D946-BC7C-61CFE2E2EE87}"/>
    <hyperlink ref="B15" location="'Best Fit Temperament'!A1" display="Best Fit of BDO Temperament to given Temperament" xr:uid="{42959C4E-5176-3F42-8C77-9F0B44F3C141}"/>
    <hyperlink ref="D31" location="'Silbermann Freiberg 1'!A1" display="Silbermann Freiberg 1" xr:uid="{1A57054E-FA5A-7842-B290-BBF62750E942}"/>
    <hyperlink ref="D32" location="'Silbermann Freiberg 2'!A1" display="Silbermann Freiberg 2" xr:uid="{92B0B455-5B12-6546-93EE-170707A8C046}"/>
    <hyperlink ref="D33" location="'Silbermann Freiberg 3'!A1" display="Silbermann Freiberg 3" xr:uid="{9296366B-5154-4046-8ECF-D91BED3C7C70}"/>
    <hyperlink ref="D34" location="'Silbermann Freiberg 4'!A1" display="Silbermann Freiberg 4" xr:uid="{2135A08D-B8CD-0C49-9752-32A7EF3CA942}"/>
    <hyperlink ref="D15" location="'Altstedt, Scholsskappelle 1'!A1" display="Altstedt, Scholsskappelle 1" xr:uid="{27E6B61B-E08E-1C42-8AC7-C98955BE60F9}"/>
    <hyperlink ref="D16" location="'Altstedt, Scholsskappelle 2'!A1" display="Altstedt, Scholsskappelle 2" xr:uid="{2E1862DC-A4C0-9544-AB65-56B4FB8DCC5A}"/>
    <hyperlink ref="B18" location="'Guitar, Modern'!A1" display="Guitar, Modern" xr:uid="{C204270A-BB01-8848-9B29-98B4507C0EEB}"/>
    <hyperlink ref="B21" location="'Bergmann, Leizig 10, 2025'!A1" display="Bergmann, Leipzig 10, 2025" xr:uid="{98A965E2-E3CE-6545-BC79-877E0B6EEF3F}"/>
    <hyperlink ref="D14" location="'Grote 5th'!A1" display="Grote 5th" xr:uid="{A7647AE8-DD04-2149-ACCD-E4E29B2526B1}"/>
    <hyperlink ref="B19" location="'Tournay-Kather Tannenberg, 1992'!A1" display="Tournay-Kather Tannenberg, 1992" xr:uid="{07F76A6F-19E4-4942-98D3-86169005BD27}"/>
    <hyperlink ref="F15" location="'Template Instrument Organ'!A1" display="Instrument Template for Organ" xr:uid="{CC423889-AF74-E649-8FDF-B04CF9AE26E7}"/>
    <hyperlink ref="F16" location="'Template from Fifths'!A1" display="Temperament Template from Fifths" xr:uid="{B9BA5AC6-142B-CB45-8D17-89352857CE13}"/>
    <hyperlink ref="F17" location="'Template from Scale'!A1" display="Temperament Template from Scale" xr:uid="{BDC03FB0-05C5-B544-91AB-0553562A5DDD}"/>
    <hyperlink ref="F19" location="'Template from ET Scale Order'!A1" display="Temperament Template from Equal Temperament - scale order" xr:uid="{8C5F9D5A-DE03-9242-9A57-CD69DE7BE0ED}"/>
    <hyperlink ref="F18" location="'Template from ET Fifths Order'!A1" display="Temperament Template from Equal Temperament - fifths order" xr:uid="{E2F67EEA-036F-CA46-8FB0-FE6E614031F4}"/>
    <hyperlink ref="F14" location="'Template Bridge Effect'!A1" display="Template for Bridge Effect on Fretted Instrument" xr:uid="{548D18A7-C06C-4248-A38E-46EFA3255DCF}"/>
    <hyperlink ref="F15:I15" location="'Template Instrument by Lengths'!A1" display="Instrument Template by Pipe or String Lengths" xr:uid="{783FD687-7257-4D4B-9090-67EAD8E63ED1}"/>
    <hyperlink ref="F13:I13" location="'Template Instrument Fretted'!A1" display="Instrument Template for Fretted Instrument" xr:uid="{B367D216-F57F-1742-9D1C-F11527198E29}"/>
    <hyperlink ref="B20" location="'Tournay_Kather Bridge'!A1" display="Tournay-Kather Bridge Effect" xr:uid="{DA085140-61F3-A84F-9E7E-4E5D8DFCF59D}"/>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F2E5-91AA-184C-B867-330939704986}">
  <sheetPr>
    <tabColor theme="9" tint="0.59999389629810485"/>
  </sheetPr>
  <dimension ref="A1:Z40"/>
  <sheetViews>
    <sheetView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591</v>
      </c>
      <c r="C1" s="289"/>
      <c r="D1" s="289"/>
      <c r="E1" s="289"/>
      <c r="F1" s="289"/>
      <c r="G1" s="289"/>
      <c r="H1" s="28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Equal Temperament</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Anon., Leipzig 10, ~1700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5</v>
      </c>
      <c r="C6" s="163" t="s">
        <v>70</v>
      </c>
      <c r="D6" s="162">
        <v>879</v>
      </c>
      <c r="E6" s="162">
        <v>851</v>
      </c>
      <c r="F6" s="110">
        <f>1200*LOG(D6/E6,2)</f>
        <v>56.044840148929765</v>
      </c>
      <c r="H6" s="110">
        <f t="shared" ref="H6:I21" ca="1" si="0">VLOOKUP(B6,INDIRECT("'"&amp;$H$3&amp;"'!Master_Frequencies"),2,FALSE)</f>
        <v>351.20564343330932</v>
      </c>
      <c r="I6" s="110">
        <f ca="1">VLOOKUP(C6,INDIRECT("'"&amp;$H$3&amp;"'!Master_Frequencies"),2,FALSE)</f>
        <v>369.99442271163451</v>
      </c>
      <c r="J6" s="110">
        <f ca="1">LOG(I6/H6,2)*1200</f>
        <v>90.224995673063063</v>
      </c>
      <c r="K6" s="110">
        <f ca="1">J6-F6</f>
        <v>34.180155524133298</v>
      </c>
      <c r="M6" s="110">
        <f t="shared" ref="M6:N22" ca="1" si="1">VLOOKUP(B6,INDIRECT("'"&amp;$M$3&amp;"'!Master_Frequencies"),2,FALSE)</f>
        <v>343.75000000000006</v>
      </c>
      <c r="N6" s="110">
        <f t="shared" ca="1" si="1"/>
        <v>367.80716773703227</v>
      </c>
      <c r="O6" s="110">
        <f ca="1">LOG(N6/M6,2)*1200</f>
        <v>117.10785766895694</v>
      </c>
      <c r="P6" s="110">
        <f ca="1">O6-F6</f>
        <v>61.063017520027174</v>
      </c>
      <c r="R6" s="110">
        <f t="shared" ref="R6:S22" ca="1" si="2">VLOOKUP(B6,INDIRECT("'"&amp;$R$3&amp;"'!Master_Frequencies"),2,FALSE)</f>
        <v>352.00000000000017</v>
      </c>
      <c r="S6" s="110">
        <f t="shared" ca="1" si="2"/>
        <v>367.80716773703227</v>
      </c>
      <c r="T6" s="110">
        <f ca="1">LOG(S6/R6,2)*1200</f>
        <v>76.048999263460743</v>
      </c>
      <c r="U6" s="110">
        <f ca="1">T6-F6</f>
        <v>20.004159114530978</v>
      </c>
      <c r="W6" s="110">
        <f t="shared" ref="W6:X22" ca="1" si="3">VLOOKUP(B6,INDIRECT("'"&amp;$W$3&amp;"'!Master_Frequencies"),2,FALSE)</f>
        <v>349.22823143300388</v>
      </c>
      <c r="X6" s="110">
        <f t="shared" ca="1" si="3"/>
        <v>369.9944227116344</v>
      </c>
      <c r="Y6" s="110">
        <f ca="1">LOG(X6/W6,2)*1200</f>
        <v>100.00000000000007</v>
      </c>
      <c r="Z6" s="110">
        <f ca="1">Y6-F6</f>
        <v>43.955159851070306</v>
      </c>
    </row>
    <row r="7" spans="1:26" x14ac:dyDescent="0.2">
      <c r="B7" s="163" t="s">
        <v>6</v>
      </c>
      <c r="C7" s="163" t="s">
        <v>72</v>
      </c>
      <c r="D7" s="162">
        <v>836</v>
      </c>
      <c r="E7" s="162">
        <v>811</v>
      </c>
      <c r="F7" s="110">
        <f t="shared" ref="F7:F23" si="4">1200*LOG(D7/E7,2)</f>
        <v>52.561233436331733</v>
      </c>
      <c r="H7" s="110">
        <f t="shared" ca="1" si="0"/>
        <v>393.77008877325875</v>
      </c>
      <c r="I7" s="110">
        <f t="shared" ca="1" si="0"/>
        <v>416.24372555058881</v>
      </c>
      <c r="J7" s="110">
        <f t="shared" ref="J7:J23" ca="1" si="5">LOG(I7/H7,2)*1200</f>
        <v>96.089998269225319</v>
      </c>
      <c r="K7" s="110">
        <f t="shared" ref="K7:K23" ca="1" si="6">J7-F7</f>
        <v>43.528764832893586</v>
      </c>
      <c r="M7" s="110">
        <f t="shared" ca="1" si="1"/>
        <v>393.54796403996318</v>
      </c>
      <c r="N7" s="110">
        <f t="shared" ca="1" si="1"/>
        <v>411.2209148358358</v>
      </c>
      <c r="O7" s="110">
        <f t="shared" ref="O7:O23" ca="1" si="7">LOG(N7/M7,2)*1200</f>
        <v>76.048999263460743</v>
      </c>
      <c r="P7" s="110">
        <f t="shared" ref="P7:P23" ca="1" si="8">O7-F7</f>
        <v>23.48776582712901</v>
      </c>
      <c r="R7" s="110">
        <f t="shared" ca="1" si="2"/>
        <v>393.54796403996318</v>
      </c>
      <c r="S7" s="110">
        <f t="shared" ca="1" si="2"/>
        <v>411.2209148358358</v>
      </c>
      <c r="T7" s="110">
        <f t="shared" ref="T7:T23" ca="1" si="9">LOG(S7/R7,2)*1200</f>
        <v>76.048999263460743</v>
      </c>
      <c r="U7" s="110">
        <f t="shared" ref="U7:U23" ca="1" si="10">T7-F7</f>
        <v>23.48776582712901</v>
      </c>
      <c r="W7" s="110">
        <f t="shared" ca="1" si="3"/>
        <v>391.99543598174927</v>
      </c>
      <c r="X7" s="110">
        <f t="shared" ca="1" si="3"/>
        <v>415.30469757994507</v>
      </c>
      <c r="Y7" s="110">
        <f t="shared" ref="Y7:Y23" ca="1" si="11">LOG(X7/W7,2)*1200</f>
        <v>99.99999999999973</v>
      </c>
      <c r="Z7" s="110">
        <f t="shared" ref="Z7:Z23" ca="1" si="12">Y7-F7</f>
        <v>47.438766563667997</v>
      </c>
    </row>
    <row r="8" spans="1:26" x14ac:dyDescent="0.2">
      <c r="B8" s="163" t="s">
        <v>2</v>
      </c>
      <c r="C8" s="163" t="s">
        <v>74</v>
      </c>
      <c r="D8" s="162">
        <v>745</v>
      </c>
      <c r="E8" s="162">
        <v>711</v>
      </c>
      <c r="F8" s="110">
        <f t="shared" si="4"/>
        <v>80.869038876130247</v>
      </c>
      <c r="H8" s="110">
        <f t="shared" ca="1" si="0"/>
        <v>263.40423257498196</v>
      </c>
      <c r="I8" s="110">
        <f t="shared" ca="1" si="0"/>
        <v>277.49581703372587</v>
      </c>
      <c r="J8" s="110">
        <f t="shared" ca="1" si="5"/>
        <v>90.224995673063063</v>
      </c>
      <c r="K8" s="110">
        <f t="shared" ca="1" si="6"/>
        <v>9.3559567969328157</v>
      </c>
      <c r="M8" s="110">
        <f t="shared" ca="1" si="1"/>
        <v>263.18138549493494</v>
      </c>
      <c r="N8" s="110">
        <f t="shared" ca="1" si="1"/>
        <v>275.00000000000011</v>
      </c>
      <c r="O8" s="110">
        <f t="shared" ca="1" si="7"/>
        <v>76.048999263460743</v>
      </c>
      <c r="P8" s="110">
        <f t="shared" ca="1" si="8"/>
        <v>-4.820039612669504</v>
      </c>
      <c r="R8" s="110">
        <f t="shared" ca="1" si="2"/>
        <v>263.18138549493494</v>
      </c>
      <c r="S8" s="110">
        <f t="shared" ca="1" si="2"/>
        <v>275.00000000000011</v>
      </c>
      <c r="T8" s="110">
        <f t="shared" ca="1" si="9"/>
        <v>76.048999263460743</v>
      </c>
      <c r="U8" s="110">
        <f t="shared" ca="1" si="10"/>
        <v>-4.820039612669504</v>
      </c>
      <c r="W8" s="110">
        <f t="shared" ca="1" si="3"/>
        <v>261.62556530059862</v>
      </c>
      <c r="X8" s="110">
        <f t="shared" ca="1" si="3"/>
        <v>277.18263097687208</v>
      </c>
      <c r="Y8" s="110">
        <f t="shared" ca="1" si="11"/>
        <v>100.00000000000007</v>
      </c>
      <c r="Z8" s="110">
        <f t="shared" ca="1" si="12"/>
        <v>19.130961123869824</v>
      </c>
    </row>
    <row r="9" spans="1:26" x14ac:dyDescent="0.2">
      <c r="B9" s="163" t="s">
        <v>76</v>
      </c>
      <c r="C9" s="163" t="s">
        <v>4</v>
      </c>
      <c r="D9" s="162">
        <v>676</v>
      </c>
      <c r="E9" s="162">
        <v>656</v>
      </c>
      <c r="F9" s="110">
        <f t="shared" si="4"/>
        <v>51.992917996920802</v>
      </c>
      <c r="H9" s="110">
        <f t="shared" ca="1" si="0"/>
        <v>312.1827941629416</v>
      </c>
      <c r="I9" s="110">
        <f t="shared" ca="1" si="0"/>
        <v>330.00000000000006</v>
      </c>
      <c r="J9" s="110">
        <f t="shared" ca="1" si="5"/>
        <v>96.089998269224949</v>
      </c>
      <c r="K9" s="110">
        <f t="shared" ca="1" si="6"/>
        <v>44.097080272304147</v>
      </c>
      <c r="M9" s="110">
        <f t="shared" ca="1" si="1"/>
        <v>307.45934690622119</v>
      </c>
      <c r="N9" s="110">
        <f t="shared" ca="1" si="1"/>
        <v>328.97673186866865</v>
      </c>
      <c r="O9" s="110">
        <f t="shared" ca="1" si="7"/>
        <v>117.1078576689566</v>
      </c>
      <c r="P9" s="110">
        <f t="shared" ca="1" si="8"/>
        <v>65.114939672035803</v>
      </c>
      <c r="R9" s="110">
        <f t="shared" ca="1" si="2"/>
        <v>307.45934690622119</v>
      </c>
      <c r="S9" s="110">
        <f t="shared" ca="1" si="2"/>
        <v>328.97673186866865</v>
      </c>
      <c r="T9" s="110">
        <f t="shared" ca="1" si="9"/>
        <v>117.1078576689566</v>
      </c>
      <c r="U9" s="110">
        <f t="shared" ca="1" si="10"/>
        <v>65.114939672035803</v>
      </c>
      <c r="W9" s="110">
        <f t="shared" ca="1" si="3"/>
        <v>311.12698372208087</v>
      </c>
      <c r="X9" s="110">
        <f t="shared" ca="1" si="3"/>
        <v>329.62755691286992</v>
      </c>
      <c r="Y9" s="110">
        <f t="shared" ca="1" si="11"/>
        <v>100.00000000000007</v>
      </c>
      <c r="Z9" s="110">
        <f t="shared" ca="1" si="12"/>
        <v>48.007082003079269</v>
      </c>
    </row>
    <row r="10" spans="1:26" x14ac:dyDescent="0.2">
      <c r="B10" s="163" t="s">
        <v>5</v>
      </c>
      <c r="C10" s="163" t="s">
        <v>70</v>
      </c>
      <c r="D10" s="162">
        <v>637</v>
      </c>
      <c r="E10" s="162">
        <v>615</v>
      </c>
      <c r="F10" s="110">
        <f t="shared" si="4"/>
        <v>60.848354435637958</v>
      </c>
      <c r="G10" s="7"/>
      <c r="H10" s="110">
        <f t="shared" ca="1" si="0"/>
        <v>351.20564343330932</v>
      </c>
      <c r="I10" s="110">
        <f t="shared" ca="1" si="0"/>
        <v>369.99442271163451</v>
      </c>
      <c r="J10" s="110">
        <f t="shared" ca="1" si="5"/>
        <v>90.224995673063063</v>
      </c>
      <c r="K10" s="110">
        <f t="shared" ca="1" si="6"/>
        <v>29.376641237425105</v>
      </c>
      <c r="M10" s="110">
        <f t="shared" ca="1" si="1"/>
        <v>343.75000000000006</v>
      </c>
      <c r="N10" s="110">
        <f t="shared" ca="1" si="1"/>
        <v>367.80716773703227</v>
      </c>
      <c r="O10" s="110">
        <f t="shared" ca="1" si="7"/>
        <v>117.10785766895694</v>
      </c>
      <c r="P10" s="110">
        <f t="shared" ca="1" si="8"/>
        <v>56.259503233318981</v>
      </c>
      <c r="R10" s="110">
        <f t="shared" ca="1" si="2"/>
        <v>352.00000000000017</v>
      </c>
      <c r="S10" s="110">
        <f t="shared" ca="1" si="2"/>
        <v>367.80716773703227</v>
      </c>
      <c r="T10" s="110">
        <f t="shared" ca="1" si="9"/>
        <v>76.048999263460743</v>
      </c>
      <c r="U10" s="110">
        <f t="shared" ca="1" si="10"/>
        <v>15.200644827822785</v>
      </c>
      <c r="W10" s="110">
        <f t="shared" ca="1" si="3"/>
        <v>349.22823143300388</v>
      </c>
      <c r="X10" s="110">
        <f t="shared" ca="1" si="3"/>
        <v>369.9944227116344</v>
      </c>
      <c r="Y10" s="110">
        <f t="shared" ca="1" si="11"/>
        <v>100.00000000000007</v>
      </c>
      <c r="Z10" s="110">
        <f t="shared" ca="1" si="12"/>
        <v>39.151645564362113</v>
      </c>
    </row>
    <row r="11" spans="1:26" x14ac:dyDescent="0.2">
      <c r="B11" s="163" t="s">
        <v>6</v>
      </c>
      <c r="C11" s="163" t="s">
        <v>72</v>
      </c>
      <c r="D11" s="162">
        <v>597</v>
      </c>
      <c r="E11" s="162">
        <v>576</v>
      </c>
      <c r="F11" s="110">
        <f t="shared" si="4"/>
        <v>61.994543786991073</v>
      </c>
      <c r="G11" s="7"/>
      <c r="H11" s="110">
        <f t="shared" ca="1" si="0"/>
        <v>393.77008877325875</v>
      </c>
      <c r="I11" s="110">
        <f t="shared" ca="1" si="0"/>
        <v>416.24372555058881</v>
      </c>
      <c r="J11" s="110">
        <f t="shared" ca="1" si="5"/>
        <v>96.089998269225319</v>
      </c>
      <c r="K11" s="110">
        <f t="shared" ca="1" si="6"/>
        <v>34.095454482234246</v>
      </c>
      <c r="M11" s="110">
        <f t="shared" ca="1" si="1"/>
        <v>393.54796403996318</v>
      </c>
      <c r="N11" s="110">
        <f t="shared" ca="1" si="1"/>
        <v>411.2209148358358</v>
      </c>
      <c r="O11" s="110">
        <f t="shared" ca="1" si="7"/>
        <v>76.048999263460743</v>
      </c>
      <c r="P11" s="110">
        <f t="shared" ca="1" si="8"/>
        <v>14.05445547646967</v>
      </c>
      <c r="R11" s="110">
        <f t="shared" ca="1" si="2"/>
        <v>393.54796403996318</v>
      </c>
      <c r="S11" s="110">
        <f t="shared" ca="1" si="2"/>
        <v>411.2209148358358</v>
      </c>
      <c r="T11" s="110">
        <f t="shared" ca="1" si="9"/>
        <v>76.048999263460743</v>
      </c>
      <c r="U11" s="110">
        <f t="shared" ca="1" si="10"/>
        <v>14.05445547646967</v>
      </c>
      <c r="W11" s="110">
        <f t="shared" ca="1" si="3"/>
        <v>391.99543598174927</v>
      </c>
      <c r="X11" s="110">
        <f t="shared" ca="1" si="3"/>
        <v>415.30469757994507</v>
      </c>
      <c r="Y11" s="110">
        <f t="shared" ca="1" si="11"/>
        <v>99.99999999999973</v>
      </c>
      <c r="Z11" s="110">
        <f t="shared" ca="1" si="12"/>
        <v>38.005456213008657</v>
      </c>
    </row>
    <row r="12" spans="1:26" x14ac:dyDescent="0.2">
      <c r="B12" s="163" t="s">
        <v>73</v>
      </c>
      <c r="C12" s="163" t="s">
        <v>8</v>
      </c>
      <c r="D12" s="162">
        <v>538</v>
      </c>
      <c r="E12" s="162">
        <v>519</v>
      </c>
      <c r="F12" s="110">
        <f t="shared" si="4"/>
        <v>62.245961038491807</v>
      </c>
      <c r="G12" s="7"/>
      <c r="H12" s="110">
        <f ca="1">VLOOKUP(B12,INDIRECT("'"&amp;$H$3&amp;"'!Master_Frequencies"),2,FALSE)</f>
        <v>468.27419124441241</v>
      </c>
      <c r="I12" s="110">
        <f t="shared" ca="1" si="0"/>
        <v>495.00000000000011</v>
      </c>
      <c r="J12" s="110">
        <f t="shared" ca="1" si="5"/>
        <v>96.089998269224949</v>
      </c>
      <c r="K12" s="110">
        <f t="shared" ca="1" si="6"/>
        <v>33.844037230733143</v>
      </c>
      <c r="M12" s="110">
        <f t="shared" ca="1" si="1"/>
        <v>459.75895967129026</v>
      </c>
      <c r="N12" s="110">
        <f t="shared" ca="1" si="1"/>
        <v>491.93495504995394</v>
      </c>
      <c r="O12" s="110">
        <f t="shared" ca="1" si="7"/>
        <v>117.10785766895694</v>
      </c>
      <c r="P12" s="110">
        <f t="shared" ca="1" si="8"/>
        <v>54.861896630465132</v>
      </c>
      <c r="R12" s="110">
        <f t="shared" ca="1" si="2"/>
        <v>470.79317470340129</v>
      </c>
      <c r="S12" s="110">
        <f t="shared" ca="1" si="2"/>
        <v>491.93495504995394</v>
      </c>
      <c r="T12" s="110">
        <f t="shared" ca="1" si="9"/>
        <v>76.048999263461113</v>
      </c>
      <c r="U12" s="110">
        <f t="shared" ca="1" si="10"/>
        <v>13.803038224969306</v>
      </c>
      <c r="W12" s="110">
        <f t="shared" ca="1" si="3"/>
        <v>466.16376151808987</v>
      </c>
      <c r="X12" s="110">
        <f t="shared" ca="1" si="3"/>
        <v>493.88330125612407</v>
      </c>
      <c r="Y12" s="110">
        <f t="shared" ca="1" si="11"/>
        <v>100.00000000000007</v>
      </c>
      <c r="Z12" s="110">
        <f t="shared" ca="1" si="12"/>
        <v>37.754038961508265</v>
      </c>
    </row>
    <row r="13" spans="1:26" x14ac:dyDescent="0.2">
      <c r="B13" s="163" t="s">
        <v>2</v>
      </c>
      <c r="C13" s="163" t="s">
        <v>74</v>
      </c>
      <c r="D13" s="162">
        <v>501</v>
      </c>
      <c r="E13" s="162">
        <v>482</v>
      </c>
      <c r="F13" s="110">
        <f t="shared" si="4"/>
        <v>66.932948358296272</v>
      </c>
      <c r="G13" s="7"/>
      <c r="H13" s="110">
        <f t="shared" ref="H13:I23" ca="1" si="13">VLOOKUP(B13,INDIRECT("'"&amp;$H$3&amp;"'!Master_Frequencies"),2,FALSE)</f>
        <v>263.40423257498196</v>
      </c>
      <c r="I13" s="110">
        <f t="shared" ca="1" si="0"/>
        <v>277.49581703372587</v>
      </c>
      <c r="J13" s="110">
        <f t="shared" ca="1" si="5"/>
        <v>90.224995673063063</v>
      </c>
      <c r="K13" s="110">
        <f t="shared" ca="1" si="6"/>
        <v>23.292047314766791</v>
      </c>
      <c r="M13" s="110">
        <f t="shared" ca="1" si="1"/>
        <v>263.18138549493494</v>
      </c>
      <c r="N13" s="110">
        <f t="shared" ca="1" si="1"/>
        <v>275.00000000000011</v>
      </c>
      <c r="O13" s="110">
        <f t="shared" ca="1" si="7"/>
        <v>76.048999263460743</v>
      </c>
      <c r="P13" s="110">
        <f t="shared" ca="1" si="8"/>
        <v>9.1160509051644709</v>
      </c>
      <c r="R13" s="110">
        <f t="shared" ca="1" si="2"/>
        <v>263.18138549493494</v>
      </c>
      <c r="S13" s="110">
        <f t="shared" ca="1" si="2"/>
        <v>275.00000000000011</v>
      </c>
      <c r="T13" s="110">
        <f t="shared" ca="1" si="9"/>
        <v>76.048999263460743</v>
      </c>
      <c r="U13" s="110">
        <f t="shared" ca="1" si="10"/>
        <v>9.1160509051644709</v>
      </c>
      <c r="W13" s="110">
        <f t="shared" ca="1" si="3"/>
        <v>261.62556530059862</v>
      </c>
      <c r="X13" s="110">
        <f t="shared" ca="1" si="3"/>
        <v>277.18263097687208</v>
      </c>
      <c r="Y13" s="110">
        <f t="shared" ca="1" si="11"/>
        <v>100.00000000000007</v>
      </c>
      <c r="Z13" s="110">
        <f t="shared" ca="1" si="12"/>
        <v>33.067051641703799</v>
      </c>
    </row>
    <row r="14" spans="1:26" x14ac:dyDescent="0.2">
      <c r="B14" s="163" t="s">
        <v>76</v>
      </c>
      <c r="C14" s="163" t="s">
        <v>4</v>
      </c>
      <c r="D14" s="162">
        <v>464</v>
      </c>
      <c r="E14" s="162">
        <v>444</v>
      </c>
      <c r="F14" s="110">
        <f t="shared" si="4"/>
        <v>76.278154532959363</v>
      </c>
      <c r="G14" s="7"/>
      <c r="H14" s="110">
        <f t="shared" ca="1" si="13"/>
        <v>312.1827941629416</v>
      </c>
      <c r="I14" s="110">
        <f t="shared" ca="1" si="0"/>
        <v>330.00000000000006</v>
      </c>
      <c r="J14" s="110">
        <f t="shared" ca="1" si="5"/>
        <v>96.089998269224949</v>
      </c>
      <c r="K14" s="110">
        <f t="shared" ca="1" si="6"/>
        <v>19.811843736265587</v>
      </c>
      <c r="M14" s="110">
        <f t="shared" ca="1" si="1"/>
        <v>307.45934690622119</v>
      </c>
      <c r="N14" s="110">
        <f t="shared" ca="1" si="1"/>
        <v>328.97673186866865</v>
      </c>
      <c r="O14" s="110">
        <f t="shared" ca="1" si="7"/>
        <v>117.1078576689566</v>
      </c>
      <c r="P14" s="110">
        <f t="shared" ca="1" si="8"/>
        <v>40.829703135997235</v>
      </c>
      <c r="R14" s="110">
        <f t="shared" ca="1" si="2"/>
        <v>307.45934690622119</v>
      </c>
      <c r="S14" s="110">
        <f t="shared" ca="1" si="2"/>
        <v>328.97673186866865</v>
      </c>
      <c r="T14" s="110">
        <f t="shared" ca="1" si="9"/>
        <v>117.1078576689566</v>
      </c>
      <c r="U14" s="110">
        <f t="shared" ca="1" si="10"/>
        <v>40.829703135997235</v>
      </c>
      <c r="W14" s="110">
        <f t="shared" ca="1" si="3"/>
        <v>311.12698372208087</v>
      </c>
      <c r="X14" s="110">
        <f t="shared" ca="1" si="3"/>
        <v>329.62755691286992</v>
      </c>
      <c r="Y14" s="110">
        <f t="shared" ca="1" si="11"/>
        <v>100.00000000000007</v>
      </c>
      <c r="Z14" s="110">
        <f t="shared" ca="1" si="12"/>
        <v>23.721845467040708</v>
      </c>
    </row>
    <row r="15" spans="1:26" x14ac:dyDescent="0.2">
      <c r="B15" s="163" t="s">
        <v>5</v>
      </c>
      <c r="C15" s="163" t="s">
        <v>70</v>
      </c>
      <c r="D15" s="162">
        <v>406</v>
      </c>
      <c r="E15" s="162">
        <v>391</v>
      </c>
      <c r="F15" s="110">
        <f t="shared" si="4"/>
        <v>65.173343853388914</v>
      </c>
      <c r="G15" s="7"/>
      <c r="H15" s="110">
        <f t="shared" ca="1" si="13"/>
        <v>351.20564343330932</v>
      </c>
      <c r="I15" s="110">
        <f t="shared" ca="1" si="0"/>
        <v>369.99442271163451</v>
      </c>
      <c r="J15" s="110">
        <f t="shared" ca="1" si="5"/>
        <v>90.224995673063063</v>
      </c>
      <c r="K15" s="110">
        <f t="shared" ca="1" si="6"/>
        <v>25.051651819674149</v>
      </c>
      <c r="M15" s="110">
        <f t="shared" ca="1" si="1"/>
        <v>343.75000000000006</v>
      </c>
      <c r="N15" s="110">
        <f t="shared" ca="1" si="1"/>
        <v>367.80716773703227</v>
      </c>
      <c r="O15" s="110">
        <f t="shared" ca="1" si="7"/>
        <v>117.10785766895694</v>
      </c>
      <c r="P15" s="110">
        <f t="shared" ca="1" si="8"/>
        <v>51.934513815568025</v>
      </c>
      <c r="R15" s="110">
        <f t="shared" ca="1" si="2"/>
        <v>352.00000000000017</v>
      </c>
      <c r="S15" s="110">
        <f t="shared" ca="1" si="2"/>
        <v>367.80716773703227</v>
      </c>
      <c r="T15" s="110">
        <f t="shared" ca="1" si="9"/>
        <v>76.048999263460743</v>
      </c>
      <c r="U15" s="110">
        <f t="shared" ca="1" si="10"/>
        <v>10.875655410071829</v>
      </c>
      <c r="W15" s="110">
        <f t="shared" ca="1" si="3"/>
        <v>349.22823143300388</v>
      </c>
      <c r="X15" s="110">
        <f t="shared" ca="1" si="3"/>
        <v>369.9944227116344</v>
      </c>
      <c r="Y15" s="110">
        <f t="shared" ca="1" si="11"/>
        <v>100.00000000000007</v>
      </c>
      <c r="Z15" s="110">
        <f t="shared" ca="1" si="12"/>
        <v>34.826656146611157</v>
      </c>
    </row>
    <row r="16" spans="1:26" x14ac:dyDescent="0.2">
      <c r="B16" s="163" t="s">
        <v>6</v>
      </c>
      <c r="C16" s="163" t="s">
        <v>72</v>
      </c>
      <c r="D16" s="162">
        <v>371</v>
      </c>
      <c r="E16" s="162">
        <v>357</v>
      </c>
      <c r="F16" s="110">
        <f t="shared" si="4"/>
        <v>66.594135110044448</v>
      </c>
      <c r="G16" s="7"/>
      <c r="H16" s="110">
        <f t="shared" ca="1" si="13"/>
        <v>393.77008877325875</v>
      </c>
      <c r="I16" s="110">
        <f t="shared" ca="1" si="0"/>
        <v>416.24372555058881</v>
      </c>
      <c r="J16" s="110">
        <f t="shared" ca="1" si="5"/>
        <v>96.089998269225319</v>
      </c>
      <c r="K16" s="110">
        <f t="shared" ca="1" si="6"/>
        <v>29.495863159180871</v>
      </c>
      <c r="M16" s="110">
        <f t="shared" ca="1" si="1"/>
        <v>393.54796403996318</v>
      </c>
      <c r="N16" s="110">
        <f t="shared" ca="1" si="1"/>
        <v>411.2209148358358</v>
      </c>
      <c r="O16" s="110">
        <f t="shared" ca="1" si="7"/>
        <v>76.048999263460743</v>
      </c>
      <c r="P16" s="110">
        <f t="shared" ca="1" si="8"/>
        <v>9.4548641534162954</v>
      </c>
      <c r="R16" s="110">
        <f t="shared" ca="1" si="2"/>
        <v>393.54796403996318</v>
      </c>
      <c r="S16" s="110">
        <f t="shared" ca="1" si="2"/>
        <v>411.2209148358358</v>
      </c>
      <c r="T16" s="110">
        <f t="shared" ca="1" si="9"/>
        <v>76.048999263460743</v>
      </c>
      <c r="U16" s="110">
        <f t="shared" ca="1" si="10"/>
        <v>9.4548641534162954</v>
      </c>
      <c r="W16" s="110">
        <f t="shared" ca="1" si="3"/>
        <v>391.99543598174927</v>
      </c>
      <c r="X16" s="110">
        <f t="shared" ca="1" si="3"/>
        <v>415.30469757994507</v>
      </c>
      <c r="Y16" s="110">
        <f t="shared" ca="1" si="11"/>
        <v>99.99999999999973</v>
      </c>
      <c r="Z16" s="110">
        <f t="shared" ca="1" si="12"/>
        <v>33.405864889955282</v>
      </c>
    </row>
    <row r="17" spans="2:26" x14ac:dyDescent="0.2">
      <c r="B17" s="163" t="s">
        <v>73</v>
      </c>
      <c r="C17" s="163" t="s">
        <v>8</v>
      </c>
      <c r="D17" s="162">
        <v>325</v>
      </c>
      <c r="E17" s="162">
        <v>312</v>
      </c>
      <c r="F17" s="110">
        <f t="shared" si="4"/>
        <v>70.672426864282343</v>
      </c>
      <c r="G17" s="7"/>
      <c r="H17" s="110">
        <f t="shared" ca="1" si="13"/>
        <v>468.27419124441241</v>
      </c>
      <c r="I17" s="110">
        <f t="shared" ca="1" si="0"/>
        <v>495.00000000000011</v>
      </c>
      <c r="J17" s="110">
        <f t="shared" ca="1" si="5"/>
        <v>96.089998269224949</v>
      </c>
      <c r="K17" s="110">
        <f t="shared" ca="1" si="6"/>
        <v>25.417571404942606</v>
      </c>
      <c r="M17" s="110">
        <f t="shared" ca="1" si="1"/>
        <v>459.75895967129026</v>
      </c>
      <c r="N17" s="110">
        <f t="shared" ca="1" si="1"/>
        <v>491.93495504995394</v>
      </c>
      <c r="O17" s="110">
        <f t="shared" ca="1" si="7"/>
        <v>117.10785766895694</v>
      </c>
      <c r="P17" s="110">
        <f t="shared" ca="1" si="8"/>
        <v>46.435430804674596</v>
      </c>
      <c r="R17" s="110">
        <f t="shared" ca="1" si="2"/>
        <v>470.79317470340129</v>
      </c>
      <c r="S17" s="110">
        <f t="shared" ca="1" si="2"/>
        <v>491.93495504995394</v>
      </c>
      <c r="T17" s="110">
        <f t="shared" ca="1" si="9"/>
        <v>76.048999263461113</v>
      </c>
      <c r="U17" s="110">
        <f t="shared" ca="1" si="10"/>
        <v>5.3765723991787695</v>
      </c>
      <c r="W17" s="110">
        <f t="shared" ca="1" si="3"/>
        <v>466.16376151808987</v>
      </c>
      <c r="X17" s="110">
        <f t="shared" ca="1" si="3"/>
        <v>493.88330125612407</v>
      </c>
      <c r="Y17" s="110">
        <f t="shared" ca="1" si="11"/>
        <v>100.00000000000007</v>
      </c>
      <c r="Z17" s="110">
        <f t="shared" ca="1" si="12"/>
        <v>29.327573135717728</v>
      </c>
    </row>
    <row r="18" spans="2:26" x14ac:dyDescent="0.2">
      <c r="B18" s="163" t="s">
        <v>2</v>
      </c>
      <c r="C18" s="163" t="s">
        <v>74</v>
      </c>
      <c r="D18" s="162">
        <v>294</v>
      </c>
      <c r="E18" s="162">
        <v>278</v>
      </c>
      <c r="F18" s="110">
        <f t="shared" si="4"/>
        <v>96.877526535428515</v>
      </c>
      <c r="G18" s="7"/>
      <c r="H18" s="110">
        <f t="shared" ca="1" si="13"/>
        <v>263.40423257498196</v>
      </c>
      <c r="I18" s="110">
        <f t="shared" ca="1" si="0"/>
        <v>277.49581703372587</v>
      </c>
      <c r="J18" s="110">
        <f t="shared" ca="1" si="5"/>
        <v>90.224995673063063</v>
      </c>
      <c r="K18" s="110">
        <f t="shared" ca="1" si="6"/>
        <v>-6.6525308623654524</v>
      </c>
      <c r="M18" s="110">
        <f t="shared" ca="1" si="1"/>
        <v>263.18138549493494</v>
      </c>
      <c r="N18" s="110">
        <f t="shared" ca="1" si="1"/>
        <v>275.00000000000011</v>
      </c>
      <c r="O18" s="110">
        <f t="shared" ca="1" si="7"/>
        <v>76.048999263460743</v>
      </c>
      <c r="P18" s="110">
        <f t="shared" ca="1" si="8"/>
        <v>-20.828527271967772</v>
      </c>
      <c r="R18" s="110">
        <f t="shared" ca="1" si="2"/>
        <v>263.18138549493494</v>
      </c>
      <c r="S18" s="110">
        <f t="shared" ca="1" si="2"/>
        <v>275.00000000000011</v>
      </c>
      <c r="T18" s="110">
        <f t="shared" ca="1" si="9"/>
        <v>76.048999263460743</v>
      </c>
      <c r="U18" s="110">
        <f t="shared" ca="1" si="10"/>
        <v>-20.828527271967772</v>
      </c>
      <c r="W18" s="110">
        <f t="shared" ca="1" si="3"/>
        <v>261.62556530059862</v>
      </c>
      <c r="X18" s="110">
        <f t="shared" ca="1" si="3"/>
        <v>277.18263097687208</v>
      </c>
      <c r="Y18" s="110">
        <f t="shared" ca="1" si="11"/>
        <v>100.00000000000007</v>
      </c>
      <c r="Z18" s="110">
        <f t="shared" ca="1" si="12"/>
        <v>3.1224734645715557</v>
      </c>
    </row>
    <row r="19" spans="2:26" x14ac:dyDescent="0.2">
      <c r="B19" s="163" t="s">
        <v>3</v>
      </c>
      <c r="C19" s="163" t="s">
        <v>76</v>
      </c>
      <c r="D19" s="162">
        <v>265</v>
      </c>
      <c r="E19" s="162">
        <v>257</v>
      </c>
      <c r="F19" s="110">
        <f t="shared" si="4"/>
        <v>53.068800308019924</v>
      </c>
      <c r="G19" s="7"/>
      <c r="H19" s="110">
        <f t="shared" ca="1" si="13"/>
        <v>294.32876096317352</v>
      </c>
      <c r="I19" s="110">
        <f t="shared" ca="1" si="0"/>
        <v>312.1827941629416</v>
      </c>
      <c r="J19" s="110">
        <f t="shared" ca="1" si="5"/>
        <v>101.95500086538762</v>
      </c>
      <c r="K19" s="110">
        <f t="shared" ca="1" si="6"/>
        <v>48.886200557367694</v>
      </c>
      <c r="M19" s="110">
        <f t="shared" ca="1" si="1"/>
        <v>294.24573418962586</v>
      </c>
      <c r="N19" s="110">
        <f t="shared" ca="1" si="1"/>
        <v>307.45934690622119</v>
      </c>
      <c r="O19" s="110">
        <f t="shared" ca="1" si="7"/>
        <v>76.048999263460388</v>
      </c>
      <c r="P19" s="110">
        <f t="shared" ca="1" si="8"/>
        <v>22.980198955440464</v>
      </c>
      <c r="R19" s="110">
        <f t="shared" ca="1" si="2"/>
        <v>294.24573418962586</v>
      </c>
      <c r="S19" s="110">
        <f t="shared" ca="1" si="2"/>
        <v>307.45934690622119</v>
      </c>
      <c r="T19" s="110">
        <f t="shared" ca="1" si="9"/>
        <v>76.048999263460388</v>
      </c>
      <c r="U19" s="110">
        <f t="shared" ca="1" si="10"/>
        <v>22.980198955440464</v>
      </c>
      <c r="W19" s="110">
        <f t="shared" ca="1" si="3"/>
        <v>293.66476791740757</v>
      </c>
      <c r="X19" s="110">
        <f t="shared" ca="1" si="3"/>
        <v>311.12698372208087</v>
      </c>
      <c r="Y19" s="110">
        <f t="shared" ca="1" si="11"/>
        <v>99.99999999999973</v>
      </c>
      <c r="Z19" s="110">
        <f t="shared" ca="1" si="12"/>
        <v>46.931199691979806</v>
      </c>
    </row>
    <row r="20" spans="2:26" x14ac:dyDescent="0.2">
      <c r="B20" s="163" t="s">
        <v>4</v>
      </c>
      <c r="C20" s="163" t="s">
        <v>5</v>
      </c>
      <c r="D20" s="162">
        <v>242</v>
      </c>
      <c r="E20" s="162">
        <v>228</v>
      </c>
      <c r="F20" s="110">
        <f t="shared" si="4"/>
        <v>103.16786773182335</v>
      </c>
      <c r="G20" s="7"/>
      <c r="H20" s="110">
        <f t="shared" ca="1" si="13"/>
        <v>330.00000000000006</v>
      </c>
      <c r="I20" s="110">
        <f t="shared" ca="1" si="0"/>
        <v>351.20564343330932</v>
      </c>
      <c r="J20" s="110">
        <f t="shared" ca="1" si="5"/>
        <v>107.82000346154977</v>
      </c>
      <c r="K20" s="110">
        <f t="shared" ca="1" si="6"/>
        <v>4.6521357297264245</v>
      </c>
      <c r="M20" s="110">
        <f t="shared" ca="1" si="1"/>
        <v>328.97673186866865</v>
      </c>
      <c r="N20" s="110">
        <f t="shared" ca="1" si="1"/>
        <v>343.75000000000006</v>
      </c>
      <c r="O20" s="110">
        <f t="shared" ca="1" si="7"/>
        <v>76.048999263460388</v>
      </c>
      <c r="P20" s="110">
        <f t="shared" ca="1" si="8"/>
        <v>-27.118868468362962</v>
      </c>
      <c r="R20" s="110">
        <f t="shared" ca="1" si="2"/>
        <v>328.97673186866865</v>
      </c>
      <c r="S20" s="110">
        <f t="shared" ca="1" si="2"/>
        <v>352.00000000000017</v>
      </c>
      <c r="T20" s="110">
        <f t="shared" ca="1" si="9"/>
        <v>117.1078576689566</v>
      </c>
      <c r="U20" s="110">
        <f t="shared" ca="1" si="10"/>
        <v>13.939989937133248</v>
      </c>
      <c r="W20" s="110">
        <f t="shared" ca="1" si="3"/>
        <v>329.62755691286992</v>
      </c>
      <c r="X20" s="110">
        <f t="shared" ca="1" si="3"/>
        <v>349.22823143300388</v>
      </c>
      <c r="Y20" s="110">
        <f t="shared" ca="1" si="11"/>
        <v>100.00000000000007</v>
      </c>
      <c r="Z20" s="110">
        <f t="shared" ca="1" si="12"/>
        <v>-3.1678677318232786</v>
      </c>
    </row>
    <row r="21" spans="2:26" x14ac:dyDescent="0.2">
      <c r="B21" s="163" t="s">
        <v>70</v>
      </c>
      <c r="C21" s="163" t="s">
        <v>6</v>
      </c>
      <c r="D21" s="162">
        <v>215</v>
      </c>
      <c r="E21" s="162">
        <v>201</v>
      </c>
      <c r="F21" s="110">
        <f t="shared" si="4"/>
        <v>116.56939009263786</v>
      </c>
      <c r="G21" s="7"/>
      <c r="H21" s="110">
        <f t="shared" ca="1" si="13"/>
        <v>369.99442271163451</v>
      </c>
      <c r="I21" s="110">
        <f t="shared" ca="1" si="0"/>
        <v>393.77008877325875</v>
      </c>
      <c r="J21" s="110">
        <f t="shared" ca="1" si="5"/>
        <v>107.82000346154942</v>
      </c>
      <c r="K21" s="110">
        <f t="shared" ca="1" si="6"/>
        <v>-8.7493866310884414</v>
      </c>
      <c r="M21" s="110">
        <f t="shared" ca="1" si="1"/>
        <v>367.80716773703227</v>
      </c>
      <c r="N21" s="110">
        <f t="shared" ca="1" si="1"/>
        <v>393.54796403996318</v>
      </c>
      <c r="O21" s="110">
        <f t="shared" ca="1" si="7"/>
        <v>117.1078576689566</v>
      </c>
      <c r="P21" s="110">
        <f t="shared" ca="1" si="8"/>
        <v>0.53846757631873743</v>
      </c>
      <c r="R21" s="110">
        <f t="shared" ca="1" si="2"/>
        <v>367.80716773703227</v>
      </c>
      <c r="S21" s="110">
        <f t="shared" ca="1" si="2"/>
        <v>393.54796403996318</v>
      </c>
      <c r="T21" s="110">
        <f t="shared" ca="1" si="9"/>
        <v>117.1078576689566</v>
      </c>
      <c r="U21" s="110">
        <f t="shared" ca="1" si="10"/>
        <v>0.53846757631873743</v>
      </c>
      <c r="W21" s="110">
        <f t="shared" ca="1" si="3"/>
        <v>369.9944227116344</v>
      </c>
      <c r="X21" s="110">
        <f t="shared" ca="1" si="3"/>
        <v>391.99543598174927</v>
      </c>
      <c r="Y21" s="110">
        <f t="shared" ca="1" si="11"/>
        <v>99.99999999999973</v>
      </c>
      <c r="Z21" s="110">
        <f t="shared" ca="1" si="12"/>
        <v>-16.56939009263813</v>
      </c>
    </row>
    <row r="22" spans="2:26" x14ac:dyDescent="0.2">
      <c r="B22" s="163" t="s">
        <v>72</v>
      </c>
      <c r="C22" s="163" t="s">
        <v>7</v>
      </c>
      <c r="D22" s="162">
        <v>192</v>
      </c>
      <c r="E22" s="162">
        <v>183</v>
      </c>
      <c r="F22" s="110">
        <f t="shared" si="4"/>
        <v>83.115194924536567</v>
      </c>
      <c r="G22" s="7"/>
      <c r="H22" s="110">
        <f t="shared" ca="1" si="13"/>
        <v>416.24372555058881</v>
      </c>
      <c r="I22" s="110">
        <f ca="1">VLOOKUP(C22,INDIRECT("'"&amp;$H$3&amp;"'!Master_Frequencies"),2,FALSE)</f>
        <v>440.00000000000006</v>
      </c>
      <c r="J22" s="110">
        <f t="shared" ca="1" si="5"/>
        <v>96.089998269224949</v>
      </c>
      <c r="K22" s="110">
        <f t="shared" ca="1" si="6"/>
        <v>12.974803344688382</v>
      </c>
      <c r="M22" s="110">
        <f t="shared" ca="1" si="1"/>
        <v>411.2209148358358</v>
      </c>
      <c r="N22" s="110">
        <f t="shared" ca="1" si="1"/>
        <v>440.00000000000023</v>
      </c>
      <c r="O22" s="110">
        <f t="shared" ca="1" si="7"/>
        <v>117.1078576689566</v>
      </c>
      <c r="P22" s="110">
        <f t="shared" ca="1" si="8"/>
        <v>33.992662744420031</v>
      </c>
      <c r="R22" s="110">
        <f t="shared" ca="1" si="2"/>
        <v>411.2209148358358</v>
      </c>
      <c r="S22" s="110">
        <f t="shared" ca="1" si="2"/>
        <v>440.00000000000023</v>
      </c>
      <c r="T22" s="110">
        <f t="shared" ca="1" si="9"/>
        <v>117.1078576689566</v>
      </c>
      <c r="U22" s="110">
        <f t="shared" ca="1" si="10"/>
        <v>33.992662744420031</v>
      </c>
      <c r="W22" s="110">
        <f t="shared" ca="1" si="3"/>
        <v>415.30469757994507</v>
      </c>
      <c r="X22" s="110">
        <f t="shared" ca="1" si="3"/>
        <v>439.99999999999994</v>
      </c>
      <c r="Y22" s="110">
        <f t="shared" ca="1" si="11"/>
        <v>100.00000000000007</v>
      </c>
      <c r="Z22" s="110">
        <f t="shared" ca="1" si="12"/>
        <v>16.884805075463504</v>
      </c>
    </row>
    <row r="23" spans="2:26" x14ac:dyDescent="0.2">
      <c r="B23" s="163" t="s">
        <v>73</v>
      </c>
      <c r="C23" s="163" t="s">
        <v>8</v>
      </c>
      <c r="D23" s="162">
        <v>172</v>
      </c>
      <c r="E23" s="162">
        <v>161</v>
      </c>
      <c r="F23" s="110">
        <f t="shared" si="4"/>
        <v>114.41745190497718</v>
      </c>
      <c r="H23" s="110">
        <f t="shared" ca="1" si="13"/>
        <v>468.27419124441241</v>
      </c>
      <c r="I23" s="110">
        <f t="shared" ca="1" si="13"/>
        <v>495.00000000000011</v>
      </c>
      <c r="J23" s="110">
        <f t="shared" ca="1" si="5"/>
        <v>96.089998269224949</v>
      </c>
      <c r="K23" s="110">
        <f t="shared" ca="1" si="6"/>
        <v>-18.327453635752235</v>
      </c>
      <c r="M23" s="110">
        <f t="shared" ref="M23:N23" ca="1" si="14">VLOOKUP(B23,INDIRECT("'"&amp;$M$3&amp;"'!Master_Frequencies"),2,FALSE)</f>
        <v>459.75895967129026</v>
      </c>
      <c r="N23" s="110">
        <f t="shared" ca="1" si="14"/>
        <v>491.93495504995394</v>
      </c>
      <c r="O23" s="110">
        <f t="shared" ca="1" si="7"/>
        <v>117.10785766895694</v>
      </c>
      <c r="P23" s="110">
        <f t="shared" ca="1" si="8"/>
        <v>2.6904057639797543</v>
      </c>
      <c r="R23" s="110">
        <f t="shared" ref="R23:S23" ca="1" si="15">VLOOKUP(B23,INDIRECT("'"&amp;$R$3&amp;"'!Master_Frequencies"),2,FALSE)</f>
        <v>470.79317470340129</v>
      </c>
      <c r="S23" s="110">
        <f t="shared" ca="1" si="15"/>
        <v>491.93495504995394</v>
      </c>
      <c r="T23" s="110">
        <f t="shared" ca="1" si="9"/>
        <v>76.048999263461113</v>
      </c>
      <c r="U23" s="110">
        <f t="shared" ca="1" si="10"/>
        <v>-38.368452641516072</v>
      </c>
      <c r="W23" s="110">
        <f t="shared" ref="W23:X23" ca="1" si="16">VLOOKUP(B23,INDIRECT("'"&amp;$W$3&amp;"'!Master_Frequencies"),2,FALSE)</f>
        <v>466.16376151808987</v>
      </c>
      <c r="X23" s="110">
        <f t="shared" ca="1" si="16"/>
        <v>493.88330125612407</v>
      </c>
      <c r="Y23" s="110">
        <f t="shared" ca="1" si="11"/>
        <v>100.00000000000007</v>
      </c>
      <c r="Z23" s="110">
        <f t="shared" ca="1" si="12"/>
        <v>-14.417451904977113</v>
      </c>
    </row>
    <row r="24" spans="2:26" x14ac:dyDescent="0.2">
      <c r="B24" s="119"/>
      <c r="C24" s="119"/>
      <c r="H24" s="288" t="str">
        <f ca="1">_xlfn.CONCAT($F$5," vs. ",H4)</f>
        <v>Anon., Leipzig 10, ~1700 Fret Size cents vs. Werckmeister III</v>
      </c>
      <c r="I24" s="288"/>
      <c r="J24" s="288"/>
      <c r="K24" s="288"/>
      <c r="M24" s="278" t="str">
        <f ca="1">_xlfn.CONCAT($F$5," vs. ",M4)</f>
        <v>Anon., Leipzig 10, ~1700 Fret Size cents vs. Meantone Quarter Comma</v>
      </c>
      <c r="N24" s="278"/>
      <c r="O24" s="278"/>
      <c r="P24" s="278"/>
      <c r="Q24" s="117"/>
      <c r="R24" s="288" t="str">
        <f ca="1">_xlfn.CONCAT($F$5," vs. ",R4)</f>
        <v>Anon., Leipzig 10, ~1700 Fret Size cents vs. Meantone Octave with Matching Octaves</v>
      </c>
      <c r="S24" s="288"/>
      <c r="T24" s="288"/>
      <c r="U24" s="288"/>
      <c r="W24" s="288" t="str">
        <f ca="1">_xlfn.CONCAT($F$5," vs. ",W4)</f>
        <v>Anon., Leipzig 10, ~1700 Fret Size cents vs. Equal Temperament</v>
      </c>
      <c r="X24" s="288"/>
      <c r="Y24" s="288"/>
      <c r="Z24" s="288"/>
    </row>
    <row r="25" spans="2:26" x14ac:dyDescent="0.2">
      <c r="B25" s="80" t="s">
        <v>63</v>
      </c>
      <c r="J25" s="119" t="s">
        <v>94</v>
      </c>
      <c r="K25" s="110">
        <f ca="1">SQRT(SUMSQ(K6:K23)/COUNT(K6:K23))</f>
        <v>28.265854431163739</v>
      </c>
      <c r="O25" s="119" t="s">
        <v>94</v>
      </c>
      <c r="P25" s="110">
        <f ca="1">SQRT(SUMSQ(P6:P23)/COUNT(P6:P23))</f>
        <v>36.8702126499036</v>
      </c>
      <c r="T25" s="119" t="s">
        <v>94</v>
      </c>
      <c r="U25" s="110">
        <f ca="1">SQRT(SUMSQ(U6:U23)/COUNT(U6:U23))</f>
        <v>25.391445857744362</v>
      </c>
      <c r="Y25" s="119" t="s">
        <v>94</v>
      </c>
      <c r="Z25" s="110">
        <f ca="1">SQRT(SUMSQ(Z6:Z23)/COUNT(Z6:Z23))</f>
        <v>32.566800518202449</v>
      </c>
    </row>
    <row r="26" spans="2:26" x14ac:dyDescent="0.2">
      <c r="B26" s="286"/>
      <c r="C26" s="286"/>
      <c r="D26" s="286"/>
      <c r="E26" s="286"/>
      <c r="X26" s="7"/>
    </row>
    <row r="28" spans="2:26" ht="19" x14ac:dyDescent="0.2">
      <c r="D28" s="7"/>
      <c r="N28" s="120"/>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D37" s="7"/>
      <c r="P37" s="7"/>
      <c r="R37" s="7"/>
    </row>
    <row r="38" spans="4:18" x14ac:dyDescent="0.2">
      <c r="D38" s="7"/>
      <c r="P38" s="7"/>
      <c r="R38" s="7"/>
    </row>
    <row r="39" spans="4:18" x14ac:dyDescent="0.2">
      <c r="D39" s="7"/>
      <c r="P39" s="7"/>
      <c r="R39" s="7"/>
    </row>
    <row r="40" spans="4:18" x14ac:dyDescent="0.2">
      <c r="P40" s="7"/>
      <c r="R40" s="7"/>
    </row>
  </sheetData>
  <sheetProtection sheet="1" objects="1" scenarios="1" formatCells="0"/>
  <mergeCells count="15">
    <mergeCell ref="W3:Z3"/>
    <mergeCell ref="B1:H1"/>
    <mergeCell ref="B3:E3"/>
    <mergeCell ref="H3:K3"/>
    <mergeCell ref="M3:P3"/>
    <mergeCell ref="R3:U3"/>
    <mergeCell ref="B26:E26"/>
    <mergeCell ref="H4:K4"/>
    <mergeCell ref="M4:P4"/>
    <mergeCell ref="R4:U4"/>
    <mergeCell ref="W4:Z4"/>
    <mergeCell ref="H24:K24"/>
    <mergeCell ref="M24:P24"/>
    <mergeCell ref="R24:U24"/>
    <mergeCell ref="W24:Z24"/>
  </mergeCells>
  <conditionalFormatting sqref="A1:XFD1048576">
    <cfRule type="expression" dxfId="118" priority="1">
      <formula>CELL("protect",A1)=0</formula>
    </cfRule>
  </conditionalFormatting>
  <conditionalFormatting sqref="A5:XFD23 B27:F35 G27:G39 I27:L39 C36:F36 B37:F39 B40:L1048576">
    <cfRule type="expression" dxfId="117" priority="2">
      <formula>_xlfn.ISFORMULA(A5)</formula>
    </cfRule>
  </conditionalFormatting>
  <conditionalFormatting sqref="B3:B4 F3:H4 L3:M4 Q3:R4 V3:W4 AA3:XFD4 L24:M24 R24 B24:H25 V24:W25 AA24:XFD25 J25:M25 O25:R25 T25:U25 Y25:Z25 B26 F26:L26 M26:Q27 R26:XFD1048576 M28 O28:Q28 M29:Q1048576">
    <cfRule type="expression" dxfId="116" priority="3">
      <formula>_xlfn.ISFORMULA(B3)</formula>
    </cfRule>
  </conditionalFormatting>
  <hyperlinks>
    <hyperlink ref="B25" location="Overview!A1" display="Back to Overview" xr:uid="{1D101164-48EF-3845-A916-634BD216F952}"/>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2624-3855-CE4D-99E9-03E115D9D5FB}">
  <sheetPr>
    <tabColor theme="9" tint="0.59999389629810485"/>
  </sheetPr>
  <dimension ref="A1:Z47"/>
  <sheetViews>
    <sheetView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592</v>
      </c>
      <c r="C1" s="289"/>
      <c r="D1" s="289"/>
      <c r="E1" s="289"/>
      <c r="F1" s="289"/>
      <c r="G1" s="289"/>
      <c r="H1" s="28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Equal Temperament</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Gellinger, Namur, 1670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73</v>
      </c>
      <c r="C6" s="163" t="s">
        <v>8</v>
      </c>
      <c r="D6" s="162">
        <v>731.5</v>
      </c>
      <c r="E6" s="162">
        <v>701.5</v>
      </c>
      <c r="F6" s="110">
        <f>1200*LOG(D6/E6,2)</f>
        <v>72.497712622305187</v>
      </c>
      <c r="H6" s="110">
        <f t="shared" ref="H6:I21" ca="1" si="0">VLOOKUP(B6,INDIRECT("'"&amp;$H$3&amp;"'!Master_Frequencies"),2,FALSE)</f>
        <v>468.27419124441241</v>
      </c>
      <c r="I6" s="110">
        <f ca="1">VLOOKUP(C6,INDIRECT("'"&amp;$H$3&amp;"'!Master_Frequencies"),2,FALSE)</f>
        <v>495.00000000000011</v>
      </c>
      <c r="J6" s="110">
        <f ca="1">LOG(I6/H6,2)*1200</f>
        <v>96.089998269224949</v>
      </c>
      <c r="K6" s="110">
        <f ca="1">J6-F6</f>
        <v>23.592285646919763</v>
      </c>
      <c r="M6" s="110">
        <f t="shared" ref="M6:N22" ca="1" si="1">VLOOKUP(B6,INDIRECT("'"&amp;$M$3&amp;"'!Master_Frequencies"),2,FALSE)</f>
        <v>459.75895967129026</v>
      </c>
      <c r="N6" s="110">
        <f t="shared" ca="1" si="1"/>
        <v>491.93495504995394</v>
      </c>
      <c r="O6" s="110">
        <f ca="1">LOG(N6/M6,2)*1200</f>
        <v>117.10785766895694</v>
      </c>
      <c r="P6" s="110">
        <f ca="1">O6-F6</f>
        <v>44.610145046651752</v>
      </c>
      <c r="R6" s="110">
        <f t="shared" ref="R6:S22" ca="1" si="2">VLOOKUP(B6,INDIRECT("'"&amp;$R$3&amp;"'!Master_Frequencies"),2,FALSE)</f>
        <v>470.79317470340129</v>
      </c>
      <c r="S6" s="110">
        <f t="shared" ca="1" si="2"/>
        <v>491.93495504995394</v>
      </c>
      <c r="T6" s="110">
        <f ca="1">LOG(S6/R6,2)*1200</f>
        <v>76.048999263461113</v>
      </c>
      <c r="U6" s="110">
        <f ca="1">T6-F6</f>
        <v>3.5512866411559258</v>
      </c>
      <c r="W6" s="110">
        <f t="shared" ref="W6:X22" ca="1" si="3">VLOOKUP(B6,INDIRECT("'"&amp;$W$3&amp;"'!Master_Frequencies"),2,FALSE)</f>
        <v>466.16376151808987</v>
      </c>
      <c r="X6" s="110">
        <f t="shared" ca="1" si="3"/>
        <v>493.88330125612407</v>
      </c>
      <c r="Y6" s="110">
        <f ca="1">LOG(X6/W6,2)*1200</f>
        <v>100.00000000000007</v>
      </c>
      <c r="Z6" s="110">
        <f ca="1">Y6-F6</f>
        <v>27.502287377694884</v>
      </c>
    </row>
    <row r="7" spans="1:26" x14ac:dyDescent="0.2">
      <c r="B7" s="163" t="s">
        <v>2</v>
      </c>
      <c r="C7" s="163" t="s">
        <v>74</v>
      </c>
      <c r="D7" s="162">
        <v>690.5</v>
      </c>
      <c r="E7" s="162">
        <v>659</v>
      </c>
      <c r="F7" s="110">
        <f t="shared" ref="F7:F30" si="4">1200*LOG(D7/E7,2)</f>
        <v>80.835539099999068</v>
      </c>
      <c r="H7" s="110">
        <f t="shared" ca="1" si="0"/>
        <v>263.40423257498196</v>
      </c>
      <c r="I7" s="110">
        <f t="shared" ca="1" si="0"/>
        <v>277.49581703372587</v>
      </c>
      <c r="J7" s="110">
        <f t="shared" ref="J7:J30" ca="1" si="5">LOG(I7/H7,2)*1200</f>
        <v>90.224995673063063</v>
      </c>
      <c r="K7" s="110">
        <f t="shared" ref="K7:K30" ca="1" si="6">J7-F7</f>
        <v>9.3894565730639954</v>
      </c>
      <c r="M7" s="110">
        <f t="shared" ca="1" si="1"/>
        <v>263.18138549493494</v>
      </c>
      <c r="N7" s="110">
        <f t="shared" ca="1" si="1"/>
        <v>275.00000000000011</v>
      </c>
      <c r="O7" s="110">
        <f t="shared" ref="O7:O30" ca="1" si="7">LOG(N7/M7,2)*1200</f>
        <v>76.048999263460743</v>
      </c>
      <c r="P7" s="110">
        <f t="shared" ref="P7:P30" ca="1" si="8">O7-F7</f>
        <v>-4.7865398365383243</v>
      </c>
      <c r="R7" s="110">
        <f t="shared" ca="1" si="2"/>
        <v>263.18138549493494</v>
      </c>
      <c r="S7" s="110">
        <f t="shared" ca="1" si="2"/>
        <v>275.00000000000011</v>
      </c>
      <c r="T7" s="110">
        <f t="shared" ref="T7:T30" ca="1" si="9">LOG(S7/R7,2)*1200</f>
        <v>76.048999263460743</v>
      </c>
      <c r="U7" s="110">
        <f t="shared" ref="U7:U30" ca="1" si="10">T7-F7</f>
        <v>-4.7865398365383243</v>
      </c>
      <c r="W7" s="110">
        <f t="shared" ca="1" si="3"/>
        <v>261.62556530059862</v>
      </c>
      <c r="X7" s="110">
        <f t="shared" ca="1" si="3"/>
        <v>277.18263097687208</v>
      </c>
      <c r="Y7" s="110">
        <f t="shared" ref="Y7:Y30" ca="1" si="11">LOG(X7/W7,2)*1200</f>
        <v>100.00000000000007</v>
      </c>
      <c r="Z7" s="110">
        <f t="shared" ref="Z7:Z30" ca="1" si="12">Y7-F7</f>
        <v>19.164460900001004</v>
      </c>
    </row>
    <row r="8" spans="1:26" x14ac:dyDescent="0.2">
      <c r="B8" s="163" t="s">
        <v>3</v>
      </c>
      <c r="C8" s="163" t="s">
        <v>76</v>
      </c>
      <c r="D8" s="162">
        <v>652.5</v>
      </c>
      <c r="E8" s="162">
        <v>611</v>
      </c>
      <c r="F8" s="110">
        <f t="shared" si="4"/>
        <v>113.7666259662207</v>
      </c>
      <c r="H8" s="110">
        <f t="shared" ca="1" si="0"/>
        <v>294.32876096317352</v>
      </c>
      <c r="I8" s="110">
        <f t="shared" ca="1" si="0"/>
        <v>312.1827941629416</v>
      </c>
      <c r="J8" s="110">
        <f t="shared" ca="1" si="5"/>
        <v>101.95500086538762</v>
      </c>
      <c r="K8" s="110">
        <f t="shared" ca="1" si="6"/>
        <v>-11.811625100833083</v>
      </c>
      <c r="M8" s="110">
        <f t="shared" ca="1" si="1"/>
        <v>294.24573418962586</v>
      </c>
      <c r="N8" s="110">
        <f t="shared" ca="1" si="1"/>
        <v>307.45934690622119</v>
      </c>
      <c r="O8" s="110">
        <f t="shared" ca="1" si="7"/>
        <v>76.048999263460388</v>
      </c>
      <c r="P8" s="110">
        <f t="shared" ca="1" si="8"/>
        <v>-37.717626702760313</v>
      </c>
      <c r="R8" s="110">
        <f t="shared" ca="1" si="2"/>
        <v>294.24573418962586</v>
      </c>
      <c r="S8" s="110">
        <f t="shared" ca="1" si="2"/>
        <v>307.45934690622119</v>
      </c>
      <c r="T8" s="110">
        <f t="shared" ca="1" si="9"/>
        <v>76.048999263460388</v>
      </c>
      <c r="U8" s="110">
        <f t="shared" ca="1" si="10"/>
        <v>-37.717626702760313</v>
      </c>
      <c r="W8" s="110">
        <f t="shared" ca="1" si="3"/>
        <v>293.66476791740757</v>
      </c>
      <c r="X8" s="110">
        <f t="shared" ca="1" si="3"/>
        <v>311.12698372208087</v>
      </c>
      <c r="Y8" s="110">
        <f t="shared" ca="1" si="11"/>
        <v>99.99999999999973</v>
      </c>
      <c r="Z8" s="110">
        <f t="shared" ca="1" si="12"/>
        <v>-13.766625966220971</v>
      </c>
    </row>
    <row r="9" spans="1:26" x14ac:dyDescent="0.2">
      <c r="B9" s="163" t="s">
        <v>76</v>
      </c>
      <c r="C9" s="163" t="s">
        <v>4</v>
      </c>
      <c r="D9" s="162">
        <v>611</v>
      </c>
      <c r="E9" s="162">
        <v>587</v>
      </c>
      <c r="F9" s="110">
        <f t="shared" si="4"/>
        <v>69.374252050412878</v>
      </c>
      <c r="H9" s="110">
        <f t="shared" ca="1" si="0"/>
        <v>312.1827941629416</v>
      </c>
      <c r="I9" s="110">
        <f t="shared" ca="1" si="0"/>
        <v>330.00000000000006</v>
      </c>
      <c r="J9" s="110">
        <f t="shared" ca="1" si="5"/>
        <v>96.089998269224949</v>
      </c>
      <c r="K9" s="110">
        <f t="shared" ca="1" si="6"/>
        <v>26.715746218812072</v>
      </c>
      <c r="M9" s="110">
        <f t="shared" ca="1" si="1"/>
        <v>307.45934690622119</v>
      </c>
      <c r="N9" s="110">
        <f t="shared" ca="1" si="1"/>
        <v>328.97673186866865</v>
      </c>
      <c r="O9" s="110">
        <f t="shared" ca="1" si="7"/>
        <v>117.1078576689566</v>
      </c>
      <c r="P9" s="110">
        <f t="shared" ca="1" si="8"/>
        <v>47.73360561854372</v>
      </c>
      <c r="R9" s="110">
        <f t="shared" ca="1" si="2"/>
        <v>307.45934690622119</v>
      </c>
      <c r="S9" s="110">
        <f t="shared" ca="1" si="2"/>
        <v>328.97673186866865</v>
      </c>
      <c r="T9" s="110">
        <f t="shared" ca="1" si="9"/>
        <v>117.1078576689566</v>
      </c>
      <c r="U9" s="110">
        <f t="shared" ca="1" si="10"/>
        <v>47.73360561854372</v>
      </c>
      <c r="W9" s="110">
        <f t="shared" ca="1" si="3"/>
        <v>311.12698372208087</v>
      </c>
      <c r="X9" s="110">
        <f t="shared" ca="1" si="3"/>
        <v>329.62755691286992</v>
      </c>
      <c r="Y9" s="110">
        <f t="shared" ca="1" si="11"/>
        <v>100.00000000000007</v>
      </c>
      <c r="Z9" s="110">
        <f t="shared" ca="1" si="12"/>
        <v>30.625747949587193</v>
      </c>
    </row>
    <row r="10" spans="1:26" x14ac:dyDescent="0.2">
      <c r="B10" s="163" t="s">
        <v>5</v>
      </c>
      <c r="C10" s="163" t="s">
        <v>70</v>
      </c>
      <c r="D10" s="162">
        <v>577</v>
      </c>
      <c r="E10" s="162">
        <v>548</v>
      </c>
      <c r="F10" s="110">
        <f t="shared" si="4"/>
        <v>89.274510821946762</v>
      </c>
      <c r="G10" s="7"/>
      <c r="H10" s="110">
        <f t="shared" ca="1" si="0"/>
        <v>351.20564343330932</v>
      </c>
      <c r="I10" s="110">
        <f t="shared" ca="1" si="0"/>
        <v>369.99442271163451</v>
      </c>
      <c r="J10" s="110">
        <f t="shared" ca="1" si="5"/>
        <v>90.224995673063063</v>
      </c>
      <c r="K10" s="110">
        <f t="shared" ca="1" si="6"/>
        <v>0.95048485111630043</v>
      </c>
      <c r="M10" s="110">
        <f t="shared" ca="1" si="1"/>
        <v>343.75000000000006</v>
      </c>
      <c r="N10" s="110">
        <f t="shared" ca="1" si="1"/>
        <v>367.80716773703227</v>
      </c>
      <c r="O10" s="110">
        <f t="shared" ca="1" si="7"/>
        <v>117.10785766895694</v>
      </c>
      <c r="P10" s="110">
        <f t="shared" ca="1" si="8"/>
        <v>27.833346847010176</v>
      </c>
      <c r="R10" s="110">
        <f t="shared" ca="1" si="2"/>
        <v>352.00000000000017</v>
      </c>
      <c r="S10" s="110">
        <f t="shared" ca="1" si="2"/>
        <v>367.80716773703227</v>
      </c>
      <c r="T10" s="110">
        <f t="shared" ca="1" si="9"/>
        <v>76.048999263460743</v>
      </c>
      <c r="U10" s="110">
        <f t="shared" ca="1" si="10"/>
        <v>-13.225511558486019</v>
      </c>
      <c r="W10" s="110">
        <f t="shared" ca="1" si="3"/>
        <v>349.22823143300388</v>
      </c>
      <c r="X10" s="110">
        <f t="shared" ca="1" si="3"/>
        <v>369.9944227116344</v>
      </c>
      <c r="Y10" s="110">
        <f t="shared" ca="1" si="11"/>
        <v>100.00000000000007</v>
      </c>
      <c r="Z10" s="110">
        <f t="shared" ca="1" si="12"/>
        <v>10.725489178053309</v>
      </c>
    </row>
    <row r="11" spans="1:26" x14ac:dyDescent="0.2">
      <c r="B11" s="163" t="s">
        <v>70</v>
      </c>
      <c r="C11" s="163" t="s">
        <v>6</v>
      </c>
      <c r="D11" s="162">
        <v>548</v>
      </c>
      <c r="E11" s="162">
        <v>513</v>
      </c>
      <c r="F11" s="110">
        <f t="shared" si="4"/>
        <v>114.26048082416712</v>
      </c>
      <c r="G11" s="7"/>
      <c r="H11" s="110">
        <f t="shared" ca="1" si="0"/>
        <v>369.99442271163451</v>
      </c>
      <c r="I11" s="110">
        <f t="shared" ca="1" si="0"/>
        <v>393.77008877325875</v>
      </c>
      <c r="J11" s="110">
        <f t="shared" ca="1" si="5"/>
        <v>107.82000346154942</v>
      </c>
      <c r="K11" s="110">
        <f t="shared" ca="1" si="6"/>
        <v>-6.440477362617699</v>
      </c>
      <c r="M11" s="110">
        <f t="shared" ca="1" si="1"/>
        <v>367.80716773703227</v>
      </c>
      <c r="N11" s="110">
        <f t="shared" ca="1" si="1"/>
        <v>393.54796403996318</v>
      </c>
      <c r="O11" s="110">
        <f t="shared" ca="1" si="7"/>
        <v>117.1078576689566</v>
      </c>
      <c r="P11" s="110">
        <f t="shared" ca="1" si="8"/>
        <v>2.8473768447894798</v>
      </c>
      <c r="R11" s="110">
        <f t="shared" ca="1" si="2"/>
        <v>367.80716773703227</v>
      </c>
      <c r="S11" s="110">
        <f t="shared" ca="1" si="2"/>
        <v>393.54796403996318</v>
      </c>
      <c r="T11" s="110">
        <f t="shared" ca="1" si="9"/>
        <v>117.1078576689566</v>
      </c>
      <c r="U11" s="110">
        <f t="shared" ca="1" si="10"/>
        <v>2.8473768447894798</v>
      </c>
      <c r="W11" s="110">
        <f t="shared" ca="1" si="3"/>
        <v>369.9944227116344</v>
      </c>
      <c r="X11" s="110">
        <f t="shared" ca="1" si="3"/>
        <v>391.99543598174927</v>
      </c>
      <c r="Y11" s="110">
        <f t="shared" ca="1" si="11"/>
        <v>99.99999999999973</v>
      </c>
      <c r="Z11" s="110">
        <f t="shared" ca="1" si="12"/>
        <v>-14.260480824167388</v>
      </c>
    </row>
    <row r="12" spans="1:26" x14ac:dyDescent="0.2">
      <c r="B12" s="163" t="s">
        <v>72</v>
      </c>
      <c r="C12" s="163" t="s">
        <v>7</v>
      </c>
      <c r="D12" s="162">
        <v>504</v>
      </c>
      <c r="E12" s="162">
        <v>472.5</v>
      </c>
      <c r="F12" s="110">
        <f t="shared" si="4"/>
        <v>111.73128526977776</v>
      </c>
      <c r="G12" s="7"/>
      <c r="H12" s="110">
        <f ca="1">VLOOKUP(B12,INDIRECT("'"&amp;$H$3&amp;"'!Master_Frequencies"),2,FALSE)</f>
        <v>416.24372555058881</v>
      </c>
      <c r="I12" s="110">
        <f t="shared" ca="1" si="0"/>
        <v>440.00000000000006</v>
      </c>
      <c r="J12" s="110">
        <f t="shared" ca="1" si="5"/>
        <v>96.089998269224949</v>
      </c>
      <c r="K12" s="110">
        <f t="shared" ca="1" si="6"/>
        <v>-15.641287000552808</v>
      </c>
      <c r="M12" s="110">
        <f t="shared" ca="1" si="1"/>
        <v>411.2209148358358</v>
      </c>
      <c r="N12" s="110">
        <f t="shared" ca="1" si="1"/>
        <v>440.00000000000023</v>
      </c>
      <c r="O12" s="110">
        <f t="shared" ca="1" si="7"/>
        <v>117.1078576689566</v>
      </c>
      <c r="P12" s="110">
        <f t="shared" ca="1" si="8"/>
        <v>5.3765723991788406</v>
      </c>
      <c r="R12" s="110">
        <f t="shared" ca="1" si="2"/>
        <v>411.2209148358358</v>
      </c>
      <c r="S12" s="110">
        <f t="shared" ca="1" si="2"/>
        <v>440.00000000000023</v>
      </c>
      <c r="T12" s="110">
        <f t="shared" ca="1" si="9"/>
        <v>117.1078576689566</v>
      </c>
      <c r="U12" s="110">
        <f t="shared" ca="1" si="10"/>
        <v>5.3765723991788406</v>
      </c>
      <c r="W12" s="110">
        <f t="shared" ca="1" si="3"/>
        <v>415.30469757994507</v>
      </c>
      <c r="X12" s="110">
        <f t="shared" ca="1" si="3"/>
        <v>439.99999999999994</v>
      </c>
      <c r="Y12" s="110">
        <f t="shared" ca="1" si="11"/>
        <v>100.00000000000007</v>
      </c>
      <c r="Z12" s="110">
        <f t="shared" ca="1" si="12"/>
        <v>-11.731285269777686</v>
      </c>
    </row>
    <row r="13" spans="1:26" x14ac:dyDescent="0.2">
      <c r="B13" s="163" t="s">
        <v>7</v>
      </c>
      <c r="C13" s="163" t="s">
        <v>73</v>
      </c>
      <c r="D13" s="162">
        <v>472.5</v>
      </c>
      <c r="E13" s="162">
        <v>443.5</v>
      </c>
      <c r="F13" s="110">
        <f t="shared" si="4"/>
        <v>109.65626976884552</v>
      </c>
      <c r="G13" s="7"/>
      <c r="H13" s="110">
        <f t="shared" ref="H13:I30" ca="1" si="13">VLOOKUP(B13,INDIRECT("'"&amp;$H$3&amp;"'!Master_Frequencies"),2,FALSE)</f>
        <v>440.00000000000006</v>
      </c>
      <c r="I13" s="110">
        <f t="shared" ca="1" si="0"/>
        <v>468.27419124441241</v>
      </c>
      <c r="J13" s="110">
        <f t="shared" ca="1" si="5"/>
        <v>107.82000346154977</v>
      </c>
      <c r="K13" s="110">
        <f t="shared" ca="1" si="6"/>
        <v>-1.8362663072957446</v>
      </c>
      <c r="M13" s="110">
        <f t="shared" ca="1" si="1"/>
        <v>440.00000000000023</v>
      </c>
      <c r="N13" s="110">
        <f t="shared" ca="1" si="1"/>
        <v>459.75895967129026</v>
      </c>
      <c r="O13" s="110">
        <f t="shared" ca="1" si="7"/>
        <v>76.048999263460388</v>
      </c>
      <c r="P13" s="110">
        <f t="shared" ca="1" si="8"/>
        <v>-33.607270505385131</v>
      </c>
      <c r="R13" s="110">
        <f t="shared" ca="1" si="2"/>
        <v>440.00000000000023</v>
      </c>
      <c r="S13" s="110">
        <f t="shared" ca="1" si="2"/>
        <v>470.79317470340129</v>
      </c>
      <c r="T13" s="110">
        <f t="shared" ca="1" si="9"/>
        <v>117.10785766895623</v>
      </c>
      <c r="U13" s="110">
        <f t="shared" ca="1" si="10"/>
        <v>7.4515879001107095</v>
      </c>
      <c r="W13" s="110">
        <f t="shared" ca="1" si="3"/>
        <v>439.99999999999994</v>
      </c>
      <c r="X13" s="110">
        <f t="shared" ca="1" si="3"/>
        <v>466.16376151808987</v>
      </c>
      <c r="Y13" s="110">
        <f t="shared" ca="1" si="11"/>
        <v>100.00000000000007</v>
      </c>
      <c r="Z13" s="110">
        <f t="shared" ca="1" si="12"/>
        <v>-9.6562697688454477</v>
      </c>
    </row>
    <row r="14" spans="1:26" x14ac:dyDescent="0.2">
      <c r="B14" s="163" t="s">
        <v>8</v>
      </c>
      <c r="C14" s="163" t="s">
        <v>593</v>
      </c>
      <c r="D14" s="162">
        <v>434.5</v>
      </c>
      <c r="E14" s="162">
        <v>409</v>
      </c>
      <c r="F14" s="110">
        <f t="shared" si="4"/>
        <v>104.7064006471817</v>
      </c>
      <c r="G14" s="7"/>
      <c r="H14" s="110">
        <f t="shared" ca="1" si="13"/>
        <v>495.00000000000011</v>
      </c>
      <c r="I14" s="110">
        <f t="shared" ca="1" si="0"/>
        <v>526.80846514996392</v>
      </c>
      <c r="J14" s="110">
        <f t="shared" ca="1" si="5"/>
        <v>107.82000346154977</v>
      </c>
      <c r="K14" s="110">
        <f t="shared" ca="1" si="6"/>
        <v>3.113602814368079</v>
      </c>
      <c r="M14" s="110">
        <f t="shared" ca="1" si="1"/>
        <v>491.93495504995394</v>
      </c>
      <c r="N14" s="110">
        <f t="shared" ca="1" si="1"/>
        <v>514.02614354479465</v>
      </c>
      <c r="O14" s="110">
        <f t="shared" ca="1" si="7"/>
        <v>76.048999263460388</v>
      </c>
      <c r="P14" s="110">
        <f t="shared" ca="1" si="8"/>
        <v>-28.657401383721307</v>
      </c>
      <c r="R14" s="110">
        <f t="shared" ca="1" si="2"/>
        <v>491.93495504995394</v>
      </c>
      <c r="S14" s="110">
        <f t="shared" ca="1" si="2"/>
        <v>526.36277098986989</v>
      </c>
      <c r="T14" s="110">
        <f t="shared" ca="1" si="9"/>
        <v>117.1078576689566</v>
      </c>
      <c r="U14" s="110">
        <f t="shared" ca="1" si="10"/>
        <v>12.401457021774903</v>
      </c>
      <c r="W14" s="110">
        <f t="shared" ca="1" si="3"/>
        <v>493.88330125612407</v>
      </c>
      <c r="X14" s="110">
        <f t="shared" ca="1" si="3"/>
        <v>523.25113060119725</v>
      </c>
      <c r="Y14" s="110">
        <f t="shared" ca="1" si="11"/>
        <v>100.00000000000007</v>
      </c>
      <c r="Z14" s="110">
        <f t="shared" ca="1" si="12"/>
        <v>-4.7064006471816242</v>
      </c>
    </row>
    <row r="15" spans="1:26" x14ac:dyDescent="0.2">
      <c r="B15" s="163" t="s">
        <v>2</v>
      </c>
      <c r="C15" s="163" t="s">
        <v>74</v>
      </c>
      <c r="D15" s="162">
        <v>409</v>
      </c>
      <c r="E15" s="162">
        <v>391</v>
      </c>
      <c r="F15" s="110">
        <f t="shared" si="4"/>
        <v>77.918682761275704</v>
      </c>
      <c r="G15" s="7"/>
      <c r="H15" s="110">
        <f t="shared" ca="1" si="13"/>
        <v>263.40423257498196</v>
      </c>
      <c r="I15" s="110">
        <f t="shared" ca="1" si="0"/>
        <v>277.49581703372587</v>
      </c>
      <c r="J15" s="110">
        <f t="shared" ca="1" si="5"/>
        <v>90.224995673063063</v>
      </c>
      <c r="K15" s="110">
        <f t="shared" ca="1" si="6"/>
        <v>12.306312911787359</v>
      </c>
      <c r="M15" s="110">
        <f t="shared" ca="1" si="1"/>
        <v>263.18138549493494</v>
      </c>
      <c r="N15" s="110">
        <f t="shared" ca="1" si="1"/>
        <v>275.00000000000011</v>
      </c>
      <c r="O15" s="110">
        <f t="shared" ca="1" si="7"/>
        <v>76.048999263460743</v>
      </c>
      <c r="P15" s="110">
        <f t="shared" ca="1" si="8"/>
        <v>-1.869683497814961</v>
      </c>
      <c r="R15" s="110">
        <f t="shared" ca="1" si="2"/>
        <v>263.18138549493494</v>
      </c>
      <c r="S15" s="110">
        <f t="shared" ca="1" si="2"/>
        <v>275.00000000000011</v>
      </c>
      <c r="T15" s="110">
        <f t="shared" ca="1" si="9"/>
        <v>76.048999263460743</v>
      </c>
      <c r="U15" s="110">
        <f t="shared" ca="1" si="10"/>
        <v>-1.869683497814961</v>
      </c>
      <c r="W15" s="110">
        <f t="shared" ca="1" si="3"/>
        <v>261.62556530059862</v>
      </c>
      <c r="X15" s="110">
        <f t="shared" ca="1" si="3"/>
        <v>277.18263097687208</v>
      </c>
      <c r="Y15" s="110">
        <f t="shared" ca="1" si="11"/>
        <v>100.00000000000007</v>
      </c>
      <c r="Z15" s="110">
        <f t="shared" ca="1" si="12"/>
        <v>22.081317238724367</v>
      </c>
    </row>
    <row r="16" spans="1:26" x14ac:dyDescent="0.2">
      <c r="B16" s="163" t="s">
        <v>3</v>
      </c>
      <c r="C16" s="163" t="s">
        <v>76</v>
      </c>
      <c r="D16" s="162">
        <v>386</v>
      </c>
      <c r="E16" s="162">
        <v>364</v>
      </c>
      <c r="F16" s="110">
        <f t="shared" si="4"/>
        <v>101.594876483261</v>
      </c>
      <c r="G16" s="7"/>
      <c r="H16" s="110">
        <f t="shared" ca="1" si="13"/>
        <v>294.32876096317352</v>
      </c>
      <c r="I16" s="110">
        <f t="shared" ca="1" si="0"/>
        <v>312.1827941629416</v>
      </c>
      <c r="J16" s="110">
        <f t="shared" ca="1" si="5"/>
        <v>101.95500086538762</v>
      </c>
      <c r="K16" s="110">
        <f t="shared" ca="1" si="6"/>
        <v>0.3601243821266138</v>
      </c>
      <c r="M16" s="110">
        <f t="shared" ca="1" si="1"/>
        <v>294.24573418962586</v>
      </c>
      <c r="N16" s="110">
        <f t="shared" ca="1" si="1"/>
        <v>307.45934690622119</v>
      </c>
      <c r="O16" s="110">
        <f t="shared" ca="1" si="7"/>
        <v>76.048999263460388</v>
      </c>
      <c r="P16" s="110">
        <f t="shared" ca="1" si="8"/>
        <v>-25.545877219800616</v>
      </c>
      <c r="R16" s="110">
        <f t="shared" ca="1" si="2"/>
        <v>294.24573418962586</v>
      </c>
      <c r="S16" s="110">
        <f t="shared" ca="1" si="2"/>
        <v>307.45934690622119</v>
      </c>
      <c r="T16" s="110">
        <f t="shared" ca="1" si="9"/>
        <v>76.048999263460388</v>
      </c>
      <c r="U16" s="110">
        <f t="shared" ca="1" si="10"/>
        <v>-25.545877219800616</v>
      </c>
      <c r="W16" s="110">
        <f t="shared" ca="1" si="3"/>
        <v>293.66476791740757</v>
      </c>
      <c r="X16" s="110">
        <f t="shared" ca="1" si="3"/>
        <v>311.12698372208087</v>
      </c>
      <c r="Y16" s="110">
        <f t="shared" ca="1" si="11"/>
        <v>99.99999999999973</v>
      </c>
      <c r="Z16" s="110">
        <f t="shared" ca="1" si="12"/>
        <v>-1.5948764832612738</v>
      </c>
    </row>
    <row r="17" spans="2:26" x14ac:dyDescent="0.2">
      <c r="B17" s="163" t="s">
        <v>76</v>
      </c>
      <c r="C17" s="163" t="s">
        <v>4</v>
      </c>
      <c r="D17" s="162">
        <v>364</v>
      </c>
      <c r="E17" s="162">
        <v>345.5</v>
      </c>
      <c r="F17" s="110">
        <f t="shared" si="4"/>
        <v>90.303287772525422</v>
      </c>
      <c r="G17" s="7"/>
      <c r="H17" s="110">
        <f t="shared" ca="1" si="13"/>
        <v>312.1827941629416</v>
      </c>
      <c r="I17" s="110">
        <f t="shared" ca="1" si="0"/>
        <v>330.00000000000006</v>
      </c>
      <c r="J17" s="110">
        <f t="shared" ca="1" si="5"/>
        <v>96.089998269224949</v>
      </c>
      <c r="K17" s="110">
        <f t="shared" ca="1" si="6"/>
        <v>5.7867104966995271</v>
      </c>
      <c r="M17" s="110">
        <f t="shared" ca="1" si="1"/>
        <v>307.45934690622119</v>
      </c>
      <c r="N17" s="110">
        <f t="shared" ca="1" si="1"/>
        <v>328.97673186866865</v>
      </c>
      <c r="O17" s="110">
        <f t="shared" ca="1" si="7"/>
        <v>117.1078576689566</v>
      </c>
      <c r="P17" s="110">
        <f t="shared" ca="1" si="8"/>
        <v>26.804569896431175</v>
      </c>
      <c r="R17" s="110">
        <f t="shared" ca="1" si="2"/>
        <v>307.45934690622119</v>
      </c>
      <c r="S17" s="110">
        <f t="shared" ca="1" si="2"/>
        <v>328.97673186866865</v>
      </c>
      <c r="T17" s="110">
        <f t="shared" ca="1" si="9"/>
        <v>117.1078576689566</v>
      </c>
      <c r="U17" s="110">
        <f t="shared" ca="1" si="10"/>
        <v>26.804569896431175</v>
      </c>
      <c r="W17" s="110">
        <f t="shared" ca="1" si="3"/>
        <v>311.12698372208087</v>
      </c>
      <c r="X17" s="110">
        <f t="shared" ca="1" si="3"/>
        <v>329.62755691286992</v>
      </c>
      <c r="Y17" s="110">
        <f t="shared" ca="1" si="11"/>
        <v>100.00000000000007</v>
      </c>
      <c r="Z17" s="110">
        <f t="shared" ca="1" si="12"/>
        <v>9.6967122274746487</v>
      </c>
    </row>
    <row r="18" spans="2:26" x14ac:dyDescent="0.2">
      <c r="B18" s="163" t="s">
        <v>5</v>
      </c>
      <c r="C18" s="163" t="s">
        <v>70</v>
      </c>
      <c r="D18" s="162">
        <v>336.5</v>
      </c>
      <c r="E18" s="162">
        <v>321</v>
      </c>
      <c r="F18" s="110">
        <f t="shared" si="4"/>
        <v>81.639848985616851</v>
      </c>
      <c r="G18" s="7"/>
      <c r="H18" s="110">
        <f t="shared" ca="1" si="13"/>
        <v>351.20564343330932</v>
      </c>
      <c r="I18" s="110">
        <f t="shared" ca="1" si="0"/>
        <v>369.99442271163451</v>
      </c>
      <c r="J18" s="110">
        <f t="shared" ca="1" si="5"/>
        <v>90.224995673063063</v>
      </c>
      <c r="K18" s="110">
        <f t="shared" ca="1" si="6"/>
        <v>8.5851466874462119</v>
      </c>
      <c r="M18" s="110">
        <f t="shared" ca="1" si="1"/>
        <v>343.75000000000006</v>
      </c>
      <c r="N18" s="110">
        <f t="shared" ca="1" si="1"/>
        <v>367.80716773703227</v>
      </c>
      <c r="O18" s="110">
        <f t="shared" ca="1" si="7"/>
        <v>117.10785766895694</v>
      </c>
      <c r="P18" s="110">
        <f t="shared" ca="1" si="8"/>
        <v>35.468008683340088</v>
      </c>
      <c r="R18" s="110">
        <f t="shared" ca="1" si="2"/>
        <v>352.00000000000017</v>
      </c>
      <c r="S18" s="110">
        <f t="shared" ca="1" si="2"/>
        <v>367.80716773703227</v>
      </c>
      <c r="T18" s="110">
        <f t="shared" ca="1" si="9"/>
        <v>76.048999263460743</v>
      </c>
      <c r="U18" s="110">
        <f t="shared" ca="1" si="10"/>
        <v>-5.5908497221561078</v>
      </c>
      <c r="W18" s="110">
        <f t="shared" ca="1" si="3"/>
        <v>349.22823143300388</v>
      </c>
      <c r="X18" s="110">
        <f t="shared" ca="1" si="3"/>
        <v>369.9944227116344</v>
      </c>
      <c r="Y18" s="110">
        <f t="shared" ca="1" si="11"/>
        <v>100.00000000000007</v>
      </c>
      <c r="Z18" s="110">
        <f t="shared" ca="1" si="12"/>
        <v>18.36015101438322</v>
      </c>
    </row>
    <row r="19" spans="2:26" x14ac:dyDescent="0.2">
      <c r="B19" s="163" t="s">
        <v>70</v>
      </c>
      <c r="C19" s="163" t="s">
        <v>6</v>
      </c>
      <c r="D19" s="162">
        <v>321</v>
      </c>
      <c r="E19" s="162">
        <v>300</v>
      </c>
      <c r="F19" s="110">
        <f t="shared" si="4"/>
        <v>117.13295595170682</v>
      </c>
      <c r="G19" s="7"/>
      <c r="H19" s="110">
        <f t="shared" ca="1" si="13"/>
        <v>369.99442271163451</v>
      </c>
      <c r="I19" s="110">
        <f t="shared" ca="1" si="0"/>
        <v>393.77008877325875</v>
      </c>
      <c r="J19" s="110">
        <f t="shared" ca="1" si="5"/>
        <v>107.82000346154942</v>
      </c>
      <c r="K19" s="110">
        <f t="shared" ca="1" si="6"/>
        <v>-9.3129524901574001</v>
      </c>
      <c r="M19" s="110">
        <f t="shared" ca="1" si="1"/>
        <v>367.80716773703227</v>
      </c>
      <c r="N19" s="110">
        <f t="shared" ca="1" si="1"/>
        <v>393.54796403996318</v>
      </c>
      <c r="O19" s="110">
        <f t="shared" ca="1" si="7"/>
        <v>117.1078576689566</v>
      </c>
      <c r="P19" s="110">
        <f t="shared" ca="1" si="8"/>
        <v>-2.5098282750221301E-2</v>
      </c>
      <c r="R19" s="110">
        <f t="shared" ca="1" si="2"/>
        <v>367.80716773703227</v>
      </c>
      <c r="S19" s="110">
        <f t="shared" ca="1" si="2"/>
        <v>393.54796403996318</v>
      </c>
      <c r="T19" s="110">
        <f t="shared" ca="1" si="9"/>
        <v>117.1078576689566</v>
      </c>
      <c r="U19" s="110">
        <f t="shared" ca="1" si="10"/>
        <v>-2.5098282750221301E-2</v>
      </c>
      <c r="W19" s="110">
        <f t="shared" ca="1" si="3"/>
        <v>369.9944227116344</v>
      </c>
      <c r="X19" s="110">
        <f t="shared" ca="1" si="3"/>
        <v>391.99543598174927</v>
      </c>
      <c r="Y19" s="110">
        <f t="shared" ca="1" si="11"/>
        <v>99.99999999999973</v>
      </c>
      <c r="Z19" s="110">
        <f t="shared" ca="1" si="12"/>
        <v>-17.132955951707089</v>
      </c>
    </row>
    <row r="20" spans="2:26" x14ac:dyDescent="0.2">
      <c r="B20" s="163" t="s">
        <v>72</v>
      </c>
      <c r="C20" s="163" t="s">
        <v>7</v>
      </c>
      <c r="D20" s="162">
        <v>292</v>
      </c>
      <c r="E20" s="162">
        <v>272.5</v>
      </c>
      <c r="F20" s="110">
        <f t="shared" si="4"/>
        <v>119.65456705887433</v>
      </c>
      <c r="G20" s="7"/>
      <c r="H20" s="110">
        <f t="shared" ca="1" si="13"/>
        <v>416.24372555058881</v>
      </c>
      <c r="I20" s="110">
        <f t="shared" ca="1" si="0"/>
        <v>440.00000000000006</v>
      </c>
      <c r="J20" s="110">
        <f t="shared" ca="1" si="5"/>
        <v>96.089998269224949</v>
      </c>
      <c r="K20" s="110">
        <f t="shared" ca="1" si="6"/>
        <v>-23.564568789649385</v>
      </c>
      <c r="M20" s="110">
        <f t="shared" ca="1" si="1"/>
        <v>411.2209148358358</v>
      </c>
      <c r="N20" s="110">
        <f t="shared" ca="1" si="1"/>
        <v>440.00000000000023</v>
      </c>
      <c r="O20" s="110">
        <f t="shared" ca="1" si="7"/>
        <v>117.1078576689566</v>
      </c>
      <c r="P20" s="110">
        <f t="shared" ca="1" si="8"/>
        <v>-2.5467093899177371</v>
      </c>
      <c r="R20" s="110">
        <f t="shared" ca="1" si="2"/>
        <v>411.2209148358358</v>
      </c>
      <c r="S20" s="110">
        <f t="shared" ca="1" si="2"/>
        <v>440.00000000000023</v>
      </c>
      <c r="T20" s="110">
        <f t="shared" ca="1" si="9"/>
        <v>117.1078576689566</v>
      </c>
      <c r="U20" s="110">
        <f t="shared" ca="1" si="10"/>
        <v>-2.5467093899177371</v>
      </c>
      <c r="W20" s="110">
        <f t="shared" ca="1" si="3"/>
        <v>415.30469757994507</v>
      </c>
      <c r="X20" s="110">
        <f t="shared" ca="1" si="3"/>
        <v>439.99999999999994</v>
      </c>
      <c r="Y20" s="110">
        <f t="shared" ca="1" si="11"/>
        <v>100.00000000000007</v>
      </c>
      <c r="Z20" s="110">
        <f t="shared" ca="1" si="12"/>
        <v>-19.654567058874264</v>
      </c>
    </row>
    <row r="21" spans="2:26" x14ac:dyDescent="0.2">
      <c r="B21" s="163" t="s">
        <v>7</v>
      </c>
      <c r="C21" s="163" t="s">
        <v>73</v>
      </c>
      <c r="D21" s="162">
        <v>272.5</v>
      </c>
      <c r="E21" s="162">
        <v>257</v>
      </c>
      <c r="F21" s="110">
        <f t="shared" si="4"/>
        <v>101.38544456449273</v>
      </c>
      <c r="G21" s="7"/>
      <c r="H21" s="110">
        <f t="shared" ca="1" si="13"/>
        <v>440.00000000000006</v>
      </c>
      <c r="I21" s="110">
        <f t="shared" ca="1" si="0"/>
        <v>468.27419124441241</v>
      </c>
      <c r="J21" s="110">
        <f t="shared" ca="1" si="5"/>
        <v>107.82000346154977</v>
      </c>
      <c r="K21" s="110">
        <f t="shared" ca="1" si="6"/>
        <v>6.4345588970570446</v>
      </c>
      <c r="M21" s="110">
        <f t="shared" ca="1" si="1"/>
        <v>440.00000000000023</v>
      </c>
      <c r="N21" s="110">
        <f t="shared" ca="1" si="1"/>
        <v>459.75895967129026</v>
      </c>
      <c r="O21" s="110">
        <f t="shared" ca="1" si="7"/>
        <v>76.048999263460388</v>
      </c>
      <c r="P21" s="110">
        <f t="shared" ca="1" si="8"/>
        <v>-25.336445301032342</v>
      </c>
      <c r="R21" s="110">
        <f t="shared" ca="1" si="2"/>
        <v>440.00000000000023</v>
      </c>
      <c r="S21" s="110">
        <f t="shared" ca="1" si="2"/>
        <v>470.79317470340129</v>
      </c>
      <c r="T21" s="110">
        <f t="shared" ca="1" si="9"/>
        <v>117.10785766895623</v>
      </c>
      <c r="U21" s="110">
        <f t="shared" ca="1" si="10"/>
        <v>15.722413104463499</v>
      </c>
      <c r="W21" s="110">
        <f t="shared" ca="1" si="3"/>
        <v>439.99999999999994</v>
      </c>
      <c r="X21" s="110">
        <f t="shared" ca="1" si="3"/>
        <v>466.16376151808987</v>
      </c>
      <c r="Y21" s="110">
        <f t="shared" ca="1" si="11"/>
        <v>100.00000000000007</v>
      </c>
      <c r="Z21" s="110">
        <f t="shared" ca="1" si="12"/>
        <v>-1.3854445644926585</v>
      </c>
    </row>
    <row r="22" spans="2:26" x14ac:dyDescent="0.2">
      <c r="B22" s="163" t="s">
        <v>8</v>
      </c>
      <c r="C22" s="163" t="s">
        <v>593</v>
      </c>
      <c r="D22" s="162">
        <v>248</v>
      </c>
      <c r="E22" s="162">
        <v>233.5</v>
      </c>
      <c r="F22" s="110">
        <f t="shared" si="4"/>
        <v>104.30108481265601</v>
      </c>
      <c r="G22" s="7"/>
      <c r="H22" s="110">
        <f t="shared" ca="1" si="13"/>
        <v>495.00000000000011</v>
      </c>
      <c r="I22" s="110">
        <f ca="1">VLOOKUP(C22,INDIRECT("'"&amp;$H$3&amp;"'!Master_Frequencies"),2,FALSE)</f>
        <v>526.80846514996392</v>
      </c>
      <c r="J22" s="110">
        <f t="shared" ca="1" si="5"/>
        <v>107.82000346154977</v>
      </c>
      <c r="K22" s="110">
        <f t="shared" ca="1" si="6"/>
        <v>3.5189186488937594</v>
      </c>
      <c r="M22" s="110">
        <f t="shared" ca="1" si="1"/>
        <v>491.93495504995394</v>
      </c>
      <c r="N22" s="110">
        <f t="shared" ca="1" si="1"/>
        <v>514.02614354479465</v>
      </c>
      <c r="O22" s="110">
        <f t="shared" ca="1" si="7"/>
        <v>76.048999263460388</v>
      </c>
      <c r="P22" s="110">
        <f t="shared" ca="1" si="8"/>
        <v>-28.252085549195627</v>
      </c>
      <c r="R22" s="110">
        <f t="shared" ca="1" si="2"/>
        <v>491.93495504995394</v>
      </c>
      <c r="S22" s="110">
        <f t="shared" ca="1" si="2"/>
        <v>526.36277098986989</v>
      </c>
      <c r="T22" s="110">
        <f t="shared" ca="1" si="9"/>
        <v>117.1078576689566</v>
      </c>
      <c r="U22" s="110">
        <f t="shared" ca="1" si="10"/>
        <v>12.806772856300583</v>
      </c>
      <c r="W22" s="110">
        <f t="shared" ca="1" si="3"/>
        <v>493.88330125612407</v>
      </c>
      <c r="X22" s="110">
        <f t="shared" ca="1" si="3"/>
        <v>523.25113060119725</v>
      </c>
      <c r="Y22" s="110">
        <f t="shared" ca="1" si="11"/>
        <v>100.00000000000007</v>
      </c>
      <c r="Z22" s="110">
        <f t="shared" ca="1" si="12"/>
        <v>-4.3010848126559438</v>
      </c>
    </row>
    <row r="23" spans="2:26" x14ac:dyDescent="0.2">
      <c r="B23" s="163" t="s">
        <v>2</v>
      </c>
      <c r="C23" s="163" t="s">
        <v>74</v>
      </c>
      <c r="D23" s="162">
        <v>233.5</v>
      </c>
      <c r="E23" s="162">
        <v>222.5</v>
      </c>
      <c r="F23" s="110">
        <f t="shared" si="4"/>
        <v>83.540656627082299</v>
      </c>
      <c r="G23" s="7"/>
      <c r="H23" s="110">
        <f t="shared" ca="1" si="13"/>
        <v>263.40423257498196</v>
      </c>
      <c r="I23" s="110">
        <f t="shared" ca="1" si="13"/>
        <v>277.49581703372587</v>
      </c>
      <c r="J23" s="110">
        <f t="shared" ca="1" si="5"/>
        <v>90.224995673063063</v>
      </c>
      <c r="K23" s="110">
        <f t="shared" ca="1" si="6"/>
        <v>6.6843390459807637</v>
      </c>
      <c r="M23" s="110">
        <f t="shared" ref="M23:N30" ca="1" si="14">VLOOKUP(B23,INDIRECT("'"&amp;$M$3&amp;"'!Master_Frequencies"),2,FALSE)</f>
        <v>263.18138549493494</v>
      </c>
      <c r="N23" s="110">
        <f t="shared" ca="1" si="14"/>
        <v>275.00000000000011</v>
      </c>
      <c r="O23" s="110">
        <f t="shared" ca="1" si="7"/>
        <v>76.048999263460743</v>
      </c>
      <c r="P23" s="110">
        <f t="shared" ca="1" si="8"/>
        <v>-7.491657363621556</v>
      </c>
      <c r="R23" s="110">
        <f t="shared" ref="R23:S30" ca="1" si="15">VLOOKUP(B23,INDIRECT("'"&amp;$R$3&amp;"'!Master_Frequencies"),2,FALSE)</f>
        <v>263.18138549493494</v>
      </c>
      <c r="S23" s="110">
        <f t="shared" ca="1" si="15"/>
        <v>275.00000000000011</v>
      </c>
      <c r="T23" s="110">
        <f t="shared" ca="1" si="9"/>
        <v>76.048999263460743</v>
      </c>
      <c r="U23" s="110">
        <f t="shared" ca="1" si="10"/>
        <v>-7.491657363621556</v>
      </c>
      <c r="W23" s="110">
        <f t="shared" ref="W23:X30" ca="1" si="16">VLOOKUP(B23,INDIRECT("'"&amp;$W$3&amp;"'!Master_Frequencies"),2,FALSE)</f>
        <v>261.62556530059862</v>
      </c>
      <c r="X23" s="110">
        <f t="shared" ca="1" si="16"/>
        <v>277.18263097687208</v>
      </c>
      <c r="Y23" s="110">
        <f t="shared" ca="1" si="11"/>
        <v>100.00000000000007</v>
      </c>
      <c r="Z23" s="110">
        <f t="shared" ca="1" si="12"/>
        <v>16.459343372917772</v>
      </c>
    </row>
    <row r="24" spans="2:26" x14ac:dyDescent="0.2">
      <c r="B24" s="163" t="s">
        <v>3</v>
      </c>
      <c r="C24" s="163" t="s">
        <v>76</v>
      </c>
      <c r="D24" s="162">
        <v>213</v>
      </c>
      <c r="E24" s="162">
        <v>202</v>
      </c>
      <c r="F24" s="110">
        <f t="shared" si="4"/>
        <v>91.797764968852292</v>
      </c>
      <c r="G24" s="7"/>
      <c r="H24" s="110">
        <f t="shared" ca="1" si="13"/>
        <v>294.32876096317352</v>
      </c>
      <c r="I24" s="110">
        <f t="shared" ca="1" si="13"/>
        <v>312.1827941629416</v>
      </c>
      <c r="J24" s="110">
        <f t="shared" ca="1" si="5"/>
        <v>101.95500086538762</v>
      </c>
      <c r="K24" s="110">
        <f t="shared" ca="1" si="6"/>
        <v>10.157235896535326</v>
      </c>
      <c r="M24" s="110">
        <f t="shared" ca="1" si="14"/>
        <v>294.24573418962586</v>
      </c>
      <c r="N24" s="110">
        <f t="shared" ca="1" si="14"/>
        <v>307.45934690622119</v>
      </c>
      <c r="O24" s="110">
        <f t="shared" ca="1" si="7"/>
        <v>76.048999263460388</v>
      </c>
      <c r="P24" s="110">
        <f t="shared" ca="1" si="8"/>
        <v>-15.748765705391904</v>
      </c>
      <c r="R24" s="110">
        <f t="shared" ca="1" si="15"/>
        <v>294.24573418962586</v>
      </c>
      <c r="S24" s="110">
        <f t="shared" ca="1" si="15"/>
        <v>307.45934690622119</v>
      </c>
      <c r="T24" s="110">
        <f t="shared" ca="1" si="9"/>
        <v>76.048999263460388</v>
      </c>
      <c r="U24" s="110">
        <f t="shared" ca="1" si="10"/>
        <v>-15.748765705391904</v>
      </c>
      <c r="W24" s="110">
        <f t="shared" ca="1" si="16"/>
        <v>293.66476791740757</v>
      </c>
      <c r="X24" s="110">
        <f t="shared" ca="1" si="16"/>
        <v>311.12698372208087</v>
      </c>
      <c r="Y24" s="110">
        <f t="shared" ca="1" si="11"/>
        <v>99.99999999999973</v>
      </c>
      <c r="Z24" s="110">
        <f t="shared" ca="1" si="12"/>
        <v>8.2022350311474383</v>
      </c>
    </row>
    <row r="25" spans="2:26" x14ac:dyDescent="0.2">
      <c r="B25" s="163" t="s">
        <v>76</v>
      </c>
      <c r="C25" s="163" t="s">
        <v>4</v>
      </c>
      <c r="D25" s="162">
        <v>202</v>
      </c>
      <c r="E25" s="162">
        <v>191</v>
      </c>
      <c r="F25" s="110">
        <f t="shared" si="4"/>
        <v>96.939185659255074</v>
      </c>
      <c r="G25" s="7"/>
      <c r="H25" s="110">
        <f t="shared" ca="1" si="13"/>
        <v>312.1827941629416</v>
      </c>
      <c r="I25" s="110">
        <f t="shared" ca="1" si="13"/>
        <v>330.00000000000006</v>
      </c>
      <c r="J25" s="110">
        <f t="shared" ca="1" si="5"/>
        <v>96.089998269224949</v>
      </c>
      <c r="K25" s="110">
        <f t="shared" ca="1" si="6"/>
        <v>-0.84918739003012433</v>
      </c>
      <c r="M25" s="110">
        <f t="shared" ca="1" si="14"/>
        <v>307.45934690622119</v>
      </c>
      <c r="N25" s="110">
        <f t="shared" ca="1" si="14"/>
        <v>328.97673186866865</v>
      </c>
      <c r="O25" s="110">
        <f t="shared" ca="1" si="7"/>
        <v>117.1078576689566</v>
      </c>
      <c r="P25" s="110">
        <f t="shared" ca="1" si="8"/>
        <v>20.168672009701524</v>
      </c>
      <c r="R25" s="110">
        <f t="shared" ca="1" si="15"/>
        <v>307.45934690622119</v>
      </c>
      <c r="S25" s="110">
        <f t="shared" ca="1" si="15"/>
        <v>328.97673186866865</v>
      </c>
      <c r="T25" s="110">
        <f t="shared" ca="1" si="9"/>
        <v>117.1078576689566</v>
      </c>
      <c r="U25" s="110">
        <f t="shared" ca="1" si="10"/>
        <v>20.168672009701524</v>
      </c>
      <c r="W25" s="110">
        <f t="shared" ca="1" si="16"/>
        <v>311.12698372208087</v>
      </c>
      <c r="X25" s="110">
        <f t="shared" ca="1" si="16"/>
        <v>329.62755691286992</v>
      </c>
      <c r="Y25" s="110">
        <f t="shared" ca="1" si="11"/>
        <v>100.00000000000007</v>
      </c>
      <c r="Z25" s="110">
        <f t="shared" ca="1" si="12"/>
        <v>3.0608143407449973</v>
      </c>
    </row>
    <row r="26" spans="2:26" x14ac:dyDescent="0.2">
      <c r="B26" s="163" t="s">
        <v>5</v>
      </c>
      <c r="C26" s="163" t="s">
        <v>70</v>
      </c>
      <c r="D26" s="162">
        <v>184</v>
      </c>
      <c r="E26" s="162">
        <v>175</v>
      </c>
      <c r="F26" s="110">
        <f t="shared" si="4"/>
        <v>86.821013069620804</v>
      </c>
      <c r="G26" s="7"/>
      <c r="H26" s="110">
        <f t="shared" ca="1" si="13"/>
        <v>351.20564343330932</v>
      </c>
      <c r="I26" s="110">
        <f t="shared" ca="1" si="13"/>
        <v>369.99442271163451</v>
      </c>
      <c r="J26" s="110">
        <f t="shared" ca="1" si="5"/>
        <v>90.224995673063063</v>
      </c>
      <c r="K26" s="110">
        <f t="shared" ca="1" si="6"/>
        <v>3.4039826034422589</v>
      </c>
      <c r="M26" s="110">
        <f t="shared" ca="1" si="14"/>
        <v>343.75000000000006</v>
      </c>
      <c r="N26" s="110">
        <f t="shared" ca="1" si="14"/>
        <v>367.80716773703227</v>
      </c>
      <c r="O26" s="110">
        <f t="shared" ca="1" si="7"/>
        <v>117.10785766895694</v>
      </c>
      <c r="P26" s="110">
        <f t="shared" ca="1" si="8"/>
        <v>30.286844599336135</v>
      </c>
      <c r="R26" s="110">
        <f t="shared" ca="1" si="15"/>
        <v>352.00000000000017</v>
      </c>
      <c r="S26" s="110">
        <f t="shared" ca="1" si="15"/>
        <v>367.80716773703227</v>
      </c>
      <c r="T26" s="110">
        <f t="shared" ca="1" si="9"/>
        <v>76.048999263460743</v>
      </c>
      <c r="U26" s="110">
        <f t="shared" ca="1" si="10"/>
        <v>-10.772013806160061</v>
      </c>
      <c r="W26" s="110">
        <f t="shared" ca="1" si="16"/>
        <v>349.22823143300388</v>
      </c>
      <c r="X26" s="110">
        <f t="shared" ca="1" si="16"/>
        <v>369.9944227116344</v>
      </c>
      <c r="Y26" s="110">
        <f t="shared" ca="1" si="11"/>
        <v>100.00000000000007</v>
      </c>
      <c r="Z26" s="110">
        <f t="shared" ca="1" si="12"/>
        <v>13.178986930379267</v>
      </c>
    </row>
    <row r="27" spans="2:26" x14ac:dyDescent="0.2">
      <c r="B27" s="163" t="s">
        <v>70</v>
      </c>
      <c r="C27" s="163" t="s">
        <v>6</v>
      </c>
      <c r="D27" s="162">
        <v>175</v>
      </c>
      <c r="E27" s="162">
        <v>165</v>
      </c>
      <c r="F27" s="110">
        <f t="shared" si="4"/>
        <v>101.86667710381555</v>
      </c>
      <c r="G27" s="7"/>
      <c r="H27" s="110">
        <f t="shared" ca="1" si="13"/>
        <v>369.99442271163451</v>
      </c>
      <c r="I27" s="110">
        <f t="shared" ca="1" si="13"/>
        <v>393.77008877325875</v>
      </c>
      <c r="J27" s="110">
        <f t="shared" ca="1" si="5"/>
        <v>107.82000346154942</v>
      </c>
      <c r="K27" s="110">
        <f t="shared" ca="1" si="6"/>
        <v>5.9533263577338715</v>
      </c>
      <c r="M27" s="110">
        <f t="shared" ca="1" si="14"/>
        <v>367.80716773703227</v>
      </c>
      <c r="N27" s="110">
        <f t="shared" ca="1" si="14"/>
        <v>393.54796403996318</v>
      </c>
      <c r="O27" s="110">
        <f t="shared" ca="1" si="7"/>
        <v>117.1078576689566</v>
      </c>
      <c r="P27" s="110">
        <f t="shared" ca="1" si="8"/>
        <v>15.24118056514105</v>
      </c>
      <c r="R27" s="110">
        <f t="shared" ca="1" si="15"/>
        <v>367.80716773703227</v>
      </c>
      <c r="S27" s="110">
        <f t="shared" ca="1" si="15"/>
        <v>393.54796403996318</v>
      </c>
      <c r="T27" s="110">
        <f t="shared" ca="1" si="9"/>
        <v>117.1078576689566</v>
      </c>
      <c r="U27" s="110">
        <f t="shared" ca="1" si="10"/>
        <v>15.24118056514105</v>
      </c>
      <c r="W27" s="110">
        <f t="shared" ca="1" si="16"/>
        <v>369.9944227116344</v>
      </c>
      <c r="X27" s="110">
        <f t="shared" ca="1" si="16"/>
        <v>391.99543598174927</v>
      </c>
      <c r="Y27" s="110">
        <f t="shared" ca="1" si="11"/>
        <v>99.99999999999973</v>
      </c>
      <c r="Z27" s="110">
        <f t="shared" ca="1" si="12"/>
        <v>-1.8666771038158174</v>
      </c>
    </row>
    <row r="28" spans="2:26" x14ac:dyDescent="0.2">
      <c r="B28" s="163" t="s">
        <v>72</v>
      </c>
      <c r="C28" s="163" t="s">
        <v>7</v>
      </c>
      <c r="D28" s="162">
        <v>158.5</v>
      </c>
      <c r="E28" s="162">
        <v>148</v>
      </c>
      <c r="F28" s="110">
        <f t="shared" si="4"/>
        <v>118.66279741254915</v>
      </c>
      <c r="G28" s="7"/>
      <c r="H28" s="110">
        <f t="shared" ca="1" si="13"/>
        <v>416.24372555058881</v>
      </c>
      <c r="I28" s="110">
        <f t="shared" ca="1" si="13"/>
        <v>440.00000000000006</v>
      </c>
      <c r="J28" s="110">
        <f t="shared" ca="1" si="5"/>
        <v>96.089998269224949</v>
      </c>
      <c r="K28" s="110">
        <f t="shared" ca="1" si="6"/>
        <v>-22.572799143324204</v>
      </c>
      <c r="M28" s="110">
        <f t="shared" ca="1" si="14"/>
        <v>411.2209148358358</v>
      </c>
      <c r="N28" s="110">
        <f t="shared" ca="1" si="14"/>
        <v>440.00000000000023</v>
      </c>
      <c r="O28" s="110">
        <f t="shared" ca="1" si="7"/>
        <v>117.1078576689566</v>
      </c>
      <c r="P28" s="110">
        <f t="shared" ca="1" si="8"/>
        <v>-1.5549397435925556</v>
      </c>
      <c r="R28" s="110">
        <f t="shared" ca="1" si="15"/>
        <v>411.2209148358358</v>
      </c>
      <c r="S28" s="110">
        <f t="shared" ca="1" si="15"/>
        <v>440.00000000000023</v>
      </c>
      <c r="T28" s="110">
        <f t="shared" ca="1" si="9"/>
        <v>117.1078576689566</v>
      </c>
      <c r="U28" s="110">
        <f t="shared" ca="1" si="10"/>
        <v>-1.5549397435925556</v>
      </c>
      <c r="W28" s="110">
        <f t="shared" ca="1" si="16"/>
        <v>415.30469757994507</v>
      </c>
      <c r="X28" s="110">
        <f t="shared" ca="1" si="16"/>
        <v>439.99999999999994</v>
      </c>
      <c r="Y28" s="110">
        <f t="shared" ca="1" si="11"/>
        <v>100.00000000000007</v>
      </c>
      <c r="Z28" s="110">
        <f t="shared" ca="1" si="12"/>
        <v>-18.662797412549082</v>
      </c>
    </row>
    <row r="29" spans="2:26" x14ac:dyDescent="0.2">
      <c r="B29" s="163" t="s">
        <v>7</v>
      </c>
      <c r="C29" s="163" t="s">
        <v>73</v>
      </c>
      <c r="D29" s="162">
        <v>148</v>
      </c>
      <c r="E29" s="162">
        <v>139.5</v>
      </c>
      <c r="F29" s="110">
        <f t="shared" si="4"/>
        <v>102.3984645597147</v>
      </c>
      <c r="G29" s="7"/>
      <c r="H29" s="110">
        <f t="shared" ca="1" si="13"/>
        <v>440.00000000000006</v>
      </c>
      <c r="I29" s="110">
        <f t="shared" ca="1" si="13"/>
        <v>468.27419124441241</v>
      </c>
      <c r="J29" s="110">
        <f t="shared" ca="1" si="5"/>
        <v>107.82000346154977</v>
      </c>
      <c r="K29" s="110">
        <f t="shared" ca="1" si="6"/>
        <v>5.4215389018350777</v>
      </c>
      <c r="M29" s="110">
        <f t="shared" ca="1" si="14"/>
        <v>440.00000000000023</v>
      </c>
      <c r="N29" s="110">
        <f t="shared" ca="1" si="14"/>
        <v>459.75895967129026</v>
      </c>
      <c r="O29" s="110">
        <f t="shared" ca="1" si="7"/>
        <v>76.048999263460388</v>
      </c>
      <c r="P29" s="110">
        <f t="shared" ca="1" si="8"/>
        <v>-26.349465296254309</v>
      </c>
      <c r="R29" s="110">
        <f t="shared" ca="1" si="15"/>
        <v>440.00000000000023</v>
      </c>
      <c r="S29" s="110">
        <f t="shared" ca="1" si="15"/>
        <v>470.79317470340129</v>
      </c>
      <c r="T29" s="110">
        <f t="shared" ca="1" si="9"/>
        <v>117.10785766895623</v>
      </c>
      <c r="U29" s="110">
        <f t="shared" ca="1" si="10"/>
        <v>14.709393109241532</v>
      </c>
      <c r="W29" s="110">
        <f t="shared" ca="1" si="16"/>
        <v>439.99999999999994</v>
      </c>
      <c r="X29" s="110">
        <f t="shared" ca="1" si="16"/>
        <v>466.16376151808987</v>
      </c>
      <c r="Y29" s="110">
        <f t="shared" ca="1" si="11"/>
        <v>100.00000000000007</v>
      </c>
      <c r="Z29" s="110">
        <f t="shared" ca="1" si="12"/>
        <v>-2.3984645597146255</v>
      </c>
    </row>
    <row r="30" spans="2:26" x14ac:dyDescent="0.2">
      <c r="B30" s="163" t="s">
        <v>8</v>
      </c>
      <c r="C30" s="163" t="s">
        <v>593</v>
      </c>
      <c r="D30" s="162">
        <v>132</v>
      </c>
      <c r="E30" s="162">
        <v>124</v>
      </c>
      <c r="F30" s="110">
        <f t="shared" si="4"/>
        <v>108.23737076589377</v>
      </c>
      <c r="H30" s="110">
        <f t="shared" ca="1" si="13"/>
        <v>495.00000000000011</v>
      </c>
      <c r="I30" s="110">
        <f t="shared" ca="1" si="13"/>
        <v>526.80846514996392</v>
      </c>
      <c r="J30" s="110">
        <f t="shared" ca="1" si="5"/>
        <v>107.82000346154977</v>
      </c>
      <c r="K30" s="110">
        <f t="shared" ca="1" si="6"/>
        <v>-0.4173673043439976</v>
      </c>
      <c r="M30" s="110">
        <f t="shared" ca="1" si="14"/>
        <v>491.93495504995394</v>
      </c>
      <c r="N30" s="110">
        <f t="shared" ca="1" si="14"/>
        <v>514.02614354479465</v>
      </c>
      <c r="O30" s="110">
        <f t="shared" ca="1" si="7"/>
        <v>76.048999263460388</v>
      </c>
      <c r="P30" s="110">
        <f t="shared" ca="1" si="8"/>
        <v>-32.188371502433384</v>
      </c>
      <c r="R30" s="110">
        <f t="shared" ca="1" si="15"/>
        <v>491.93495504995394</v>
      </c>
      <c r="S30" s="110">
        <f t="shared" ca="1" si="15"/>
        <v>526.36277098986989</v>
      </c>
      <c r="T30" s="110">
        <f t="shared" ca="1" si="9"/>
        <v>117.1078576689566</v>
      </c>
      <c r="U30" s="110">
        <f t="shared" ca="1" si="10"/>
        <v>8.8704869030628259</v>
      </c>
      <c r="W30" s="110">
        <f t="shared" ca="1" si="16"/>
        <v>493.88330125612407</v>
      </c>
      <c r="X30" s="110">
        <f t="shared" ca="1" si="16"/>
        <v>523.25113060119725</v>
      </c>
      <c r="Y30" s="110">
        <f t="shared" ca="1" si="11"/>
        <v>100.00000000000007</v>
      </c>
      <c r="Z30" s="110">
        <f t="shared" ca="1" si="12"/>
        <v>-8.2373707658937008</v>
      </c>
    </row>
    <row r="31" spans="2:26" x14ac:dyDescent="0.2">
      <c r="B31" s="119"/>
      <c r="C31" s="119"/>
      <c r="H31" s="288" t="str">
        <f ca="1">_xlfn.CONCAT($F$5," vs. ",H4)</f>
        <v>Gellinger, Namur, 1670 Fret Size cents vs. Werckmeister III</v>
      </c>
      <c r="I31" s="288"/>
      <c r="J31" s="288"/>
      <c r="K31" s="288"/>
      <c r="M31" s="278" t="str">
        <f ca="1">_xlfn.CONCAT($F$5," vs. ",M4)</f>
        <v>Gellinger, Namur, 1670 Fret Size cents vs. Meantone Quarter Comma</v>
      </c>
      <c r="N31" s="278"/>
      <c r="O31" s="278"/>
      <c r="P31" s="278"/>
      <c r="Q31" s="117"/>
      <c r="R31" s="288" t="str">
        <f ca="1">_xlfn.CONCAT($F$5," vs. ",R4)</f>
        <v>Gellinger, Namur, 1670 Fret Size cents vs. Meantone Octave with Matching Octaves</v>
      </c>
      <c r="S31" s="288"/>
      <c r="T31" s="288"/>
      <c r="U31" s="288"/>
      <c r="W31" s="288" t="str">
        <f ca="1">_xlfn.CONCAT($F$5," vs. ",W4)</f>
        <v>Gellinger, Namur, 1670 Fret Size cents vs. Equal Temperament</v>
      </c>
      <c r="X31" s="288"/>
      <c r="Y31" s="288"/>
      <c r="Z31" s="288"/>
    </row>
    <row r="32" spans="2:26" x14ac:dyDescent="0.2">
      <c r="B32" s="80" t="s">
        <v>63</v>
      </c>
      <c r="J32" s="119" t="s">
        <v>94</v>
      </c>
      <c r="K32" s="110">
        <f ca="1">SQRT(SUMSQ(K6:K30)/COUNT(K6:K30))</f>
        <v>11.810797838781607</v>
      </c>
      <c r="O32" s="119" t="s">
        <v>94</v>
      </c>
      <c r="P32" s="110">
        <f ca="1">SQRT(SUMSQ(P6:P30)/COUNT(P6:P30))</f>
        <v>25.415716560205297</v>
      </c>
      <c r="T32" s="119" t="s">
        <v>94</v>
      </c>
      <c r="U32" s="110">
        <f ca="1">SQRT(SUMSQ(U6:U30)/COUNT(U6:U30))</f>
        <v>17.132586693487916</v>
      </c>
      <c r="Y32" s="119" t="s">
        <v>94</v>
      </c>
      <c r="Z32" s="110">
        <f ca="1">SQRT(SUMSQ(Z6:Z30)/COUNT(Z6:Z30))</f>
        <v>14.684228154259051</v>
      </c>
    </row>
    <row r="33" spans="2:24" x14ac:dyDescent="0.2">
      <c r="B33" s="286"/>
      <c r="C33" s="286"/>
      <c r="D33" s="286"/>
      <c r="E33" s="286"/>
      <c r="X33" s="7"/>
    </row>
    <row r="35" spans="2:24" ht="19" x14ac:dyDescent="0.2">
      <c r="D35" s="7"/>
      <c r="N35" s="120"/>
      <c r="P35" s="7"/>
      <c r="R35" s="7"/>
    </row>
    <row r="36" spans="2:24" x14ac:dyDescent="0.2">
      <c r="D36" s="7"/>
      <c r="P36" s="7"/>
      <c r="R36" s="7"/>
    </row>
    <row r="37" spans="2:24" x14ac:dyDescent="0.2">
      <c r="D37" s="7"/>
      <c r="P37" s="7"/>
      <c r="R37" s="7"/>
    </row>
    <row r="38" spans="2:24" x14ac:dyDescent="0.2">
      <c r="D38" s="7"/>
      <c r="P38" s="7"/>
      <c r="R38" s="7"/>
    </row>
    <row r="39" spans="2:24" x14ac:dyDescent="0.2">
      <c r="D39" s="7"/>
      <c r="P39" s="7"/>
      <c r="R39" s="7"/>
    </row>
    <row r="40" spans="2:24" x14ac:dyDescent="0.2">
      <c r="D40" s="7"/>
      <c r="P40" s="7"/>
      <c r="R40" s="7"/>
    </row>
    <row r="41" spans="2:24" x14ac:dyDescent="0.2">
      <c r="D41" s="7"/>
      <c r="P41" s="7"/>
      <c r="R41" s="7"/>
    </row>
    <row r="42" spans="2:24" x14ac:dyDescent="0.2">
      <c r="D42" s="7"/>
      <c r="P42" s="7"/>
      <c r="R42" s="7"/>
    </row>
    <row r="43" spans="2:24" x14ac:dyDescent="0.2">
      <c r="D43" s="7"/>
      <c r="P43" s="7"/>
      <c r="R43" s="7"/>
    </row>
    <row r="44" spans="2:24" x14ac:dyDescent="0.2">
      <c r="D44" s="7"/>
      <c r="P44" s="7"/>
      <c r="R44" s="7"/>
    </row>
    <row r="45" spans="2:24" x14ac:dyDescent="0.2">
      <c r="D45" s="7"/>
      <c r="P45" s="7"/>
      <c r="R45" s="7"/>
    </row>
    <row r="46" spans="2:24" x14ac:dyDescent="0.2">
      <c r="D46" s="7"/>
      <c r="P46" s="7"/>
      <c r="R46" s="7"/>
    </row>
    <row r="47" spans="2:24" x14ac:dyDescent="0.2">
      <c r="P47" s="7"/>
      <c r="R47" s="7"/>
    </row>
  </sheetData>
  <sheetProtection sheet="1" objects="1" scenarios="1" formatCells="0"/>
  <mergeCells count="15">
    <mergeCell ref="W3:Z3"/>
    <mergeCell ref="B1:H1"/>
    <mergeCell ref="B3:E3"/>
    <mergeCell ref="H3:K3"/>
    <mergeCell ref="M3:P3"/>
    <mergeCell ref="R3:U3"/>
    <mergeCell ref="B33:E33"/>
    <mergeCell ref="H4:K4"/>
    <mergeCell ref="M4:P4"/>
    <mergeCell ref="R4:U4"/>
    <mergeCell ref="W4:Z4"/>
    <mergeCell ref="H31:K31"/>
    <mergeCell ref="M31:P31"/>
    <mergeCell ref="R31:U31"/>
    <mergeCell ref="W31:Z31"/>
  </mergeCells>
  <conditionalFormatting sqref="A1:XFD1048576">
    <cfRule type="expression" dxfId="115" priority="1">
      <formula>CELL("protect",A1)=0</formula>
    </cfRule>
  </conditionalFormatting>
  <conditionalFormatting sqref="A5:XFD30 B34:F42 G34:G46 I34:L46 C43:F43 B44:F46 B47:L1048576">
    <cfRule type="expression" dxfId="114" priority="2">
      <formula>_xlfn.ISFORMULA(A5)</formula>
    </cfRule>
  </conditionalFormatting>
  <conditionalFormatting sqref="B3:B4 F3:H4 L3:M4 Q3:R4 V3:W4 AA3:XFD4 L31:M31 R31 B31:H32 V31:W32 AA31:XFD32 J32:M32 O32:R32 T32:U32 Y32:Z32 B33 F33:L33 M33:Q34 R33:XFD1048576 M35 O35:Q35 M36:Q1048576">
    <cfRule type="expression" dxfId="113" priority="3">
      <formula>_xlfn.ISFORMULA(B3)</formula>
    </cfRule>
  </conditionalFormatting>
  <hyperlinks>
    <hyperlink ref="B32" location="Overview!A1" display="Back to Overview" xr:uid="{48453F2D-F1E5-A846-93BB-13115922A60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C34E-71A5-7E4E-BC85-55232B9DE559}">
  <sheetPr>
    <tabColor theme="9" tint="0.59999389629810485"/>
  </sheetPr>
  <dimension ref="A1:Z38"/>
  <sheetViews>
    <sheetView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594</v>
      </c>
      <c r="C1" s="289"/>
      <c r="D1" s="289"/>
      <c r="E1" s="289"/>
      <c r="F1" s="289"/>
      <c r="G1" s="289"/>
      <c r="H1" s="28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595</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Meantone by Bavington for Donat Instrument Leipzig 12</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Bavington, Donat, L 12, ~1700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Meantone Bav Donat Frequency 1</v>
      </c>
      <c r="X5" s="115" t="str">
        <f>_xlfn.CONCAT(W3," Frequency 2")</f>
        <v>Meantone Bav Donat Frequency 2</v>
      </c>
      <c r="Y5" s="115" t="s">
        <v>472</v>
      </c>
      <c r="Z5" s="115" t="s">
        <v>473</v>
      </c>
    </row>
    <row r="6" spans="1:26" x14ac:dyDescent="0.2">
      <c r="B6" s="163" t="s">
        <v>2</v>
      </c>
      <c r="C6" s="163" t="s">
        <v>74</v>
      </c>
      <c r="D6" s="162">
        <v>724</v>
      </c>
      <c r="E6" s="162">
        <v>701</v>
      </c>
      <c r="F6" s="110">
        <f>1200*LOG(D6/E6,2)</f>
        <v>55.8903036870988</v>
      </c>
      <c r="H6" s="110">
        <f t="shared" ref="H6:I21" ca="1" si="0">VLOOKUP(B6,INDIRECT("'"&amp;$H$3&amp;"'!Master_Frequencies"),2,FALSE)</f>
        <v>263.40423257498196</v>
      </c>
      <c r="I6" s="110">
        <f ca="1">VLOOKUP(C6,INDIRECT("'"&amp;$H$3&amp;"'!Master_Frequencies"),2,FALSE)</f>
        <v>277.49581703372587</v>
      </c>
      <c r="J6" s="110">
        <f ca="1">LOG(I6/H6,2)*1200</f>
        <v>90.224995673063063</v>
      </c>
      <c r="K6" s="110">
        <f ca="1">J6-F6</f>
        <v>34.334691985964263</v>
      </c>
      <c r="M6" s="110">
        <f t="shared" ref="M6:N21" ca="1" si="1">VLOOKUP(B6,INDIRECT("'"&amp;$M$3&amp;"'!Master_Frequencies"),2,FALSE)</f>
        <v>263.18138549493494</v>
      </c>
      <c r="N6" s="110">
        <f t="shared" ca="1" si="1"/>
        <v>275.00000000000011</v>
      </c>
      <c r="O6" s="110">
        <f ca="1">LOG(N6/M6,2)*1200</f>
        <v>76.048999263460743</v>
      </c>
      <c r="P6" s="110">
        <f ca="1">O6-F6</f>
        <v>20.158695576361943</v>
      </c>
      <c r="R6" s="110">
        <f t="shared" ref="R6:S21" ca="1" si="2">VLOOKUP(B6,INDIRECT("'"&amp;$R$3&amp;"'!Master_Frequencies"),2,FALSE)</f>
        <v>263.18138549493494</v>
      </c>
      <c r="S6" s="110">
        <f t="shared" ca="1" si="2"/>
        <v>275.00000000000011</v>
      </c>
      <c r="T6" s="110">
        <f ca="1">LOG(S6/R6,2)*1200</f>
        <v>76.048999263460743</v>
      </c>
      <c r="U6" s="110">
        <f ca="1">T6-F6</f>
        <v>20.158695576361943</v>
      </c>
      <c r="W6" s="110">
        <f t="shared" ref="W6:X21" ca="1" si="3">VLOOKUP(B6,INDIRECT("'"&amp;$W$3&amp;"'!Master_Frequencies"),2,FALSE)</f>
        <v>263.18138549493494</v>
      </c>
      <c r="X6" s="110">
        <f t="shared" ca="1" si="3"/>
        <v>274.14727655722385</v>
      </c>
      <c r="Y6" s="110">
        <f ca="1">LOG(X6/W6,2)*1200</f>
        <v>70.672426864281974</v>
      </c>
      <c r="Z6" s="110">
        <f ca="1">Y6-F6</f>
        <v>14.782123177183173</v>
      </c>
    </row>
    <row r="7" spans="1:26" x14ac:dyDescent="0.2">
      <c r="B7" s="163" t="s">
        <v>76</v>
      </c>
      <c r="C7" s="163" t="s">
        <v>4</v>
      </c>
      <c r="D7" s="162">
        <v>650</v>
      </c>
      <c r="E7" s="162">
        <v>630</v>
      </c>
      <c r="F7" s="110">
        <f t="shared" ref="F7:F21" si="4">1200*LOG(D7/E7,2)</f>
        <v>54.105467434245831</v>
      </c>
      <c r="H7" s="110">
        <f t="shared" ca="1" si="0"/>
        <v>312.1827941629416</v>
      </c>
      <c r="I7" s="110">
        <f t="shared" ca="1" si="0"/>
        <v>330.00000000000006</v>
      </c>
      <c r="J7" s="110">
        <f t="shared" ref="J7:J21" ca="1" si="5">LOG(I7/H7,2)*1200</f>
        <v>96.089998269224949</v>
      </c>
      <c r="K7" s="110">
        <f t="shared" ref="K7:K21" ca="1" si="6">J7-F7</f>
        <v>41.984530834979118</v>
      </c>
      <c r="M7" s="110">
        <f t="shared" ca="1" si="1"/>
        <v>307.45934690622119</v>
      </c>
      <c r="N7" s="110">
        <f t="shared" ca="1" si="1"/>
        <v>328.97673186866865</v>
      </c>
      <c r="O7" s="110">
        <f t="shared" ref="O7:O21" ca="1" si="7">LOG(N7/M7,2)*1200</f>
        <v>117.1078576689566</v>
      </c>
      <c r="P7" s="110">
        <f t="shared" ref="P7:P21" ca="1" si="8">O7-F7</f>
        <v>63.002390234710766</v>
      </c>
      <c r="R7" s="110">
        <f t="shared" ca="1" si="2"/>
        <v>307.45934690622119</v>
      </c>
      <c r="S7" s="110">
        <f t="shared" ca="1" si="2"/>
        <v>328.97673186866865</v>
      </c>
      <c r="T7" s="110">
        <f t="shared" ref="T7:T21" ca="1" si="9">LOG(S7/R7,2)*1200</f>
        <v>117.1078576689566</v>
      </c>
      <c r="U7" s="110">
        <f t="shared" ref="U7:U21" ca="1" si="10">T7-F7</f>
        <v>63.002390234710766</v>
      </c>
      <c r="W7" s="110">
        <f t="shared" ca="1" si="3"/>
        <v>310.01619967056735</v>
      </c>
      <c r="X7" s="110">
        <f t="shared" ca="1" si="3"/>
        <v>328.97673186866865</v>
      </c>
      <c r="Y7" s="110">
        <f t="shared" ref="Y7:Y21" ca="1" si="11">LOG(X7/W7,2)*1200</f>
        <v>102.77033162958514</v>
      </c>
      <c r="Z7" s="110">
        <f t="shared" ref="Z7:Z21" ca="1" si="12">Y7-F7</f>
        <v>48.664864195339312</v>
      </c>
    </row>
    <row r="8" spans="1:26" x14ac:dyDescent="0.2">
      <c r="B8" s="163" t="s">
        <v>5</v>
      </c>
      <c r="C8" s="163" t="s">
        <v>70</v>
      </c>
      <c r="D8" s="162">
        <v>597</v>
      </c>
      <c r="E8" s="162">
        <v>572</v>
      </c>
      <c r="F8" s="110">
        <f t="shared" si="4"/>
        <v>74.058941383698794</v>
      </c>
      <c r="H8" s="110">
        <f t="shared" ca="1" si="0"/>
        <v>351.20564343330932</v>
      </c>
      <c r="I8" s="110">
        <f t="shared" ca="1" si="0"/>
        <v>369.99442271163451</v>
      </c>
      <c r="J8" s="110">
        <f t="shared" ca="1" si="5"/>
        <v>90.224995673063063</v>
      </c>
      <c r="K8" s="110">
        <f t="shared" ca="1" si="6"/>
        <v>16.166054289364268</v>
      </c>
      <c r="M8" s="110">
        <f t="shared" ca="1" si="1"/>
        <v>343.75000000000006</v>
      </c>
      <c r="N8" s="110">
        <f t="shared" ca="1" si="1"/>
        <v>367.80716773703227</v>
      </c>
      <c r="O8" s="110">
        <f t="shared" ca="1" si="7"/>
        <v>117.10785766895694</v>
      </c>
      <c r="P8" s="110">
        <f t="shared" ca="1" si="8"/>
        <v>43.048916285258144</v>
      </c>
      <c r="R8" s="110">
        <f t="shared" ca="1" si="2"/>
        <v>352.00000000000017</v>
      </c>
      <c r="S8" s="110">
        <f t="shared" ca="1" si="2"/>
        <v>367.80716773703227</v>
      </c>
      <c r="T8" s="110">
        <f t="shared" ca="1" si="9"/>
        <v>76.048999263460743</v>
      </c>
      <c r="U8" s="110">
        <f t="shared" ca="1" si="10"/>
        <v>1.9900578797619488</v>
      </c>
      <c r="W8" s="110">
        <f t="shared" ca="1" si="3"/>
        <v>352.3974607186168</v>
      </c>
      <c r="X8" s="110">
        <f t="shared" ca="1" si="3"/>
        <v>367.80716773703227</v>
      </c>
      <c r="Y8" s="110">
        <f t="shared" ca="1" si="11"/>
        <v>74.095279550841866</v>
      </c>
      <c r="Z8" s="110">
        <f t="shared" ca="1" si="12"/>
        <v>3.6338167143071587E-2</v>
      </c>
    </row>
    <row r="9" spans="1:26" x14ac:dyDescent="0.2">
      <c r="B9" s="163" t="s">
        <v>6</v>
      </c>
      <c r="C9" s="163" t="s">
        <v>72</v>
      </c>
      <c r="D9" s="162">
        <v>553</v>
      </c>
      <c r="E9" s="162">
        <v>530</v>
      </c>
      <c r="F9" s="110">
        <f t="shared" si="4"/>
        <v>73.544544940974774</v>
      </c>
      <c r="H9" s="110">
        <f t="shared" ca="1" si="0"/>
        <v>393.77008877325875</v>
      </c>
      <c r="I9" s="110">
        <f t="shared" ca="1" si="0"/>
        <v>416.24372555058881</v>
      </c>
      <c r="J9" s="110">
        <f t="shared" ca="1" si="5"/>
        <v>96.089998269225319</v>
      </c>
      <c r="K9" s="110">
        <f t="shared" ca="1" si="6"/>
        <v>22.545453328250545</v>
      </c>
      <c r="M9" s="110">
        <f t="shared" ca="1" si="1"/>
        <v>393.54796403996318</v>
      </c>
      <c r="N9" s="110">
        <f t="shared" ca="1" si="1"/>
        <v>411.2209148358358</v>
      </c>
      <c r="O9" s="110">
        <f t="shared" ca="1" si="7"/>
        <v>76.048999263460743</v>
      </c>
      <c r="P9" s="110">
        <f t="shared" ca="1" si="8"/>
        <v>2.5044543224859694</v>
      </c>
      <c r="R9" s="110">
        <f t="shared" ca="1" si="2"/>
        <v>393.54796403996318</v>
      </c>
      <c r="S9" s="110">
        <f t="shared" ca="1" si="2"/>
        <v>411.2209148358358</v>
      </c>
      <c r="T9" s="110">
        <f t="shared" ca="1" si="9"/>
        <v>76.048999263460743</v>
      </c>
      <c r="U9" s="110">
        <f t="shared" ca="1" si="10"/>
        <v>2.5044543224859694</v>
      </c>
      <c r="W9" s="110">
        <f t="shared" ca="1" si="3"/>
        <v>393.54796403996318</v>
      </c>
      <c r="X9" s="110">
        <f t="shared" ca="1" si="3"/>
        <v>411.22091483583574</v>
      </c>
      <c r="Y9" s="110">
        <f t="shared" ca="1" si="11"/>
        <v>76.048999263460388</v>
      </c>
      <c r="Z9" s="110">
        <f t="shared" ca="1" si="12"/>
        <v>2.5044543224856142</v>
      </c>
    </row>
    <row r="10" spans="1:26" x14ac:dyDescent="0.2">
      <c r="B10" s="163" t="s">
        <v>73</v>
      </c>
      <c r="C10" s="163" t="s">
        <v>8</v>
      </c>
      <c r="D10" s="162">
        <v>503</v>
      </c>
      <c r="E10" s="162">
        <v>483</v>
      </c>
      <c r="F10" s="110">
        <f t="shared" si="4"/>
        <v>70.242253163704603</v>
      </c>
      <c r="G10" s="7"/>
      <c r="H10" s="110">
        <f t="shared" ca="1" si="0"/>
        <v>468.27419124441241</v>
      </c>
      <c r="I10" s="110">
        <f t="shared" ca="1" si="0"/>
        <v>495.00000000000011</v>
      </c>
      <c r="J10" s="110">
        <f t="shared" ca="1" si="5"/>
        <v>96.089998269224949</v>
      </c>
      <c r="K10" s="110">
        <f t="shared" ca="1" si="6"/>
        <v>25.847745105520346</v>
      </c>
      <c r="M10" s="110">
        <f t="shared" ca="1" si="1"/>
        <v>459.75895967129026</v>
      </c>
      <c r="N10" s="110">
        <f t="shared" ca="1" si="1"/>
        <v>491.93495504995394</v>
      </c>
      <c r="O10" s="110">
        <f t="shared" ca="1" si="7"/>
        <v>117.10785766895694</v>
      </c>
      <c r="P10" s="110">
        <f t="shared" ca="1" si="8"/>
        <v>46.865604505252335</v>
      </c>
      <c r="R10" s="110">
        <f t="shared" ca="1" si="2"/>
        <v>470.79317470340129</v>
      </c>
      <c r="S10" s="110">
        <f t="shared" ca="1" si="2"/>
        <v>491.93495504995394</v>
      </c>
      <c r="T10" s="110">
        <f t="shared" ca="1" si="9"/>
        <v>76.048999263461113</v>
      </c>
      <c r="U10" s="110">
        <f t="shared" ca="1" si="10"/>
        <v>5.8067460997565092</v>
      </c>
      <c r="W10" s="110">
        <f t="shared" ca="1" si="3"/>
        <v>467.43752854374799</v>
      </c>
      <c r="X10" s="110">
        <f t="shared" ca="1" si="3"/>
        <v>491.93495504995394</v>
      </c>
      <c r="Y10" s="110">
        <f t="shared" ca="1" si="11"/>
        <v>88.432805590213519</v>
      </c>
      <c r="Z10" s="110">
        <f t="shared" ca="1" si="12"/>
        <v>18.190552426508916</v>
      </c>
    </row>
    <row r="11" spans="1:26" x14ac:dyDescent="0.2">
      <c r="B11" s="163" t="s">
        <v>2</v>
      </c>
      <c r="C11" s="163" t="s">
        <v>74</v>
      </c>
      <c r="D11" s="162">
        <v>443</v>
      </c>
      <c r="E11" s="162">
        <v>428</v>
      </c>
      <c r="F11" s="110">
        <f t="shared" si="4"/>
        <v>59.635082584645779</v>
      </c>
      <c r="G11" s="7"/>
      <c r="H11" s="110">
        <f t="shared" ca="1" si="0"/>
        <v>263.40423257498196</v>
      </c>
      <c r="I11" s="110">
        <f t="shared" ca="1" si="0"/>
        <v>277.49581703372587</v>
      </c>
      <c r="J11" s="110">
        <f t="shared" ca="1" si="5"/>
        <v>90.224995673063063</v>
      </c>
      <c r="K11" s="110">
        <f t="shared" ca="1" si="6"/>
        <v>30.589913088417283</v>
      </c>
      <c r="M11" s="110">
        <f t="shared" ca="1" si="1"/>
        <v>263.18138549493494</v>
      </c>
      <c r="N11" s="110">
        <f t="shared" ca="1" si="1"/>
        <v>275.00000000000011</v>
      </c>
      <c r="O11" s="110">
        <f t="shared" ca="1" si="7"/>
        <v>76.048999263460743</v>
      </c>
      <c r="P11" s="110">
        <f t="shared" ca="1" si="8"/>
        <v>16.413916678814964</v>
      </c>
      <c r="R11" s="110">
        <f t="shared" ca="1" si="2"/>
        <v>263.18138549493494</v>
      </c>
      <c r="S11" s="110">
        <f t="shared" ca="1" si="2"/>
        <v>275.00000000000011</v>
      </c>
      <c r="T11" s="110">
        <f t="shared" ca="1" si="9"/>
        <v>76.048999263460743</v>
      </c>
      <c r="U11" s="110">
        <f t="shared" ca="1" si="10"/>
        <v>16.413916678814964</v>
      </c>
      <c r="W11" s="110">
        <f t="shared" ca="1" si="3"/>
        <v>263.18138549493494</v>
      </c>
      <c r="X11" s="110">
        <f t="shared" ca="1" si="3"/>
        <v>274.14727655722385</v>
      </c>
      <c r="Y11" s="110">
        <f t="shared" ca="1" si="11"/>
        <v>70.672426864281974</v>
      </c>
      <c r="Z11" s="110">
        <f t="shared" ca="1" si="12"/>
        <v>11.037344279636194</v>
      </c>
    </row>
    <row r="12" spans="1:26" x14ac:dyDescent="0.2">
      <c r="B12" s="163" t="s">
        <v>3</v>
      </c>
      <c r="C12" s="163" t="s">
        <v>76</v>
      </c>
      <c r="D12" s="162">
        <v>411</v>
      </c>
      <c r="E12" s="162">
        <v>392</v>
      </c>
      <c r="F12" s="110">
        <f t="shared" si="4"/>
        <v>81.941687479769755</v>
      </c>
      <c r="G12" s="7"/>
      <c r="H12" s="110">
        <f ca="1">VLOOKUP(B12,INDIRECT("'"&amp;$H$3&amp;"'!Master_Frequencies"),2,FALSE)</f>
        <v>294.32876096317352</v>
      </c>
      <c r="I12" s="110">
        <f t="shared" ca="1" si="0"/>
        <v>312.1827941629416</v>
      </c>
      <c r="J12" s="110">
        <f t="shared" ca="1" si="5"/>
        <v>101.95500086538762</v>
      </c>
      <c r="K12" s="110">
        <f t="shared" ca="1" si="6"/>
        <v>20.013313385617863</v>
      </c>
      <c r="M12" s="110">
        <f t="shared" ca="1" si="1"/>
        <v>294.24573418962586</v>
      </c>
      <c r="N12" s="110">
        <f t="shared" ca="1" si="1"/>
        <v>307.45934690622119</v>
      </c>
      <c r="O12" s="110">
        <f t="shared" ca="1" si="7"/>
        <v>76.048999263460388</v>
      </c>
      <c r="P12" s="110">
        <f t="shared" ca="1" si="8"/>
        <v>-5.8926882163093666</v>
      </c>
      <c r="R12" s="110">
        <f t="shared" ca="1" si="2"/>
        <v>294.24573418962586</v>
      </c>
      <c r="S12" s="110">
        <f t="shared" ca="1" si="2"/>
        <v>307.45934690622119</v>
      </c>
      <c r="T12" s="110">
        <f t="shared" ca="1" si="9"/>
        <v>76.048999263460388</v>
      </c>
      <c r="U12" s="110">
        <f t="shared" ca="1" si="10"/>
        <v>-5.8926882163093666</v>
      </c>
      <c r="W12" s="110">
        <f t="shared" ca="1" si="3"/>
        <v>294.24573418962586</v>
      </c>
      <c r="X12" s="110">
        <f t="shared" ca="1" si="3"/>
        <v>310.01619967056735</v>
      </c>
      <c r="Y12" s="110">
        <f t="shared" ca="1" si="11"/>
        <v>90.386525302831956</v>
      </c>
      <c r="Z12" s="110">
        <f t="shared" ca="1" si="12"/>
        <v>8.4448378230622012</v>
      </c>
    </row>
    <row r="13" spans="1:26" x14ac:dyDescent="0.2">
      <c r="B13" s="163" t="s">
        <v>5</v>
      </c>
      <c r="C13" s="163" t="s">
        <v>70</v>
      </c>
      <c r="D13" s="162">
        <v>357</v>
      </c>
      <c r="E13" s="162">
        <v>342</v>
      </c>
      <c r="F13" s="110">
        <f t="shared" si="4"/>
        <v>74.313298971842073</v>
      </c>
      <c r="G13" s="7"/>
      <c r="H13" s="110">
        <f t="shared" ref="H13:H21" ca="1" si="13">VLOOKUP(B13,INDIRECT("'"&amp;$H$3&amp;"'!Master_Frequencies"),2,FALSE)</f>
        <v>351.20564343330932</v>
      </c>
      <c r="I13" s="110">
        <f t="shared" ca="1" si="0"/>
        <v>369.99442271163451</v>
      </c>
      <c r="J13" s="110">
        <f t="shared" ca="1" si="5"/>
        <v>90.224995673063063</v>
      </c>
      <c r="K13" s="110">
        <f t="shared" ca="1" si="6"/>
        <v>15.91169670122099</v>
      </c>
      <c r="M13" s="110">
        <f t="shared" ca="1" si="1"/>
        <v>343.75000000000006</v>
      </c>
      <c r="N13" s="110">
        <f t="shared" ca="1" si="1"/>
        <v>367.80716773703227</v>
      </c>
      <c r="O13" s="110">
        <f t="shared" ca="1" si="7"/>
        <v>117.10785766895694</v>
      </c>
      <c r="P13" s="110">
        <f t="shared" ca="1" si="8"/>
        <v>42.794558697114866</v>
      </c>
      <c r="R13" s="110">
        <f t="shared" ca="1" si="2"/>
        <v>352.00000000000017</v>
      </c>
      <c r="S13" s="110">
        <f t="shared" ca="1" si="2"/>
        <v>367.80716773703227</v>
      </c>
      <c r="T13" s="110">
        <f t="shared" ca="1" si="9"/>
        <v>76.048999263460743</v>
      </c>
      <c r="U13" s="110">
        <f t="shared" ca="1" si="10"/>
        <v>1.7357002916186701</v>
      </c>
      <c r="W13" s="110">
        <f t="shared" ca="1" si="3"/>
        <v>352.3974607186168</v>
      </c>
      <c r="X13" s="110">
        <f t="shared" ca="1" si="3"/>
        <v>367.80716773703227</v>
      </c>
      <c r="Y13" s="110">
        <f t="shared" ca="1" si="11"/>
        <v>74.095279550841866</v>
      </c>
      <c r="Z13" s="110">
        <f t="shared" ca="1" si="12"/>
        <v>-0.2180194210002071</v>
      </c>
    </row>
    <row r="14" spans="1:26" x14ac:dyDescent="0.2">
      <c r="B14" s="163" t="s">
        <v>6</v>
      </c>
      <c r="C14" s="163" t="s">
        <v>72</v>
      </c>
      <c r="D14" s="162">
        <v>326</v>
      </c>
      <c r="E14" s="162">
        <v>312</v>
      </c>
      <c r="F14" s="110">
        <f t="shared" si="4"/>
        <v>75.991122442595156</v>
      </c>
      <c r="G14" s="7"/>
      <c r="H14" s="110">
        <f t="shared" ca="1" si="13"/>
        <v>393.77008877325875</v>
      </c>
      <c r="I14" s="110">
        <f t="shared" ca="1" si="0"/>
        <v>416.24372555058881</v>
      </c>
      <c r="J14" s="110">
        <f t="shared" ca="1" si="5"/>
        <v>96.089998269225319</v>
      </c>
      <c r="K14" s="110">
        <f t="shared" ca="1" si="6"/>
        <v>20.098875826630163</v>
      </c>
      <c r="M14" s="110">
        <f t="shared" ca="1" si="1"/>
        <v>393.54796403996318</v>
      </c>
      <c r="N14" s="110">
        <f t="shared" ca="1" si="1"/>
        <v>411.2209148358358</v>
      </c>
      <c r="O14" s="110">
        <f t="shared" ca="1" si="7"/>
        <v>76.048999263460743</v>
      </c>
      <c r="P14" s="110">
        <f t="shared" ca="1" si="8"/>
        <v>5.787682086558732E-2</v>
      </c>
      <c r="R14" s="110">
        <f t="shared" ca="1" si="2"/>
        <v>393.54796403996318</v>
      </c>
      <c r="S14" s="110">
        <f t="shared" ca="1" si="2"/>
        <v>411.2209148358358</v>
      </c>
      <c r="T14" s="110">
        <f t="shared" ca="1" si="9"/>
        <v>76.048999263460743</v>
      </c>
      <c r="U14" s="110">
        <f t="shared" ca="1" si="10"/>
        <v>5.787682086558732E-2</v>
      </c>
      <c r="W14" s="110">
        <f t="shared" ca="1" si="3"/>
        <v>393.54796403996318</v>
      </c>
      <c r="X14" s="110">
        <f t="shared" ca="1" si="3"/>
        <v>411.22091483583574</v>
      </c>
      <c r="Y14" s="110">
        <f t="shared" ca="1" si="11"/>
        <v>76.048999263460388</v>
      </c>
      <c r="Z14" s="110">
        <f t="shared" ca="1" si="12"/>
        <v>5.7876820865232048E-2</v>
      </c>
    </row>
    <row r="15" spans="1:26" x14ac:dyDescent="0.2">
      <c r="B15" s="163" t="s">
        <v>7</v>
      </c>
      <c r="C15" s="163" t="s">
        <v>73</v>
      </c>
      <c r="D15" s="162">
        <v>296</v>
      </c>
      <c r="E15" s="162">
        <v>281</v>
      </c>
      <c r="F15" s="110">
        <f t="shared" si="4"/>
        <v>90.032454489628321</v>
      </c>
      <c r="G15" s="7"/>
      <c r="H15" s="110">
        <f t="shared" ca="1" si="13"/>
        <v>440.00000000000006</v>
      </c>
      <c r="I15" s="110">
        <f t="shared" ca="1" si="0"/>
        <v>468.27419124441241</v>
      </c>
      <c r="J15" s="110">
        <f t="shared" ca="1" si="5"/>
        <v>107.82000346154977</v>
      </c>
      <c r="K15" s="110">
        <f t="shared" ca="1" si="6"/>
        <v>17.787548971921453</v>
      </c>
      <c r="M15" s="110">
        <f t="shared" ca="1" si="1"/>
        <v>440.00000000000023</v>
      </c>
      <c r="N15" s="110">
        <f t="shared" ca="1" si="1"/>
        <v>459.75895967129026</v>
      </c>
      <c r="O15" s="110">
        <f t="shared" ca="1" si="7"/>
        <v>76.048999263460388</v>
      </c>
      <c r="P15" s="110">
        <f t="shared" ca="1" si="8"/>
        <v>-13.983455226167933</v>
      </c>
      <c r="R15" s="110">
        <f t="shared" ca="1" si="2"/>
        <v>440.00000000000023</v>
      </c>
      <c r="S15" s="110">
        <f t="shared" ca="1" si="2"/>
        <v>470.79317470340129</v>
      </c>
      <c r="T15" s="110">
        <f t="shared" ca="1" si="9"/>
        <v>117.10785766895623</v>
      </c>
      <c r="U15" s="110">
        <f t="shared" ca="1" si="10"/>
        <v>27.075403179327907</v>
      </c>
      <c r="W15" s="110">
        <f t="shared" ca="1" si="3"/>
        <v>440.00000000000023</v>
      </c>
      <c r="X15" s="110">
        <f t="shared" ca="1" si="3"/>
        <v>467.43752854374799</v>
      </c>
      <c r="Y15" s="110">
        <f t="shared" ca="1" si="11"/>
        <v>104.72405134220378</v>
      </c>
      <c r="Z15" s="110">
        <f t="shared" ca="1" si="12"/>
        <v>14.691596852575458</v>
      </c>
    </row>
    <row r="16" spans="1:26" x14ac:dyDescent="0.2">
      <c r="B16" s="163" t="s">
        <v>2</v>
      </c>
      <c r="C16" s="163" t="s">
        <v>74</v>
      </c>
      <c r="D16" s="162">
        <v>253</v>
      </c>
      <c r="E16" s="162">
        <v>241</v>
      </c>
      <c r="F16" s="110">
        <f t="shared" si="4"/>
        <v>84.125086157218291</v>
      </c>
      <c r="G16" s="7"/>
      <c r="H16" s="110">
        <f t="shared" ca="1" si="13"/>
        <v>263.40423257498196</v>
      </c>
      <c r="I16" s="110">
        <f t="shared" ca="1" si="0"/>
        <v>277.49581703372587</v>
      </c>
      <c r="J16" s="110">
        <f t="shared" ca="1" si="5"/>
        <v>90.224995673063063</v>
      </c>
      <c r="K16" s="110">
        <f t="shared" ca="1" si="6"/>
        <v>6.0999095158447716</v>
      </c>
      <c r="M16" s="110">
        <f t="shared" ca="1" si="1"/>
        <v>263.18138549493494</v>
      </c>
      <c r="N16" s="110">
        <f t="shared" ca="1" si="1"/>
        <v>275.00000000000011</v>
      </c>
      <c r="O16" s="110">
        <f t="shared" ca="1" si="7"/>
        <v>76.048999263460743</v>
      </c>
      <c r="P16" s="110">
        <f t="shared" ca="1" si="8"/>
        <v>-8.0760868937575481</v>
      </c>
      <c r="R16" s="110">
        <f t="shared" ca="1" si="2"/>
        <v>263.18138549493494</v>
      </c>
      <c r="S16" s="110">
        <f t="shared" ca="1" si="2"/>
        <v>275.00000000000011</v>
      </c>
      <c r="T16" s="110">
        <f t="shared" ca="1" si="9"/>
        <v>76.048999263460743</v>
      </c>
      <c r="U16" s="110">
        <f t="shared" ca="1" si="10"/>
        <v>-8.0760868937575481</v>
      </c>
      <c r="W16" s="110">
        <f t="shared" ca="1" si="3"/>
        <v>263.18138549493494</v>
      </c>
      <c r="X16" s="110">
        <f t="shared" ca="1" si="3"/>
        <v>274.14727655722385</v>
      </c>
      <c r="Y16" s="110">
        <f t="shared" ca="1" si="11"/>
        <v>70.672426864281974</v>
      </c>
      <c r="Z16" s="110">
        <f t="shared" ca="1" si="12"/>
        <v>-13.452659292936318</v>
      </c>
    </row>
    <row r="17" spans="2:26" x14ac:dyDescent="0.2">
      <c r="B17" s="163" t="s">
        <v>3</v>
      </c>
      <c r="C17" s="163" t="s">
        <v>76</v>
      </c>
      <c r="D17" s="162">
        <v>226</v>
      </c>
      <c r="E17" s="162">
        <v>213</v>
      </c>
      <c r="F17" s="110">
        <f t="shared" si="4"/>
        <v>102.56321062721935</v>
      </c>
      <c r="G17" s="7"/>
      <c r="H17" s="110">
        <f t="shared" ca="1" si="13"/>
        <v>294.32876096317352</v>
      </c>
      <c r="I17" s="110">
        <f t="shared" ca="1" si="0"/>
        <v>312.1827941629416</v>
      </c>
      <c r="J17" s="110">
        <f t="shared" ca="1" si="5"/>
        <v>101.95500086538762</v>
      </c>
      <c r="K17" s="110">
        <f t="shared" ca="1" si="6"/>
        <v>-0.60820976183173059</v>
      </c>
      <c r="M17" s="110">
        <f t="shared" ca="1" si="1"/>
        <v>294.24573418962586</v>
      </c>
      <c r="N17" s="110">
        <f t="shared" ca="1" si="1"/>
        <v>307.45934690622119</v>
      </c>
      <c r="O17" s="110">
        <f t="shared" ca="1" si="7"/>
        <v>76.048999263460388</v>
      </c>
      <c r="P17" s="110">
        <f t="shared" ca="1" si="8"/>
        <v>-26.51421136375896</v>
      </c>
      <c r="R17" s="110">
        <f t="shared" ca="1" si="2"/>
        <v>294.24573418962586</v>
      </c>
      <c r="S17" s="110">
        <f t="shared" ca="1" si="2"/>
        <v>307.45934690622119</v>
      </c>
      <c r="T17" s="110">
        <f t="shared" ca="1" si="9"/>
        <v>76.048999263460388</v>
      </c>
      <c r="U17" s="110">
        <f t="shared" ca="1" si="10"/>
        <v>-26.51421136375896</v>
      </c>
      <c r="W17" s="110">
        <f t="shared" ca="1" si="3"/>
        <v>294.24573418962586</v>
      </c>
      <c r="X17" s="110">
        <f t="shared" ca="1" si="3"/>
        <v>310.01619967056735</v>
      </c>
      <c r="Y17" s="110">
        <f t="shared" ca="1" si="11"/>
        <v>90.386525302831956</v>
      </c>
      <c r="Z17" s="110">
        <f t="shared" ca="1" si="12"/>
        <v>-12.176685324387392</v>
      </c>
    </row>
    <row r="18" spans="2:26" x14ac:dyDescent="0.2">
      <c r="B18" s="163" t="s">
        <v>5</v>
      </c>
      <c r="C18" s="163" t="s">
        <v>70</v>
      </c>
      <c r="D18" s="162">
        <v>189</v>
      </c>
      <c r="E18" s="162">
        <v>178</v>
      </c>
      <c r="F18" s="110">
        <f t="shared" si="4"/>
        <v>103.81079190560995</v>
      </c>
      <c r="G18" s="7"/>
      <c r="H18" s="110">
        <f t="shared" ca="1" si="13"/>
        <v>351.20564343330932</v>
      </c>
      <c r="I18" s="110">
        <f t="shared" ca="1" si="0"/>
        <v>369.99442271163451</v>
      </c>
      <c r="J18" s="110">
        <f t="shared" ca="1" si="5"/>
        <v>90.224995673063063</v>
      </c>
      <c r="K18" s="110">
        <f t="shared" ca="1" si="6"/>
        <v>-13.585796232546883</v>
      </c>
      <c r="M18" s="110">
        <f t="shared" ca="1" si="1"/>
        <v>343.75000000000006</v>
      </c>
      <c r="N18" s="110">
        <f t="shared" ca="1" si="1"/>
        <v>367.80716773703227</v>
      </c>
      <c r="O18" s="110">
        <f t="shared" ca="1" si="7"/>
        <v>117.10785766895694</v>
      </c>
      <c r="P18" s="110">
        <f t="shared" ca="1" si="8"/>
        <v>13.297065763346993</v>
      </c>
      <c r="R18" s="110">
        <f t="shared" ca="1" si="2"/>
        <v>352.00000000000017</v>
      </c>
      <c r="S18" s="110">
        <f t="shared" ca="1" si="2"/>
        <v>367.80716773703227</v>
      </c>
      <c r="T18" s="110">
        <f t="shared" ca="1" si="9"/>
        <v>76.048999263460743</v>
      </c>
      <c r="U18" s="110">
        <f t="shared" ca="1" si="10"/>
        <v>-27.761792642149203</v>
      </c>
      <c r="W18" s="110">
        <f t="shared" ca="1" si="3"/>
        <v>352.3974607186168</v>
      </c>
      <c r="X18" s="110">
        <f t="shared" ca="1" si="3"/>
        <v>367.80716773703227</v>
      </c>
      <c r="Y18" s="110">
        <f t="shared" ca="1" si="11"/>
        <v>74.095279550841866</v>
      </c>
      <c r="Z18" s="110">
        <f t="shared" ca="1" si="12"/>
        <v>-29.71551235476808</v>
      </c>
    </row>
    <row r="19" spans="2:26" x14ac:dyDescent="0.2">
      <c r="B19" s="163" t="s">
        <v>6</v>
      </c>
      <c r="C19" s="163" t="s">
        <v>72</v>
      </c>
      <c r="D19" s="162">
        <v>167</v>
      </c>
      <c r="E19" s="162">
        <v>156</v>
      </c>
      <c r="F19" s="110">
        <f t="shared" si="4"/>
        <v>117.96248833416463</v>
      </c>
      <c r="G19" s="7"/>
      <c r="H19" s="110">
        <f t="shared" ca="1" si="13"/>
        <v>393.77008877325875</v>
      </c>
      <c r="I19" s="110">
        <f t="shared" ca="1" si="0"/>
        <v>416.24372555058881</v>
      </c>
      <c r="J19" s="110">
        <f t="shared" ca="1" si="5"/>
        <v>96.089998269225319</v>
      </c>
      <c r="K19" s="110">
        <f t="shared" ca="1" si="6"/>
        <v>-21.872490064939313</v>
      </c>
      <c r="M19" s="110">
        <f t="shared" ca="1" si="1"/>
        <v>393.54796403996318</v>
      </c>
      <c r="N19" s="110">
        <f t="shared" ca="1" si="1"/>
        <v>411.2209148358358</v>
      </c>
      <c r="O19" s="110">
        <f t="shared" ca="1" si="7"/>
        <v>76.048999263460743</v>
      </c>
      <c r="P19" s="110">
        <f t="shared" ca="1" si="8"/>
        <v>-41.913489070703889</v>
      </c>
      <c r="R19" s="110">
        <f t="shared" ca="1" si="2"/>
        <v>393.54796403996318</v>
      </c>
      <c r="S19" s="110">
        <f t="shared" ca="1" si="2"/>
        <v>411.2209148358358</v>
      </c>
      <c r="T19" s="110">
        <f t="shared" ca="1" si="9"/>
        <v>76.048999263460743</v>
      </c>
      <c r="U19" s="110">
        <f t="shared" ca="1" si="10"/>
        <v>-41.913489070703889</v>
      </c>
      <c r="W19" s="110">
        <f t="shared" ca="1" si="3"/>
        <v>393.54796403996318</v>
      </c>
      <c r="X19" s="110">
        <f t="shared" ca="1" si="3"/>
        <v>411.22091483583574</v>
      </c>
      <c r="Y19" s="110">
        <f t="shared" ca="1" si="11"/>
        <v>76.048999263460388</v>
      </c>
      <c r="Z19" s="110">
        <f t="shared" ca="1" si="12"/>
        <v>-41.913489070704244</v>
      </c>
    </row>
    <row r="20" spans="2:26" x14ac:dyDescent="0.2">
      <c r="B20" s="163" t="s">
        <v>7</v>
      </c>
      <c r="C20" s="163" t="s">
        <v>73</v>
      </c>
      <c r="D20" s="162">
        <v>144</v>
      </c>
      <c r="E20" s="162">
        <v>135</v>
      </c>
      <c r="F20" s="110">
        <f t="shared" si="4"/>
        <v>111.73128526977776</v>
      </c>
      <c r="G20" s="7"/>
      <c r="H20" s="110">
        <f t="shared" ca="1" si="13"/>
        <v>440.00000000000006</v>
      </c>
      <c r="I20" s="110">
        <f t="shared" ca="1" si="0"/>
        <v>468.27419124441241</v>
      </c>
      <c r="J20" s="110">
        <f t="shared" ca="1" si="5"/>
        <v>107.82000346154977</v>
      </c>
      <c r="K20" s="110">
        <f t="shared" ca="1" si="6"/>
        <v>-3.911281808227983</v>
      </c>
      <c r="M20" s="110">
        <f t="shared" ca="1" si="1"/>
        <v>440.00000000000023</v>
      </c>
      <c r="N20" s="110">
        <f t="shared" ca="1" si="1"/>
        <v>459.75895967129026</v>
      </c>
      <c r="O20" s="110">
        <f t="shared" ca="1" si="7"/>
        <v>76.048999263460388</v>
      </c>
      <c r="P20" s="110">
        <f t="shared" ca="1" si="8"/>
        <v>-35.682286006317369</v>
      </c>
      <c r="R20" s="110">
        <f t="shared" ca="1" si="2"/>
        <v>440.00000000000023</v>
      </c>
      <c r="S20" s="110">
        <f t="shared" ca="1" si="2"/>
        <v>470.79317470340129</v>
      </c>
      <c r="T20" s="110">
        <f t="shared" ca="1" si="9"/>
        <v>117.10785766895623</v>
      </c>
      <c r="U20" s="110">
        <f t="shared" ca="1" si="10"/>
        <v>5.3765723991784711</v>
      </c>
      <c r="W20" s="110">
        <f t="shared" ca="1" si="3"/>
        <v>440.00000000000023</v>
      </c>
      <c r="X20" s="110">
        <f t="shared" ca="1" si="3"/>
        <v>467.43752854374799</v>
      </c>
      <c r="Y20" s="110">
        <f t="shared" ca="1" si="11"/>
        <v>104.72405134220378</v>
      </c>
      <c r="Z20" s="110">
        <f t="shared" ca="1" si="12"/>
        <v>-7.0072339275739779</v>
      </c>
    </row>
    <row r="21" spans="2:26" x14ac:dyDescent="0.2">
      <c r="B21" s="163" t="s">
        <v>8</v>
      </c>
      <c r="C21" s="163" t="s">
        <v>78</v>
      </c>
      <c r="D21" s="162">
        <v>124</v>
      </c>
      <c r="E21" s="162">
        <v>115</v>
      </c>
      <c r="F21" s="110">
        <f t="shared" si="4"/>
        <v>130.44751133099999</v>
      </c>
      <c r="G21" s="7"/>
      <c r="H21" s="110">
        <f t="shared" ca="1" si="13"/>
        <v>495.00000000000011</v>
      </c>
      <c r="I21" s="110">
        <f t="shared" ca="1" si="0"/>
        <v>526.80846514996392</v>
      </c>
      <c r="J21" s="110">
        <f t="shared" ca="1" si="5"/>
        <v>107.82000346154977</v>
      </c>
      <c r="K21" s="110">
        <f t="shared" ca="1" si="6"/>
        <v>-22.627507869450213</v>
      </c>
      <c r="M21" s="110">
        <f t="shared" ca="1" si="1"/>
        <v>491.93495504995394</v>
      </c>
      <c r="N21" s="110">
        <f t="shared" ca="1" si="1"/>
        <v>514.02614354479465</v>
      </c>
      <c r="O21" s="110">
        <f t="shared" ca="1" si="7"/>
        <v>76.048999263460388</v>
      </c>
      <c r="P21" s="110">
        <f t="shared" ca="1" si="8"/>
        <v>-54.398512067539599</v>
      </c>
      <c r="R21" s="110">
        <f t="shared" ca="1" si="2"/>
        <v>491.93495504995394</v>
      </c>
      <c r="S21" s="110">
        <f t="shared" ca="1" si="2"/>
        <v>526.36277098986989</v>
      </c>
      <c r="T21" s="110">
        <f t="shared" ca="1" si="9"/>
        <v>117.1078576689566</v>
      </c>
      <c r="U21" s="110">
        <f t="shared" ca="1" si="10"/>
        <v>-13.339653662043389</v>
      </c>
      <c r="W21" s="110">
        <f t="shared" ca="1" si="3"/>
        <v>491.93495504995394</v>
      </c>
      <c r="X21" s="110">
        <f t="shared" ca="1" si="3"/>
        <v>526.9571133910365</v>
      </c>
      <c r="Y21" s="110">
        <f t="shared" ca="1" si="11"/>
        <v>119.0615773815753</v>
      </c>
      <c r="Z21" s="110">
        <f t="shared" ca="1" si="12"/>
        <v>-11.385933949424683</v>
      </c>
    </row>
    <row r="22" spans="2:26" x14ac:dyDescent="0.2">
      <c r="B22" s="119"/>
      <c r="C22" s="119"/>
      <c r="H22" s="288" t="str">
        <f ca="1">_xlfn.CONCAT($F$5," vs. ",H4)</f>
        <v>Bavington, Donat, L 12, ~1700 Fret Size cents vs. Werckmeister III</v>
      </c>
      <c r="I22" s="288"/>
      <c r="J22" s="288"/>
      <c r="K22" s="288"/>
      <c r="M22" s="278" t="str">
        <f ca="1">_xlfn.CONCAT($F$5," vs. ",M4)</f>
        <v>Bavington, Donat, L 12, ~1700 Fret Size cents vs. Meantone Quarter Comma</v>
      </c>
      <c r="N22" s="278"/>
      <c r="O22" s="278"/>
      <c r="P22" s="278"/>
      <c r="Q22" s="117"/>
      <c r="R22" s="288" t="str">
        <f ca="1">_xlfn.CONCAT($F$5," vs. ",R4)</f>
        <v>Bavington, Donat, L 12, ~1700 Fret Size cents vs. Meantone Octave with Matching Octaves</v>
      </c>
      <c r="S22" s="288"/>
      <c r="T22" s="288"/>
      <c r="U22" s="288"/>
      <c r="W22" s="288" t="str">
        <f ca="1">_xlfn.CONCAT($F$5," vs. ",W4)</f>
        <v>Bavington, Donat, L 12, ~1700 Fret Size cents vs. Meantone by Bavington for Donat Instrument Leipzig 12</v>
      </c>
      <c r="X22" s="288"/>
      <c r="Y22" s="288"/>
      <c r="Z22" s="288"/>
    </row>
    <row r="23" spans="2:26" x14ac:dyDescent="0.2">
      <c r="B23" s="80" t="s">
        <v>63</v>
      </c>
      <c r="J23" s="119" t="s">
        <v>94</v>
      </c>
      <c r="K23" s="110">
        <f ca="1">SQRT(SUMSQ(K6:K21)/COUNT(K6:K21))</f>
        <v>22.24437658778065</v>
      </c>
      <c r="O23" s="119" t="s">
        <v>94</v>
      </c>
      <c r="P23" s="110">
        <f ca="1">SQRT(SUMSQ(P6:P21)/COUNT(P6:P21))</f>
        <v>33.257328487147916</v>
      </c>
      <c r="T23" s="119" t="s">
        <v>94</v>
      </c>
      <c r="U23" s="110">
        <f ca="1">SQRT(SUMSQ(U6:U21)/COUNT(U6:U21))</f>
        <v>23.667484516668974</v>
      </c>
      <c r="Y23" s="119" t="s">
        <v>94</v>
      </c>
      <c r="Z23" s="110">
        <f ca="1">SQRT(SUMSQ(Z6:Z21)/COUNT(Z6:Z21))</f>
        <v>20.125731204877045</v>
      </c>
    </row>
    <row r="24" spans="2:26" x14ac:dyDescent="0.2">
      <c r="B24" s="286"/>
      <c r="C24" s="286"/>
      <c r="D24" s="286"/>
      <c r="E24" s="286"/>
      <c r="X24" s="7"/>
    </row>
    <row r="26" spans="2:26" ht="19" x14ac:dyDescent="0.2">
      <c r="D26" s="7"/>
      <c r="N26" s="120"/>
      <c r="P26" s="7"/>
      <c r="R26" s="7"/>
    </row>
    <row r="27" spans="2:26" x14ac:dyDescent="0.2">
      <c r="D27" s="7"/>
      <c r="P27" s="7"/>
      <c r="R27" s="7"/>
    </row>
    <row r="28" spans="2:26" x14ac:dyDescent="0.2">
      <c r="D28" s="7"/>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D37" s="7"/>
      <c r="P37" s="7"/>
      <c r="R37" s="7"/>
    </row>
    <row r="38" spans="4:18" x14ac:dyDescent="0.2">
      <c r="P38" s="7"/>
      <c r="R38" s="7"/>
    </row>
  </sheetData>
  <sheetProtection sheet="1" objects="1" scenarios="1" formatCells="0"/>
  <mergeCells count="15">
    <mergeCell ref="W3:Z3"/>
    <mergeCell ref="B1:H1"/>
    <mergeCell ref="B3:E3"/>
    <mergeCell ref="H3:K3"/>
    <mergeCell ref="M3:P3"/>
    <mergeCell ref="R3:U3"/>
    <mergeCell ref="B24:E24"/>
    <mergeCell ref="H4:K4"/>
    <mergeCell ref="M4:P4"/>
    <mergeCell ref="R4:U4"/>
    <mergeCell ref="W4:Z4"/>
    <mergeCell ref="H22:K22"/>
    <mergeCell ref="M22:P22"/>
    <mergeCell ref="R22:U22"/>
    <mergeCell ref="W22:Z22"/>
  </mergeCells>
  <conditionalFormatting sqref="A1:XFD1048576">
    <cfRule type="expression" dxfId="112" priority="1">
      <formula>CELL("protect",A1)=0</formula>
    </cfRule>
  </conditionalFormatting>
  <conditionalFormatting sqref="A5:XFD21 B25:F33 G25:G37 I25:L37 C34:F34 B35:F37 B38:L1048576">
    <cfRule type="expression" dxfId="111" priority="2">
      <formula>_xlfn.ISFORMULA(A5)</formula>
    </cfRule>
  </conditionalFormatting>
  <conditionalFormatting sqref="B3:B4 F3:H4 L3:M4 Q3:R4 V3:W4 AA3:XFD4 L22:M22 R22 B22:H23 V22:W23 AA22:XFD23 J23:M23 O23:R23 T23:U23 Y23:Z23 B24 F24:L24 M24:Q25 R24:XFD1048576 M26 O26:Q26 M27:Q1048576">
    <cfRule type="expression" dxfId="110" priority="3">
      <formula>_xlfn.ISFORMULA(B3)</formula>
    </cfRule>
  </conditionalFormatting>
  <hyperlinks>
    <hyperlink ref="B23" location="Overview!A1" display="Back to Overview" xr:uid="{74B16D39-7BF7-0C43-859A-B41DCF42C3C4}"/>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BEC3-4F45-3A4D-97AD-8F60017A8218}">
  <sheetPr>
    <tabColor theme="9" tint="0.59999389629810485"/>
  </sheetPr>
  <dimension ref="A1:Z38"/>
  <sheetViews>
    <sheetView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596</v>
      </c>
      <c r="C1" s="289"/>
      <c r="D1" s="289"/>
      <c r="E1" s="289"/>
      <c r="F1" s="289"/>
      <c r="G1" s="289"/>
      <c r="H1" s="28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Equal Temperament</v>
      </c>
      <c r="X4" s="287"/>
      <c r="Y4" s="287"/>
      <c r="Z4" s="287"/>
    </row>
    <row r="5" spans="1:26" s="115" customFormat="1" ht="51" x14ac:dyDescent="0.2">
      <c r="B5" s="116" t="s">
        <v>56</v>
      </c>
      <c r="C5" s="116" t="s">
        <v>57</v>
      </c>
      <c r="D5" s="115" t="s">
        <v>25</v>
      </c>
      <c r="E5" s="115" t="s">
        <v>26</v>
      </c>
      <c r="F5" s="115" t="str" cm="1">
        <f t="array" aca="1" ref="F5" ca="1">_xlfn.CONCAT(_xlfn.TEXTAFTER(CELL("filename",B3),"]")," Fret Size cents")</f>
        <v>Wahlström, 1752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2</v>
      </c>
      <c r="C6" s="163" t="s">
        <v>74</v>
      </c>
      <c r="D6" s="162">
        <v>695</v>
      </c>
      <c r="E6" s="162">
        <v>664</v>
      </c>
      <c r="F6" s="110">
        <f>1200*LOG(D6/E6,2)</f>
        <v>78.995683516733891</v>
      </c>
      <c r="H6" s="110">
        <f t="shared" ref="H6:I21" ca="1" si="0">VLOOKUP(B6,INDIRECT("'"&amp;$H$3&amp;"'!Master_Frequencies"),2,FALSE)</f>
        <v>263.40423257498196</v>
      </c>
      <c r="I6" s="110">
        <f ca="1">VLOOKUP(C6,INDIRECT("'"&amp;$H$3&amp;"'!Master_Frequencies"),2,FALSE)</f>
        <v>277.49581703372587</v>
      </c>
      <c r="J6" s="110">
        <f ca="1">LOG(I6/H6,2)*1200</f>
        <v>90.224995673063063</v>
      </c>
      <c r="K6" s="110">
        <f ca="1">J6-F6</f>
        <v>11.229312156329172</v>
      </c>
      <c r="M6" s="110">
        <f t="shared" ref="M6:N21" ca="1" si="1">VLOOKUP(B6,INDIRECT("'"&amp;$M$3&amp;"'!Master_Frequencies"),2,FALSE)</f>
        <v>263.18138549493494</v>
      </c>
      <c r="N6" s="110">
        <f t="shared" ca="1" si="1"/>
        <v>275.00000000000011</v>
      </c>
      <c r="O6" s="110">
        <f ca="1">LOG(N6/M6,2)*1200</f>
        <v>76.048999263460743</v>
      </c>
      <c r="P6" s="110">
        <f ca="1">O6-F6</f>
        <v>-2.9466842532731476</v>
      </c>
      <c r="R6" s="110">
        <f t="shared" ref="R6:S21" ca="1" si="2">VLOOKUP(B6,INDIRECT("'"&amp;$R$3&amp;"'!Master_Frequencies"),2,FALSE)</f>
        <v>263.18138549493494</v>
      </c>
      <c r="S6" s="110">
        <f t="shared" ca="1" si="2"/>
        <v>275.00000000000011</v>
      </c>
      <c r="T6" s="110">
        <f ca="1">LOG(S6/R6,2)*1200</f>
        <v>76.048999263460743</v>
      </c>
      <c r="U6" s="110">
        <f ca="1">T6-F6</f>
        <v>-2.9466842532731476</v>
      </c>
      <c r="W6" s="110">
        <f t="shared" ref="W6:X21" ca="1" si="3">VLOOKUP(B6,INDIRECT("'"&amp;$W$3&amp;"'!Master_Frequencies"),2,FALSE)</f>
        <v>261.62556530059862</v>
      </c>
      <c r="X6" s="110">
        <f t="shared" ca="1" si="3"/>
        <v>277.18263097687208</v>
      </c>
      <c r="Y6" s="110">
        <f ca="1">LOG(X6/W6,2)*1200</f>
        <v>100.00000000000007</v>
      </c>
      <c r="Z6" s="110">
        <f ca="1">Y6-F6</f>
        <v>21.00431648326618</v>
      </c>
    </row>
    <row r="7" spans="1:26" x14ac:dyDescent="0.2">
      <c r="B7" s="163" t="s">
        <v>3</v>
      </c>
      <c r="C7" s="163" t="s">
        <v>76</v>
      </c>
      <c r="D7" s="162">
        <v>644</v>
      </c>
      <c r="E7" s="162">
        <v>601</v>
      </c>
      <c r="F7" s="110">
        <f t="shared" ref="F7:F21" si="4">1200*LOG(D7/E7,2)</f>
        <v>119.63483688411776</v>
      </c>
      <c r="H7" s="110">
        <f t="shared" ca="1" si="0"/>
        <v>294.32876096317352</v>
      </c>
      <c r="I7" s="110">
        <f t="shared" ca="1" si="0"/>
        <v>312.1827941629416</v>
      </c>
      <c r="J7" s="110">
        <f t="shared" ref="J7:J21" ca="1" si="5">LOG(I7/H7,2)*1200</f>
        <v>101.95500086538762</v>
      </c>
      <c r="K7" s="110">
        <f t="shared" ref="K7:K21" ca="1" si="6">J7-F7</f>
        <v>-17.679836018730143</v>
      </c>
      <c r="M7" s="110">
        <f t="shared" ca="1" si="1"/>
        <v>294.24573418962586</v>
      </c>
      <c r="N7" s="110">
        <f t="shared" ca="1" si="1"/>
        <v>307.45934690622119</v>
      </c>
      <c r="O7" s="110">
        <f t="shared" ref="O7:O21" ca="1" si="7">LOG(N7/M7,2)*1200</f>
        <v>76.048999263460388</v>
      </c>
      <c r="P7" s="110">
        <f t="shared" ref="P7:P21" ca="1" si="8">O7-F7</f>
        <v>-43.585837620657372</v>
      </c>
      <c r="R7" s="110">
        <f t="shared" ca="1" si="2"/>
        <v>294.24573418962586</v>
      </c>
      <c r="S7" s="110">
        <f t="shared" ca="1" si="2"/>
        <v>307.45934690622119</v>
      </c>
      <c r="T7" s="110">
        <f t="shared" ref="T7:T21" ca="1" si="9">LOG(S7/R7,2)*1200</f>
        <v>76.048999263460388</v>
      </c>
      <c r="U7" s="110">
        <f t="shared" ref="U7:U21" ca="1" si="10">T7-F7</f>
        <v>-43.585837620657372</v>
      </c>
      <c r="W7" s="110">
        <f t="shared" ca="1" si="3"/>
        <v>293.66476791740757</v>
      </c>
      <c r="X7" s="110">
        <f t="shared" ca="1" si="3"/>
        <v>311.12698372208087</v>
      </c>
      <c r="Y7" s="110">
        <f t="shared" ref="Y7:Y21" ca="1" si="11">LOG(X7/W7,2)*1200</f>
        <v>99.99999999999973</v>
      </c>
      <c r="Z7" s="110">
        <f t="shared" ref="Z7:Z21" ca="1" si="12">Y7-F7</f>
        <v>-19.63483688411803</v>
      </c>
    </row>
    <row r="8" spans="1:26" x14ac:dyDescent="0.2">
      <c r="B8" s="163" t="s">
        <v>5</v>
      </c>
      <c r="C8" s="163" t="s">
        <v>70</v>
      </c>
      <c r="D8" s="162">
        <v>561</v>
      </c>
      <c r="E8" s="162">
        <v>534</v>
      </c>
      <c r="F8" s="110">
        <f t="shared" si="4"/>
        <v>85.393234705486719</v>
      </c>
      <c r="H8" s="110">
        <f t="shared" ca="1" si="0"/>
        <v>351.20564343330932</v>
      </c>
      <c r="I8" s="110">
        <f t="shared" ca="1" si="0"/>
        <v>369.99442271163451</v>
      </c>
      <c r="J8" s="110">
        <f t="shared" ca="1" si="5"/>
        <v>90.224995673063063</v>
      </c>
      <c r="K8" s="110">
        <f t="shared" ca="1" si="6"/>
        <v>4.8317609675763435</v>
      </c>
      <c r="M8" s="110">
        <f t="shared" ca="1" si="1"/>
        <v>343.75000000000006</v>
      </c>
      <c r="N8" s="110">
        <f t="shared" ca="1" si="1"/>
        <v>367.80716773703227</v>
      </c>
      <c r="O8" s="110">
        <f t="shared" ca="1" si="7"/>
        <v>117.10785766895694</v>
      </c>
      <c r="P8" s="110">
        <f t="shared" ca="1" si="8"/>
        <v>31.714622963470219</v>
      </c>
      <c r="R8" s="110">
        <f t="shared" ca="1" si="2"/>
        <v>352.00000000000017</v>
      </c>
      <c r="S8" s="110">
        <f t="shared" ca="1" si="2"/>
        <v>367.80716773703227</v>
      </c>
      <c r="T8" s="110">
        <f t="shared" ca="1" si="9"/>
        <v>76.048999263460743</v>
      </c>
      <c r="U8" s="110">
        <f t="shared" ca="1" si="10"/>
        <v>-9.3442354420259761</v>
      </c>
      <c r="W8" s="110">
        <f t="shared" ca="1" si="3"/>
        <v>349.22823143300388</v>
      </c>
      <c r="X8" s="110">
        <f t="shared" ca="1" si="3"/>
        <v>369.9944227116344</v>
      </c>
      <c r="Y8" s="110">
        <f t="shared" ca="1" si="11"/>
        <v>100.00000000000007</v>
      </c>
      <c r="Z8" s="110">
        <f t="shared" ca="1" si="12"/>
        <v>14.606765294513352</v>
      </c>
    </row>
    <row r="9" spans="1:26" x14ac:dyDescent="0.2">
      <c r="B9" s="163" t="s">
        <v>6</v>
      </c>
      <c r="C9" s="163" t="s">
        <v>72</v>
      </c>
      <c r="D9" s="162">
        <v>516</v>
      </c>
      <c r="E9" s="162">
        <v>494</v>
      </c>
      <c r="F9" s="110">
        <f t="shared" si="4"/>
        <v>75.432028606291922</v>
      </c>
      <c r="H9" s="110">
        <f t="shared" ca="1" si="0"/>
        <v>393.77008877325875</v>
      </c>
      <c r="I9" s="110">
        <f t="shared" ca="1" si="0"/>
        <v>416.24372555058881</v>
      </c>
      <c r="J9" s="110">
        <f t="shared" ca="1" si="5"/>
        <v>96.089998269225319</v>
      </c>
      <c r="K9" s="110">
        <f t="shared" ca="1" si="6"/>
        <v>20.657969662933397</v>
      </c>
      <c r="M9" s="110">
        <f t="shared" ca="1" si="1"/>
        <v>393.54796403996318</v>
      </c>
      <c r="N9" s="110">
        <f t="shared" ca="1" si="1"/>
        <v>411.2209148358358</v>
      </c>
      <c r="O9" s="110">
        <f t="shared" ca="1" si="7"/>
        <v>76.048999263460743</v>
      </c>
      <c r="P9" s="110">
        <f t="shared" ca="1" si="8"/>
        <v>0.61697065716882094</v>
      </c>
      <c r="R9" s="110">
        <f t="shared" ca="1" si="2"/>
        <v>393.54796403996318</v>
      </c>
      <c r="S9" s="110">
        <f t="shared" ca="1" si="2"/>
        <v>411.2209148358358</v>
      </c>
      <c r="T9" s="110">
        <f t="shared" ca="1" si="9"/>
        <v>76.048999263460743</v>
      </c>
      <c r="U9" s="110">
        <f t="shared" ca="1" si="10"/>
        <v>0.61697065716882094</v>
      </c>
      <c r="W9" s="110">
        <f t="shared" ca="1" si="3"/>
        <v>391.99543598174927</v>
      </c>
      <c r="X9" s="110">
        <f t="shared" ca="1" si="3"/>
        <v>415.30469757994507</v>
      </c>
      <c r="Y9" s="110">
        <f t="shared" ca="1" si="11"/>
        <v>99.99999999999973</v>
      </c>
      <c r="Z9" s="110">
        <f t="shared" ca="1" si="12"/>
        <v>24.567971393707808</v>
      </c>
    </row>
    <row r="10" spans="1:26" x14ac:dyDescent="0.2">
      <c r="B10" s="163" t="s">
        <v>7</v>
      </c>
      <c r="C10" s="163" t="s">
        <v>73</v>
      </c>
      <c r="D10" s="162">
        <v>475</v>
      </c>
      <c r="E10" s="162">
        <v>448</v>
      </c>
      <c r="F10" s="110">
        <f t="shared" si="4"/>
        <v>101.3145373928474</v>
      </c>
      <c r="G10" s="7"/>
      <c r="H10" s="110">
        <f t="shared" ca="1" si="0"/>
        <v>440.00000000000006</v>
      </c>
      <c r="I10" s="110">
        <f t="shared" ca="1" si="0"/>
        <v>468.27419124441241</v>
      </c>
      <c r="J10" s="110">
        <f t="shared" ca="1" si="5"/>
        <v>107.82000346154977</v>
      </c>
      <c r="K10" s="110">
        <f t="shared" ca="1" si="6"/>
        <v>6.5054660687023755</v>
      </c>
      <c r="M10" s="110">
        <f t="shared" ca="1" si="1"/>
        <v>440.00000000000023</v>
      </c>
      <c r="N10" s="110">
        <f t="shared" ca="1" si="1"/>
        <v>459.75895967129026</v>
      </c>
      <c r="O10" s="110">
        <f t="shared" ca="1" si="7"/>
        <v>76.048999263460388</v>
      </c>
      <c r="P10" s="110">
        <f t="shared" ca="1" si="8"/>
        <v>-25.265538129387011</v>
      </c>
      <c r="R10" s="110">
        <f t="shared" ca="1" si="2"/>
        <v>440.00000000000023</v>
      </c>
      <c r="S10" s="110">
        <f t="shared" ca="1" si="2"/>
        <v>470.79317470340129</v>
      </c>
      <c r="T10" s="110">
        <f t="shared" ca="1" si="9"/>
        <v>117.10785766895623</v>
      </c>
      <c r="U10" s="110">
        <f t="shared" ca="1" si="10"/>
        <v>15.79332027610883</v>
      </c>
      <c r="W10" s="110">
        <f t="shared" ca="1" si="3"/>
        <v>439.99999999999994</v>
      </c>
      <c r="X10" s="110">
        <f t="shared" ca="1" si="3"/>
        <v>466.16376151808987</v>
      </c>
      <c r="Y10" s="110">
        <f t="shared" ca="1" si="11"/>
        <v>100.00000000000007</v>
      </c>
      <c r="Z10" s="110">
        <f t="shared" ca="1" si="12"/>
        <v>-1.3145373928473276</v>
      </c>
    </row>
    <row r="11" spans="1:26" x14ac:dyDescent="0.2">
      <c r="B11" s="163" t="s">
        <v>2</v>
      </c>
      <c r="C11" s="163" t="s">
        <v>74</v>
      </c>
      <c r="D11" s="162">
        <v>414</v>
      </c>
      <c r="E11" s="162">
        <v>395</v>
      </c>
      <c r="F11" s="110">
        <f t="shared" si="4"/>
        <v>81.333737321832018</v>
      </c>
      <c r="G11" s="7"/>
      <c r="H11" s="110">
        <f t="shared" ca="1" si="0"/>
        <v>263.40423257498196</v>
      </c>
      <c r="I11" s="110">
        <f t="shared" ca="1" si="0"/>
        <v>277.49581703372587</v>
      </c>
      <c r="J11" s="110">
        <f t="shared" ca="1" si="5"/>
        <v>90.224995673063063</v>
      </c>
      <c r="K11" s="110">
        <f t="shared" ca="1" si="6"/>
        <v>8.8912583512310448</v>
      </c>
      <c r="M11" s="110">
        <f t="shared" ca="1" si="1"/>
        <v>263.18138549493494</v>
      </c>
      <c r="N11" s="110">
        <f t="shared" ca="1" si="1"/>
        <v>275.00000000000011</v>
      </c>
      <c r="O11" s="110">
        <f t="shared" ca="1" si="7"/>
        <v>76.048999263460743</v>
      </c>
      <c r="P11" s="110">
        <f t="shared" ca="1" si="8"/>
        <v>-5.2847380583712749</v>
      </c>
      <c r="R11" s="110">
        <f t="shared" ca="1" si="2"/>
        <v>263.18138549493494</v>
      </c>
      <c r="S11" s="110">
        <f t="shared" ca="1" si="2"/>
        <v>275.00000000000011</v>
      </c>
      <c r="T11" s="110">
        <f t="shared" ca="1" si="9"/>
        <v>76.048999263460743</v>
      </c>
      <c r="U11" s="110">
        <f t="shared" ca="1" si="10"/>
        <v>-5.2847380583712749</v>
      </c>
      <c r="W11" s="110">
        <f t="shared" ca="1" si="3"/>
        <v>261.62556530059862</v>
      </c>
      <c r="X11" s="110">
        <f t="shared" ca="1" si="3"/>
        <v>277.18263097687208</v>
      </c>
      <c r="Y11" s="110">
        <f t="shared" ca="1" si="11"/>
        <v>100.00000000000007</v>
      </c>
      <c r="Z11" s="110">
        <f t="shared" ca="1" si="12"/>
        <v>18.666262678168053</v>
      </c>
    </row>
    <row r="12" spans="1:26" x14ac:dyDescent="0.2">
      <c r="B12" s="163" t="s">
        <v>3</v>
      </c>
      <c r="C12" s="163" t="s">
        <v>76</v>
      </c>
      <c r="D12" s="162">
        <v>376</v>
      </c>
      <c r="E12" s="162">
        <v>353</v>
      </c>
      <c r="F12" s="110">
        <f t="shared" si="4"/>
        <v>109.2773740877484</v>
      </c>
      <c r="G12" s="7"/>
      <c r="H12" s="110">
        <f ca="1">VLOOKUP(B12,INDIRECT("'"&amp;$H$3&amp;"'!Master_Frequencies"),2,FALSE)</f>
        <v>294.32876096317352</v>
      </c>
      <c r="I12" s="110">
        <f t="shared" ca="1" si="0"/>
        <v>312.1827941629416</v>
      </c>
      <c r="J12" s="110">
        <f t="shared" ca="1" si="5"/>
        <v>101.95500086538762</v>
      </c>
      <c r="K12" s="110">
        <f t="shared" ca="1" si="6"/>
        <v>-7.3223732223607811</v>
      </c>
      <c r="M12" s="110">
        <f t="shared" ca="1" si="1"/>
        <v>294.24573418962586</v>
      </c>
      <c r="N12" s="110">
        <f t="shared" ca="1" si="1"/>
        <v>307.45934690622119</v>
      </c>
      <c r="O12" s="110">
        <f t="shared" ca="1" si="7"/>
        <v>76.048999263460388</v>
      </c>
      <c r="P12" s="110">
        <f t="shared" ca="1" si="8"/>
        <v>-33.228374824288011</v>
      </c>
      <c r="R12" s="110">
        <f t="shared" ca="1" si="2"/>
        <v>294.24573418962586</v>
      </c>
      <c r="S12" s="110">
        <f t="shared" ca="1" si="2"/>
        <v>307.45934690622119</v>
      </c>
      <c r="T12" s="110">
        <f t="shared" ca="1" si="9"/>
        <v>76.048999263460388</v>
      </c>
      <c r="U12" s="110">
        <f t="shared" ca="1" si="10"/>
        <v>-33.228374824288011</v>
      </c>
      <c r="W12" s="110">
        <f t="shared" ca="1" si="3"/>
        <v>293.66476791740757</v>
      </c>
      <c r="X12" s="110">
        <f t="shared" ca="1" si="3"/>
        <v>311.12698372208087</v>
      </c>
      <c r="Y12" s="110">
        <f t="shared" ca="1" si="11"/>
        <v>99.99999999999973</v>
      </c>
      <c r="Z12" s="110">
        <f t="shared" ca="1" si="12"/>
        <v>-9.2773740877486688</v>
      </c>
    </row>
    <row r="13" spans="1:26" x14ac:dyDescent="0.2">
      <c r="B13" s="163" t="s">
        <v>5</v>
      </c>
      <c r="C13" s="163" t="s">
        <v>70</v>
      </c>
      <c r="D13" s="162">
        <v>321</v>
      </c>
      <c r="E13" s="162">
        <v>306</v>
      </c>
      <c r="F13" s="110">
        <f t="shared" si="4"/>
        <v>82.849973315581707</v>
      </c>
      <c r="G13" s="7"/>
      <c r="H13" s="110">
        <f t="shared" ref="H13:H21" ca="1" si="13">VLOOKUP(B13,INDIRECT("'"&amp;$H$3&amp;"'!Master_Frequencies"),2,FALSE)</f>
        <v>351.20564343330932</v>
      </c>
      <c r="I13" s="110">
        <f t="shared" ca="1" si="0"/>
        <v>369.99442271163451</v>
      </c>
      <c r="J13" s="110">
        <f t="shared" ca="1" si="5"/>
        <v>90.224995673063063</v>
      </c>
      <c r="K13" s="110">
        <f t="shared" ca="1" si="6"/>
        <v>7.375022357481356</v>
      </c>
      <c r="M13" s="110">
        <f t="shared" ca="1" si="1"/>
        <v>343.75000000000006</v>
      </c>
      <c r="N13" s="110">
        <f t="shared" ca="1" si="1"/>
        <v>367.80716773703227</v>
      </c>
      <c r="O13" s="110">
        <f t="shared" ca="1" si="7"/>
        <v>117.10785766895694</v>
      </c>
      <c r="P13" s="110">
        <f t="shared" ca="1" si="8"/>
        <v>34.257884353375232</v>
      </c>
      <c r="R13" s="110">
        <f t="shared" ca="1" si="2"/>
        <v>352.00000000000017</v>
      </c>
      <c r="S13" s="110">
        <f t="shared" ca="1" si="2"/>
        <v>367.80716773703227</v>
      </c>
      <c r="T13" s="110">
        <f t="shared" ca="1" si="9"/>
        <v>76.048999263460743</v>
      </c>
      <c r="U13" s="110">
        <f t="shared" ca="1" si="10"/>
        <v>-6.8009740521209636</v>
      </c>
      <c r="W13" s="110">
        <f t="shared" ca="1" si="3"/>
        <v>349.22823143300388</v>
      </c>
      <c r="X13" s="110">
        <f t="shared" ca="1" si="3"/>
        <v>369.9944227116344</v>
      </c>
      <c r="Y13" s="110">
        <f t="shared" ca="1" si="11"/>
        <v>100.00000000000007</v>
      </c>
      <c r="Z13" s="110">
        <f t="shared" ca="1" si="12"/>
        <v>17.150026684418364</v>
      </c>
    </row>
    <row r="14" spans="1:26" x14ac:dyDescent="0.2">
      <c r="B14" s="163" t="s">
        <v>6</v>
      </c>
      <c r="C14" s="163" t="s">
        <v>72</v>
      </c>
      <c r="D14" s="162">
        <v>292</v>
      </c>
      <c r="E14" s="162">
        <v>278</v>
      </c>
      <c r="F14" s="110">
        <f t="shared" si="4"/>
        <v>85.060183387811605</v>
      </c>
      <c r="G14" s="7"/>
      <c r="H14" s="110">
        <f t="shared" ca="1" si="13"/>
        <v>393.77008877325875</v>
      </c>
      <c r="I14" s="110">
        <f t="shared" ca="1" si="0"/>
        <v>416.24372555058881</v>
      </c>
      <c r="J14" s="110">
        <f t="shared" ca="1" si="5"/>
        <v>96.089998269225319</v>
      </c>
      <c r="K14" s="110">
        <f t="shared" ca="1" si="6"/>
        <v>11.029814881413714</v>
      </c>
      <c r="M14" s="110">
        <f t="shared" ca="1" si="1"/>
        <v>393.54796403996318</v>
      </c>
      <c r="N14" s="110">
        <f t="shared" ca="1" si="1"/>
        <v>411.2209148358358</v>
      </c>
      <c r="O14" s="110">
        <f t="shared" ca="1" si="7"/>
        <v>76.048999263460743</v>
      </c>
      <c r="P14" s="110">
        <f t="shared" ca="1" si="8"/>
        <v>-9.0111841243508621</v>
      </c>
      <c r="R14" s="110">
        <f t="shared" ca="1" si="2"/>
        <v>393.54796403996318</v>
      </c>
      <c r="S14" s="110">
        <f t="shared" ca="1" si="2"/>
        <v>411.2209148358358</v>
      </c>
      <c r="T14" s="110">
        <f t="shared" ca="1" si="9"/>
        <v>76.048999263460743</v>
      </c>
      <c r="U14" s="110">
        <f t="shared" ca="1" si="10"/>
        <v>-9.0111841243508621</v>
      </c>
      <c r="W14" s="110">
        <f t="shared" ca="1" si="3"/>
        <v>391.99543598174927</v>
      </c>
      <c r="X14" s="110">
        <f t="shared" ca="1" si="3"/>
        <v>415.30469757994507</v>
      </c>
      <c r="Y14" s="110">
        <f t="shared" ca="1" si="11"/>
        <v>99.99999999999973</v>
      </c>
      <c r="Z14" s="110">
        <f t="shared" ca="1" si="12"/>
        <v>14.939816612188125</v>
      </c>
    </row>
    <row r="15" spans="1:26" x14ac:dyDescent="0.2">
      <c r="B15" s="163" t="s">
        <v>7</v>
      </c>
      <c r="C15" s="163" t="s">
        <v>73</v>
      </c>
      <c r="D15" s="162">
        <v>265</v>
      </c>
      <c r="E15" s="162">
        <v>249</v>
      </c>
      <c r="F15" s="110">
        <f t="shared" si="4"/>
        <v>107.81594085897656</v>
      </c>
      <c r="G15" s="7"/>
      <c r="H15" s="110">
        <f t="shared" ca="1" si="13"/>
        <v>440.00000000000006</v>
      </c>
      <c r="I15" s="110">
        <f t="shared" ca="1" si="0"/>
        <v>468.27419124441241</v>
      </c>
      <c r="J15" s="110">
        <f t="shared" ca="1" si="5"/>
        <v>107.82000346154977</v>
      </c>
      <c r="K15" s="110">
        <f t="shared" ca="1" si="6"/>
        <v>4.0626025732137805E-3</v>
      </c>
      <c r="M15" s="110">
        <f t="shared" ca="1" si="1"/>
        <v>440.00000000000023</v>
      </c>
      <c r="N15" s="110">
        <f t="shared" ca="1" si="1"/>
        <v>459.75895967129026</v>
      </c>
      <c r="O15" s="110">
        <f t="shared" ca="1" si="7"/>
        <v>76.048999263460388</v>
      </c>
      <c r="P15" s="110">
        <f t="shared" ca="1" si="8"/>
        <v>-31.766941595516172</v>
      </c>
      <c r="R15" s="110">
        <f t="shared" ca="1" si="2"/>
        <v>440.00000000000023</v>
      </c>
      <c r="S15" s="110">
        <f t="shared" ca="1" si="2"/>
        <v>470.79317470340129</v>
      </c>
      <c r="T15" s="110">
        <f t="shared" ca="1" si="9"/>
        <v>117.10785766895623</v>
      </c>
      <c r="U15" s="110">
        <f t="shared" ca="1" si="10"/>
        <v>9.2919168099796678</v>
      </c>
      <c r="W15" s="110">
        <f t="shared" ca="1" si="3"/>
        <v>439.99999999999994</v>
      </c>
      <c r="X15" s="110">
        <f t="shared" ca="1" si="3"/>
        <v>466.16376151808987</v>
      </c>
      <c r="Y15" s="110">
        <f t="shared" ca="1" si="11"/>
        <v>100.00000000000007</v>
      </c>
      <c r="Z15" s="110">
        <f t="shared" ca="1" si="12"/>
        <v>-7.8159408589764894</v>
      </c>
    </row>
    <row r="16" spans="1:26" x14ac:dyDescent="0.2">
      <c r="B16" s="163" t="s">
        <v>2</v>
      </c>
      <c r="C16" s="163" t="s">
        <v>74</v>
      </c>
      <c r="D16" s="162">
        <v>226</v>
      </c>
      <c r="E16" s="162">
        <v>216</v>
      </c>
      <c r="F16" s="110">
        <f t="shared" si="4"/>
        <v>78.349752302062981</v>
      </c>
      <c r="G16" s="7"/>
      <c r="H16" s="110">
        <f t="shared" ca="1" si="13"/>
        <v>263.40423257498196</v>
      </c>
      <c r="I16" s="110">
        <f t="shared" ca="1" si="0"/>
        <v>277.49581703372587</v>
      </c>
      <c r="J16" s="110">
        <f t="shared" ca="1" si="5"/>
        <v>90.224995673063063</v>
      </c>
      <c r="K16" s="110">
        <f t="shared" ca="1" si="6"/>
        <v>11.875243371000082</v>
      </c>
      <c r="M16" s="110">
        <f t="shared" ca="1" si="1"/>
        <v>263.18138549493494</v>
      </c>
      <c r="N16" s="110">
        <f t="shared" ca="1" si="1"/>
        <v>275.00000000000011</v>
      </c>
      <c r="O16" s="110">
        <f t="shared" ca="1" si="7"/>
        <v>76.048999263460743</v>
      </c>
      <c r="P16" s="110">
        <f t="shared" ca="1" si="8"/>
        <v>-2.3007530386022381</v>
      </c>
      <c r="R16" s="110">
        <f t="shared" ca="1" si="2"/>
        <v>263.18138549493494</v>
      </c>
      <c r="S16" s="110">
        <f t="shared" ca="1" si="2"/>
        <v>275.00000000000011</v>
      </c>
      <c r="T16" s="110">
        <f t="shared" ca="1" si="9"/>
        <v>76.048999263460743</v>
      </c>
      <c r="U16" s="110">
        <f t="shared" ca="1" si="10"/>
        <v>-2.3007530386022381</v>
      </c>
      <c r="W16" s="110">
        <f t="shared" ca="1" si="3"/>
        <v>261.62556530059862</v>
      </c>
      <c r="X16" s="110">
        <f t="shared" ca="1" si="3"/>
        <v>277.18263097687208</v>
      </c>
      <c r="Y16" s="110">
        <f t="shared" ca="1" si="11"/>
        <v>100.00000000000007</v>
      </c>
      <c r="Z16" s="110">
        <f t="shared" ca="1" si="12"/>
        <v>21.65024769793709</v>
      </c>
    </row>
    <row r="17" spans="2:26" x14ac:dyDescent="0.2">
      <c r="B17" s="163" t="s">
        <v>3</v>
      </c>
      <c r="C17" s="163" t="s">
        <v>76</v>
      </c>
      <c r="D17" s="162">
        <v>206</v>
      </c>
      <c r="E17" s="162">
        <v>192</v>
      </c>
      <c r="F17" s="110">
        <f t="shared" si="4"/>
        <v>121.84563175447477</v>
      </c>
      <c r="G17" s="7"/>
      <c r="H17" s="110">
        <f t="shared" ca="1" si="13"/>
        <v>294.32876096317352</v>
      </c>
      <c r="I17" s="110">
        <f t="shared" ca="1" si="0"/>
        <v>312.1827941629416</v>
      </c>
      <c r="J17" s="110">
        <f t="shared" ca="1" si="5"/>
        <v>101.95500086538762</v>
      </c>
      <c r="K17" s="110">
        <f t="shared" ca="1" si="6"/>
        <v>-19.890630889087149</v>
      </c>
      <c r="M17" s="110">
        <f t="shared" ca="1" si="1"/>
        <v>294.24573418962586</v>
      </c>
      <c r="N17" s="110">
        <f t="shared" ca="1" si="1"/>
        <v>307.45934690622119</v>
      </c>
      <c r="O17" s="110">
        <f t="shared" ca="1" si="7"/>
        <v>76.048999263460388</v>
      </c>
      <c r="P17" s="110">
        <f t="shared" ca="1" si="8"/>
        <v>-45.796632491014378</v>
      </c>
      <c r="R17" s="110">
        <f t="shared" ca="1" si="2"/>
        <v>294.24573418962586</v>
      </c>
      <c r="S17" s="110">
        <f t="shared" ca="1" si="2"/>
        <v>307.45934690622119</v>
      </c>
      <c r="T17" s="110">
        <f t="shared" ca="1" si="9"/>
        <v>76.048999263460388</v>
      </c>
      <c r="U17" s="110">
        <f t="shared" ca="1" si="10"/>
        <v>-45.796632491014378</v>
      </c>
      <c r="W17" s="110">
        <f t="shared" ca="1" si="3"/>
        <v>293.66476791740757</v>
      </c>
      <c r="X17" s="110">
        <f t="shared" ca="1" si="3"/>
        <v>311.12698372208087</v>
      </c>
      <c r="Y17" s="110">
        <f t="shared" ca="1" si="11"/>
        <v>99.99999999999973</v>
      </c>
      <c r="Z17" s="110">
        <f t="shared" ca="1" si="12"/>
        <v>-21.845631754475036</v>
      </c>
    </row>
    <row r="18" spans="2:26" x14ac:dyDescent="0.2">
      <c r="B18" s="163" t="s">
        <v>5</v>
      </c>
      <c r="C18" s="163" t="s">
        <v>70</v>
      </c>
      <c r="D18" s="162">
        <v>173</v>
      </c>
      <c r="E18" s="162">
        <v>163</v>
      </c>
      <c r="F18" s="110">
        <f t="shared" si="4"/>
        <v>103.08008808677664</v>
      </c>
      <c r="G18" s="7"/>
      <c r="H18" s="110">
        <f t="shared" ca="1" si="13"/>
        <v>351.20564343330932</v>
      </c>
      <c r="I18" s="110">
        <f t="shared" ca="1" si="0"/>
        <v>369.99442271163451</v>
      </c>
      <c r="J18" s="110">
        <f t="shared" ca="1" si="5"/>
        <v>90.224995673063063</v>
      </c>
      <c r="K18" s="110">
        <f t="shared" ca="1" si="6"/>
        <v>-12.855092413713578</v>
      </c>
      <c r="M18" s="110">
        <f t="shared" ca="1" si="1"/>
        <v>343.75000000000006</v>
      </c>
      <c r="N18" s="110">
        <f t="shared" ca="1" si="1"/>
        <v>367.80716773703227</v>
      </c>
      <c r="O18" s="110">
        <f t="shared" ca="1" si="7"/>
        <v>117.10785766895694</v>
      </c>
      <c r="P18" s="110">
        <f t="shared" ca="1" si="8"/>
        <v>14.027769582180298</v>
      </c>
      <c r="R18" s="110">
        <f t="shared" ca="1" si="2"/>
        <v>352.00000000000017</v>
      </c>
      <c r="S18" s="110">
        <f t="shared" ca="1" si="2"/>
        <v>367.80716773703227</v>
      </c>
      <c r="T18" s="110">
        <f t="shared" ca="1" si="9"/>
        <v>76.048999263460743</v>
      </c>
      <c r="U18" s="110">
        <f t="shared" ca="1" si="10"/>
        <v>-27.031088823315898</v>
      </c>
      <c r="W18" s="110">
        <f t="shared" ca="1" si="3"/>
        <v>349.22823143300388</v>
      </c>
      <c r="X18" s="110">
        <f t="shared" ca="1" si="3"/>
        <v>369.9944227116344</v>
      </c>
      <c r="Y18" s="110">
        <f t="shared" ca="1" si="11"/>
        <v>100.00000000000007</v>
      </c>
      <c r="Z18" s="110">
        <f t="shared" ca="1" si="12"/>
        <v>-3.0800880867765699</v>
      </c>
    </row>
    <row r="19" spans="2:26" x14ac:dyDescent="0.2">
      <c r="B19" s="163" t="s">
        <v>6</v>
      </c>
      <c r="C19" s="163" t="s">
        <v>72</v>
      </c>
      <c r="D19" s="162">
        <v>154</v>
      </c>
      <c r="E19" s="162">
        <v>146</v>
      </c>
      <c r="F19" s="110">
        <f t="shared" si="4"/>
        <v>92.354378177860951</v>
      </c>
      <c r="G19" s="7"/>
      <c r="H19" s="110">
        <f t="shared" ca="1" si="13"/>
        <v>393.77008877325875</v>
      </c>
      <c r="I19" s="110">
        <f t="shared" ca="1" si="0"/>
        <v>416.24372555058881</v>
      </c>
      <c r="J19" s="110">
        <f t="shared" ca="1" si="5"/>
        <v>96.089998269225319</v>
      </c>
      <c r="K19" s="110">
        <f t="shared" ca="1" si="6"/>
        <v>3.7356200913643676</v>
      </c>
      <c r="M19" s="110">
        <f t="shared" ca="1" si="1"/>
        <v>393.54796403996318</v>
      </c>
      <c r="N19" s="110">
        <f t="shared" ca="1" si="1"/>
        <v>411.2209148358358</v>
      </c>
      <c r="O19" s="110">
        <f t="shared" ca="1" si="7"/>
        <v>76.048999263460743</v>
      </c>
      <c r="P19" s="110">
        <f t="shared" ca="1" si="8"/>
        <v>-16.305378914400208</v>
      </c>
      <c r="R19" s="110">
        <f t="shared" ca="1" si="2"/>
        <v>393.54796403996318</v>
      </c>
      <c r="S19" s="110">
        <f t="shared" ca="1" si="2"/>
        <v>411.2209148358358</v>
      </c>
      <c r="T19" s="110">
        <f t="shared" ca="1" si="9"/>
        <v>76.048999263460743</v>
      </c>
      <c r="U19" s="110">
        <f t="shared" ca="1" si="10"/>
        <v>-16.305378914400208</v>
      </c>
      <c r="W19" s="110">
        <f t="shared" ca="1" si="3"/>
        <v>391.99543598174927</v>
      </c>
      <c r="X19" s="110">
        <f t="shared" ca="1" si="3"/>
        <v>415.30469757994507</v>
      </c>
      <c r="Y19" s="110">
        <f t="shared" ca="1" si="11"/>
        <v>99.99999999999973</v>
      </c>
      <c r="Z19" s="110">
        <f t="shared" ca="1" si="12"/>
        <v>7.6456218221387786</v>
      </c>
    </row>
    <row r="20" spans="2:26" x14ac:dyDescent="0.2">
      <c r="B20" s="163" t="s">
        <v>7</v>
      </c>
      <c r="C20" s="163" t="s">
        <v>73</v>
      </c>
      <c r="D20" s="162">
        <v>139</v>
      </c>
      <c r="E20" s="162">
        <v>129</v>
      </c>
      <c r="F20" s="110">
        <f t="shared" si="4"/>
        <v>129.25658076030385</v>
      </c>
      <c r="G20" s="7"/>
      <c r="H20" s="110">
        <f t="shared" ca="1" si="13"/>
        <v>440.00000000000006</v>
      </c>
      <c r="I20" s="110">
        <f t="shared" ca="1" si="0"/>
        <v>468.27419124441241</v>
      </c>
      <c r="J20" s="110">
        <f t="shared" ca="1" si="5"/>
        <v>107.82000346154977</v>
      </c>
      <c r="K20" s="110">
        <f t="shared" ca="1" si="6"/>
        <v>-21.436577298754074</v>
      </c>
      <c r="M20" s="110">
        <f t="shared" ca="1" si="1"/>
        <v>440.00000000000023</v>
      </c>
      <c r="N20" s="110">
        <f t="shared" ca="1" si="1"/>
        <v>459.75895967129026</v>
      </c>
      <c r="O20" s="110">
        <f t="shared" ca="1" si="7"/>
        <v>76.048999263460388</v>
      </c>
      <c r="P20" s="110">
        <f t="shared" ca="1" si="8"/>
        <v>-53.20758149684346</v>
      </c>
      <c r="R20" s="110">
        <f t="shared" ca="1" si="2"/>
        <v>440.00000000000023</v>
      </c>
      <c r="S20" s="110">
        <f t="shared" ca="1" si="2"/>
        <v>470.79317470340129</v>
      </c>
      <c r="T20" s="110">
        <f t="shared" ca="1" si="9"/>
        <v>117.10785766895623</v>
      </c>
      <c r="U20" s="110">
        <f t="shared" ca="1" si="10"/>
        <v>-12.14872309134762</v>
      </c>
      <c r="W20" s="110">
        <f t="shared" ca="1" si="3"/>
        <v>439.99999999999994</v>
      </c>
      <c r="X20" s="110">
        <f t="shared" ca="1" si="3"/>
        <v>466.16376151808987</v>
      </c>
      <c r="Y20" s="110">
        <f t="shared" ca="1" si="11"/>
        <v>100.00000000000007</v>
      </c>
      <c r="Z20" s="110">
        <f t="shared" ca="1" si="12"/>
        <v>-29.256580760303777</v>
      </c>
    </row>
    <row r="21" spans="2:26" x14ac:dyDescent="0.2">
      <c r="B21" s="163" t="s">
        <v>8</v>
      </c>
      <c r="C21" s="163" t="s">
        <v>593</v>
      </c>
      <c r="D21" s="162">
        <v>122</v>
      </c>
      <c r="E21" s="162">
        <v>114</v>
      </c>
      <c r="F21" s="110">
        <f t="shared" si="4"/>
        <v>117.4167880777735</v>
      </c>
      <c r="G21" s="7"/>
      <c r="H21" s="110">
        <f t="shared" ca="1" si="13"/>
        <v>495.00000000000011</v>
      </c>
      <c r="I21" s="110">
        <f t="shared" ca="1" si="0"/>
        <v>526.80846514996392</v>
      </c>
      <c r="J21" s="110">
        <f t="shared" ca="1" si="5"/>
        <v>107.82000346154977</v>
      </c>
      <c r="K21" s="110">
        <f t="shared" ca="1" si="6"/>
        <v>-9.5967846162237294</v>
      </c>
      <c r="M21" s="110">
        <f t="shared" ca="1" si="1"/>
        <v>491.93495504995394</v>
      </c>
      <c r="N21" s="110">
        <f t="shared" ca="1" si="1"/>
        <v>514.02614354479465</v>
      </c>
      <c r="O21" s="110">
        <f t="shared" ca="1" si="7"/>
        <v>76.048999263460388</v>
      </c>
      <c r="P21" s="110">
        <f t="shared" ca="1" si="8"/>
        <v>-41.367788814313116</v>
      </c>
      <c r="R21" s="110">
        <f t="shared" ca="1" si="2"/>
        <v>491.93495504995394</v>
      </c>
      <c r="S21" s="110">
        <f t="shared" ca="1" si="2"/>
        <v>526.36277098986989</v>
      </c>
      <c r="T21" s="110">
        <f t="shared" ca="1" si="9"/>
        <v>117.1078576689566</v>
      </c>
      <c r="U21" s="110">
        <f t="shared" ca="1" si="10"/>
        <v>-0.30893040881690581</v>
      </c>
      <c r="W21" s="110">
        <f t="shared" ca="1" si="3"/>
        <v>493.88330125612407</v>
      </c>
      <c r="X21" s="110">
        <f t="shared" ca="1" si="3"/>
        <v>523.25113060119725</v>
      </c>
      <c r="Y21" s="110">
        <f t="shared" ca="1" si="11"/>
        <v>100.00000000000007</v>
      </c>
      <c r="Z21" s="110">
        <f t="shared" ca="1" si="12"/>
        <v>-17.416788077773433</v>
      </c>
    </row>
    <row r="22" spans="2:26" x14ac:dyDescent="0.2">
      <c r="B22" s="119"/>
      <c r="C22" s="119"/>
      <c r="H22" s="288" t="str">
        <f ca="1">_xlfn.CONCAT($F$5," vs. ",H4)</f>
        <v>Wahlström, 1752 Fret Size cents vs. Werckmeister III</v>
      </c>
      <c r="I22" s="288"/>
      <c r="J22" s="288"/>
      <c r="K22" s="288"/>
      <c r="M22" s="278" t="str">
        <f ca="1">_xlfn.CONCAT($F$5," vs. ",M4)</f>
        <v>Wahlström, 1752 Fret Size cents vs. Meantone Quarter Comma</v>
      </c>
      <c r="N22" s="278"/>
      <c r="O22" s="278"/>
      <c r="P22" s="278"/>
      <c r="Q22" s="117"/>
      <c r="R22" s="288" t="str">
        <f ca="1">_xlfn.CONCAT($F$5," vs. ",R4)</f>
        <v>Wahlström, 1752 Fret Size cents vs. Meantone Octave with Matching Octaves</v>
      </c>
      <c r="S22" s="288"/>
      <c r="T22" s="288"/>
      <c r="U22" s="288"/>
      <c r="W22" s="288" t="str">
        <f ca="1">_xlfn.CONCAT($F$5," vs. ",W4)</f>
        <v>Wahlström, 1752 Fret Size cents vs. Equal Temperament</v>
      </c>
      <c r="X22" s="288"/>
      <c r="Y22" s="288"/>
      <c r="Z22" s="288"/>
    </row>
    <row r="23" spans="2:26" x14ac:dyDescent="0.2">
      <c r="B23" s="80" t="s">
        <v>63</v>
      </c>
      <c r="J23" s="119" t="s">
        <v>94</v>
      </c>
      <c r="K23" s="110">
        <f ca="1">SQRT(SUMSQ(K6:K21)/COUNT(K6:K21))</f>
        <v>12.518247083790733</v>
      </c>
      <c r="O23" s="119" t="s">
        <v>94</v>
      </c>
      <c r="P23" s="110">
        <f ca="1">SQRT(SUMSQ(P6:P21)/COUNT(P6:P21))</f>
        <v>29.64009000668975</v>
      </c>
      <c r="T23" s="119" t="s">
        <v>94</v>
      </c>
      <c r="U23" s="110">
        <f ca="1">SQRT(SUMSQ(U6:U21)/COUNT(U6:U21))</f>
        <v>20.673408895597429</v>
      </c>
      <c r="Y23" s="119" t="s">
        <v>94</v>
      </c>
      <c r="Z23" s="110">
        <f ca="1">SQRT(SUMSQ(Z6:Z21)/COUNT(Z6:Z21))</f>
        <v>17.377226119595321</v>
      </c>
    </row>
    <row r="24" spans="2:26" x14ac:dyDescent="0.2">
      <c r="B24" s="286"/>
      <c r="C24" s="286"/>
      <c r="D24" s="286"/>
      <c r="E24" s="286"/>
      <c r="X24" s="7"/>
    </row>
    <row r="26" spans="2:26" ht="19" x14ac:dyDescent="0.2">
      <c r="D26" s="7"/>
      <c r="N26" s="120"/>
      <c r="P26" s="7"/>
      <c r="R26" s="7"/>
    </row>
    <row r="27" spans="2:26" x14ac:dyDescent="0.2">
      <c r="D27" s="7"/>
      <c r="P27" s="7"/>
      <c r="R27" s="7"/>
    </row>
    <row r="28" spans="2:26" x14ac:dyDescent="0.2">
      <c r="D28" s="7"/>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D37" s="7"/>
      <c r="P37" s="7"/>
      <c r="R37" s="7"/>
    </row>
    <row r="38" spans="4:18" x14ac:dyDescent="0.2">
      <c r="P38" s="7"/>
      <c r="R38" s="7"/>
    </row>
  </sheetData>
  <sheetProtection sheet="1" objects="1" scenarios="1" formatCells="0"/>
  <mergeCells count="15">
    <mergeCell ref="W3:Z3"/>
    <mergeCell ref="B1:H1"/>
    <mergeCell ref="B3:E3"/>
    <mergeCell ref="H3:K3"/>
    <mergeCell ref="M3:P3"/>
    <mergeCell ref="R3:U3"/>
    <mergeCell ref="B24:E24"/>
    <mergeCell ref="H4:K4"/>
    <mergeCell ref="M4:P4"/>
    <mergeCell ref="R4:U4"/>
    <mergeCell ref="W4:Z4"/>
    <mergeCell ref="H22:K22"/>
    <mergeCell ref="M22:P22"/>
    <mergeCell ref="R22:U22"/>
    <mergeCell ref="W22:Z22"/>
  </mergeCells>
  <conditionalFormatting sqref="A1:XFD1048576">
    <cfRule type="expression" dxfId="109" priority="1">
      <formula>CELL("protect",A1)=0</formula>
    </cfRule>
  </conditionalFormatting>
  <conditionalFormatting sqref="A5:XFD21 B25:F33 G25:G37 I25:L37 C34:F34 B35:F37 B38:L1048576">
    <cfRule type="expression" dxfId="108" priority="2">
      <formula>_xlfn.ISFORMULA(A5)</formula>
    </cfRule>
  </conditionalFormatting>
  <conditionalFormatting sqref="B3:B4 F3:H4 L3:M4 Q3:R4 V3:W4 AA3:XFD4 L22:M22 R22 B22:H23 V22:W23 AA22:XFD23 J23:M23 O23:R23 T23:U23 Y23:Z23 B24 F24:L24 M24:Q25 R24:XFD1048576 M26 O26:Q26 M27:Q1048576">
    <cfRule type="expression" dxfId="107" priority="3">
      <formula>_xlfn.ISFORMULA(B3)</formula>
    </cfRule>
  </conditionalFormatting>
  <hyperlinks>
    <hyperlink ref="B23" location="Overview!A1" display="Back to Overview" xr:uid="{1011A943-6170-5C4D-B33D-4A227A3472A5}"/>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A22B9-074A-694D-B403-FD096F4E4EB7}">
  <sheetPr>
    <tabColor theme="9" tint="0.59999389629810485"/>
  </sheetPr>
  <dimension ref="A1:Z37"/>
  <sheetViews>
    <sheetView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597</v>
      </c>
      <c r="C1" s="289"/>
      <c r="D1" s="289"/>
      <c r="E1" s="289"/>
      <c r="F1" s="289"/>
      <c r="G1" s="289"/>
      <c r="H1" s="28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Equal Temperament</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Hubert, Edinburgh, 1784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5</v>
      </c>
      <c r="C6" s="163" t="s">
        <v>70</v>
      </c>
      <c r="D6" s="162">
        <v>713</v>
      </c>
      <c r="E6" s="162">
        <v>677.5</v>
      </c>
      <c r="F6" s="110">
        <f>1200*LOG(D6/E6,2)</f>
        <v>88.41735624318494</v>
      </c>
      <c r="H6" s="110">
        <f t="shared" ref="H6:I20" ca="1" si="0">VLOOKUP(B6,INDIRECT("'"&amp;$H$3&amp;"'!Master_Frequencies"),2,FALSE)</f>
        <v>351.20564343330932</v>
      </c>
      <c r="I6" s="110">
        <f ca="1">VLOOKUP(C6,INDIRECT("'"&amp;$H$3&amp;"'!Master_Frequencies"),2,FALSE)</f>
        <v>369.99442271163451</v>
      </c>
      <c r="J6" s="110">
        <f ca="1">LOG(I6/H6,2)*1200</f>
        <v>90.224995673063063</v>
      </c>
      <c r="K6" s="110">
        <f ca="1">J6-F6</f>
        <v>1.8076394298781224</v>
      </c>
      <c r="M6" s="110">
        <f t="shared" ref="M6:N20" ca="1" si="1">VLOOKUP(B6,INDIRECT("'"&amp;$M$3&amp;"'!Master_Frequencies"),2,FALSE)</f>
        <v>343.75000000000006</v>
      </c>
      <c r="N6" s="110">
        <f t="shared" ca="1" si="1"/>
        <v>367.80716773703227</v>
      </c>
      <c r="O6" s="110">
        <f ca="1">LOG(N6/M6,2)*1200</f>
        <v>117.10785766895694</v>
      </c>
      <c r="P6" s="110">
        <f ca="1">O6-F6</f>
        <v>28.690501425771998</v>
      </c>
      <c r="R6" s="110">
        <f t="shared" ref="R6:S20" ca="1" si="2">VLOOKUP(B6,INDIRECT("'"&amp;$R$3&amp;"'!Master_Frequencies"),2,FALSE)</f>
        <v>352.00000000000017</v>
      </c>
      <c r="S6" s="110">
        <f t="shared" ca="1" si="2"/>
        <v>367.80716773703227</v>
      </c>
      <c r="T6" s="110">
        <f ca="1">LOG(S6/R6,2)*1200</f>
        <v>76.048999263460743</v>
      </c>
      <c r="U6" s="110">
        <f ca="1">T6-F6</f>
        <v>-12.368356979724197</v>
      </c>
      <c r="W6" s="110">
        <f t="shared" ref="W6:X20" ca="1" si="3">VLOOKUP(B6,INDIRECT("'"&amp;$W$3&amp;"'!Master_Frequencies"),2,FALSE)</f>
        <v>349.22823143300388</v>
      </c>
      <c r="X6" s="110">
        <f t="shared" ca="1" si="3"/>
        <v>369.9944227116344</v>
      </c>
      <c r="Y6" s="110">
        <f ca="1">LOG(X6/W6,2)*1200</f>
        <v>100.00000000000007</v>
      </c>
      <c r="Z6" s="110">
        <f ca="1">Y6-F6</f>
        <v>11.582643756815131</v>
      </c>
    </row>
    <row r="7" spans="1:26" x14ac:dyDescent="0.2">
      <c r="B7" s="163" t="s">
        <v>6</v>
      </c>
      <c r="C7" s="163" t="s">
        <v>72</v>
      </c>
      <c r="D7" s="162">
        <v>652</v>
      </c>
      <c r="E7" s="162">
        <v>618</v>
      </c>
      <c r="F7" s="110">
        <f t="shared" ref="F7:F20" si="4">1200*LOG(D7/E7,2)</f>
        <v>92.718151592043412</v>
      </c>
      <c r="H7" s="110">
        <f t="shared" ca="1" si="0"/>
        <v>393.77008877325875</v>
      </c>
      <c r="I7" s="110">
        <f t="shared" ca="1" si="0"/>
        <v>416.24372555058881</v>
      </c>
      <c r="J7" s="110">
        <f t="shared" ref="J7:J20" ca="1" si="5">LOG(I7/H7,2)*1200</f>
        <v>96.089998269225319</v>
      </c>
      <c r="K7" s="110">
        <f t="shared" ref="K7:K20" ca="1" si="6">J7-F7</f>
        <v>3.3718466771819067</v>
      </c>
      <c r="M7" s="110">
        <f t="shared" ca="1" si="1"/>
        <v>393.54796403996318</v>
      </c>
      <c r="N7" s="110">
        <f t="shared" ca="1" si="1"/>
        <v>411.2209148358358</v>
      </c>
      <c r="O7" s="110">
        <f t="shared" ref="O7:O20" ca="1" si="7">LOG(N7/M7,2)*1200</f>
        <v>76.048999263460743</v>
      </c>
      <c r="P7" s="110">
        <f t="shared" ref="P7:P20" ca="1" si="8">O7-F7</f>
        <v>-16.669152328582669</v>
      </c>
      <c r="R7" s="110">
        <f t="shared" ca="1" si="2"/>
        <v>393.54796403996318</v>
      </c>
      <c r="S7" s="110">
        <f t="shared" ca="1" si="2"/>
        <v>411.2209148358358</v>
      </c>
      <c r="T7" s="110">
        <f t="shared" ref="T7:T20" ca="1" si="9">LOG(S7/R7,2)*1200</f>
        <v>76.048999263460743</v>
      </c>
      <c r="U7" s="110">
        <f t="shared" ref="U7:U20" ca="1" si="10">T7-F7</f>
        <v>-16.669152328582669</v>
      </c>
      <c r="W7" s="110">
        <f t="shared" ca="1" si="3"/>
        <v>391.99543598174927</v>
      </c>
      <c r="X7" s="110">
        <f t="shared" ca="1" si="3"/>
        <v>415.30469757994507</v>
      </c>
      <c r="Y7" s="110">
        <f t="shared" ref="Y7:Y20" ca="1" si="11">LOG(X7/W7,2)*1200</f>
        <v>99.99999999999973</v>
      </c>
      <c r="Z7" s="110">
        <f t="shared" ref="Z7:Z20" ca="1" si="12">Y7-F7</f>
        <v>7.2818484079563177</v>
      </c>
    </row>
    <row r="8" spans="1:26" x14ac:dyDescent="0.2">
      <c r="B8" s="163" t="s">
        <v>73</v>
      </c>
      <c r="C8" s="163" t="s">
        <v>8</v>
      </c>
      <c r="D8" s="162">
        <v>562</v>
      </c>
      <c r="E8" s="162">
        <v>535</v>
      </c>
      <c r="F8" s="110">
        <f t="shared" si="4"/>
        <v>85.237486718900072</v>
      </c>
      <c r="H8" s="110">
        <f t="shared" ca="1" si="0"/>
        <v>468.27419124441241</v>
      </c>
      <c r="I8" s="110">
        <f t="shared" ca="1" si="0"/>
        <v>495.00000000000011</v>
      </c>
      <c r="J8" s="110">
        <f t="shared" ca="1" si="5"/>
        <v>96.089998269224949</v>
      </c>
      <c r="K8" s="110">
        <f t="shared" ca="1" si="6"/>
        <v>10.852511550324877</v>
      </c>
      <c r="M8" s="110">
        <f t="shared" ca="1" si="1"/>
        <v>459.75895967129026</v>
      </c>
      <c r="N8" s="110">
        <f t="shared" ca="1" si="1"/>
        <v>491.93495504995394</v>
      </c>
      <c r="O8" s="110">
        <f t="shared" ca="1" si="7"/>
        <v>117.10785766895694</v>
      </c>
      <c r="P8" s="110">
        <f t="shared" ca="1" si="8"/>
        <v>31.870370950056866</v>
      </c>
      <c r="R8" s="110">
        <f t="shared" ca="1" si="2"/>
        <v>470.79317470340129</v>
      </c>
      <c r="S8" s="110">
        <f t="shared" ca="1" si="2"/>
        <v>491.93495504995394</v>
      </c>
      <c r="T8" s="110">
        <f t="shared" ca="1" si="9"/>
        <v>76.048999263461113</v>
      </c>
      <c r="U8" s="110">
        <f t="shared" ca="1" si="10"/>
        <v>-9.1884874554389597</v>
      </c>
      <c r="W8" s="110">
        <f t="shared" ca="1" si="3"/>
        <v>466.16376151808987</v>
      </c>
      <c r="X8" s="110">
        <f t="shared" ca="1" si="3"/>
        <v>493.88330125612407</v>
      </c>
      <c r="Y8" s="110">
        <f t="shared" ca="1" si="11"/>
        <v>100.00000000000007</v>
      </c>
      <c r="Z8" s="110">
        <f t="shared" ca="1" si="12"/>
        <v>14.762513281099999</v>
      </c>
    </row>
    <row r="9" spans="1:26" x14ac:dyDescent="0.2">
      <c r="B9" s="163" t="s">
        <v>2</v>
      </c>
      <c r="C9" s="163" t="s">
        <v>74</v>
      </c>
      <c r="D9" s="162">
        <v>503</v>
      </c>
      <c r="E9" s="162">
        <v>476</v>
      </c>
      <c r="F9" s="110">
        <f t="shared" si="4"/>
        <v>95.516191797100333</v>
      </c>
      <c r="H9" s="110">
        <f t="shared" ca="1" si="0"/>
        <v>263.40423257498196</v>
      </c>
      <c r="I9" s="110">
        <f t="shared" ca="1" si="0"/>
        <v>277.49581703372587</v>
      </c>
      <c r="J9" s="110">
        <f t="shared" ca="1" si="5"/>
        <v>90.224995673063063</v>
      </c>
      <c r="K9" s="110">
        <f t="shared" ca="1" si="6"/>
        <v>-5.2911961240372705</v>
      </c>
      <c r="M9" s="110">
        <f t="shared" ca="1" si="1"/>
        <v>263.18138549493494</v>
      </c>
      <c r="N9" s="110">
        <f t="shared" ca="1" si="1"/>
        <v>275.00000000000011</v>
      </c>
      <c r="O9" s="110">
        <f t="shared" ca="1" si="7"/>
        <v>76.048999263460743</v>
      </c>
      <c r="P9" s="110">
        <f t="shared" ca="1" si="8"/>
        <v>-19.46719253363959</v>
      </c>
      <c r="R9" s="110">
        <f t="shared" ca="1" si="2"/>
        <v>263.18138549493494</v>
      </c>
      <c r="S9" s="110">
        <f t="shared" ca="1" si="2"/>
        <v>275.00000000000011</v>
      </c>
      <c r="T9" s="110">
        <f t="shared" ca="1" si="9"/>
        <v>76.048999263460743</v>
      </c>
      <c r="U9" s="110">
        <f t="shared" ca="1" si="10"/>
        <v>-19.46719253363959</v>
      </c>
      <c r="W9" s="110">
        <f t="shared" ca="1" si="3"/>
        <v>261.62556530059862</v>
      </c>
      <c r="X9" s="110">
        <f t="shared" ca="1" si="3"/>
        <v>277.18263097687208</v>
      </c>
      <c r="Y9" s="110">
        <f t="shared" ca="1" si="11"/>
        <v>100.00000000000007</v>
      </c>
      <c r="Z9" s="110">
        <f t="shared" ca="1" si="12"/>
        <v>4.4838082028997377</v>
      </c>
    </row>
    <row r="10" spans="1:26" x14ac:dyDescent="0.2">
      <c r="B10" s="163" t="s">
        <v>76</v>
      </c>
      <c r="C10" s="163" t="s">
        <v>4</v>
      </c>
      <c r="D10" s="162">
        <v>420</v>
      </c>
      <c r="E10" s="162">
        <v>398.5</v>
      </c>
      <c r="F10" s="110">
        <f t="shared" si="4"/>
        <v>90.971524410781115</v>
      </c>
      <c r="G10" s="7"/>
      <c r="H10" s="110">
        <f t="shared" ca="1" si="0"/>
        <v>312.1827941629416</v>
      </c>
      <c r="I10" s="110">
        <f t="shared" ca="1" si="0"/>
        <v>330.00000000000006</v>
      </c>
      <c r="J10" s="110">
        <f t="shared" ca="1" si="5"/>
        <v>96.089998269224949</v>
      </c>
      <c r="K10" s="110">
        <f t="shared" ca="1" si="6"/>
        <v>5.118473858443835</v>
      </c>
      <c r="M10" s="110">
        <f t="shared" ca="1" si="1"/>
        <v>307.45934690622119</v>
      </c>
      <c r="N10" s="110">
        <f t="shared" ca="1" si="1"/>
        <v>328.97673186866865</v>
      </c>
      <c r="O10" s="110">
        <f t="shared" ca="1" si="7"/>
        <v>117.1078576689566</v>
      </c>
      <c r="P10" s="110">
        <f t="shared" ca="1" si="8"/>
        <v>26.136333258175483</v>
      </c>
      <c r="R10" s="110">
        <f t="shared" ca="1" si="2"/>
        <v>307.45934690622119</v>
      </c>
      <c r="S10" s="110">
        <f t="shared" ca="1" si="2"/>
        <v>328.97673186866865</v>
      </c>
      <c r="T10" s="110">
        <f t="shared" ca="1" si="9"/>
        <v>117.1078576689566</v>
      </c>
      <c r="U10" s="110">
        <f t="shared" ca="1" si="10"/>
        <v>26.136333258175483</v>
      </c>
      <c r="W10" s="110">
        <f t="shared" ca="1" si="3"/>
        <v>311.12698372208087</v>
      </c>
      <c r="X10" s="110">
        <f t="shared" ca="1" si="3"/>
        <v>329.62755691286992</v>
      </c>
      <c r="Y10" s="110">
        <f t="shared" ca="1" si="11"/>
        <v>100.00000000000007</v>
      </c>
      <c r="Z10" s="110">
        <f t="shared" ca="1" si="12"/>
        <v>9.0284755892189565</v>
      </c>
    </row>
    <row r="11" spans="1:26" x14ac:dyDescent="0.2">
      <c r="B11" s="163" t="s">
        <v>5</v>
      </c>
      <c r="C11" s="163" t="s">
        <v>70</v>
      </c>
      <c r="D11" s="162">
        <v>380</v>
      </c>
      <c r="E11" s="162">
        <v>361.5</v>
      </c>
      <c r="F11" s="110">
        <f t="shared" si="4"/>
        <v>86.404525655796107</v>
      </c>
      <c r="G11" s="7"/>
      <c r="H11" s="110">
        <f t="shared" ca="1" si="0"/>
        <v>351.20564343330932</v>
      </c>
      <c r="I11" s="110">
        <f t="shared" ca="1" si="0"/>
        <v>369.99442271163451</v>
      </c>
      <c r="J11" s="110">
        <f t="shared" ca="1" si="5"/>
        <v>90.224995673063063</v>
      </c>
      <c r="K11" s="110">
        <f t="shared" ca="1" si="6"/>
        <v>3.8204700172669561</v>
      </c>
      <c r="M11" s="110">
        <f t="shared" ca="1" si="1"/>
        <v>343.75000000000006</v>
      </c>
      <c r="N11" s="110">
        <f t="shared" ca="1" si="1"/>
        <v>367.80716773703227</v>
      </c>
      <c r="O11" s="110">
        <f t="shared" ca="1" si="7"/>
        <v>117.10785766895694</v>
      </c>
      <c r="P11" s="110">
        <f t="shared" ca="1" si="8"/>
        <v>30.703332013160832</v>
      </c>
      <c r="R11" s="110">
        <f t="shared" ca="1" si="2"/>
        <v>352.00000000000017</v>
      </c>
      <c r="S11" s="110">
        <f t="shared" ca="1" si="2"/>
        <v>367.80716773703227</v>
      </c>
      <c r="T11" s="110">
        <f t="shared" ca="1" si="9"/>
        <v>76.048999263460743</v>
      </c>
      <c r="U11" s="110">
        <f t="shared" ca="1" si="10"/>
        <v>-10.355526392335364</v>
      </c>
      <c r="W11" s="110">
        <f t="shared" ca="1" si="3"/>
        <v>349.22823143300388</v>
      </c>
      <c r="X11" s="110">
        <f t="shared" ca="1" si="3"/>
        <v>369.9944227116344</v>
      </c>
      <c r="Y11" s="110">
        <f t="shared" ca="1" si="11"/>
        <v>100.00000000000007</v>
      </c>
      <c r="Z11" s="110">
        <f t="shared" ca="1" si="12"/>
        <v>13.595474344203964</v>
      </c>
    </row>
    <row r="12" spans="1:26" x14ac:dyDescent="0.2">
      <c r="B12" s="163" t="s">
        <v>6</v>
      </c>
      <c r="C12" s="163" t="s">
        <v>72</v>
      </c>
      <c r="D12" s="162">
        <v>338</v>
      </c>
      <c r="E12" s="162">
        <v>320</v>
      </c>
      <c r="F12" s="110">
        <f t="shared" si="4"/>
        <v>94.741609673786215</v>
      </c>
      <c r="G12" s="7"/>
      <c r="H12" s="110">
        <f ca="1">VLOOKUP(B12,INDIRECT("'"&amp;$H$3&amp;"'!Master_Frequencies"),2,FALSE)</f>
        <v>393.77008877325875</v>
      </c>
      <c r="I12" s="110">
        <f t="shared" ca="1" si="0"/>
        <v>416.24372555058881</v>
      </c>
      <c r="J12" s="110">
        <f t="shared" ca="1" si="5"/>
        <v>96.089998269225319</v>
      </c>
      <c r="K12" s="110">
        <f t="shared" ca="1" si="6"/>
        <v>1.3483885954391042</v>
      </c>
      <c r="M12" s="110">
        <f t="shared" ca="1" si="1"/>
        <v>393.54796403996318</v>
      </c>
      <c r="N12" s="110">
        <f t="shared" ca="1" si="1"/>
        <v>411.2209148358358</v>
      </c>
      <c r="O12" s="110">
        <f t="shared" ca="1" si="7"/>
        <v>76.048999263460743</v>
      </c>
      <c r="P12" s="110">
        <f t="shared" ca="1" si="8"/>
        <v>-18.692610410325472</v>
      </c>
      <c r="R12" s="110">
        <f t="shared" ca="1" si="2"/>
        <v>393.54796403996318</v>
      </c>
      <c r="S12" s="110">
        <f t="shared" ca="1" si="2"/>
        <v>411.2209148358358</v>
      </c>
      <c r="T12" s="110">
        <f t="shared" ca="1" si="9"/>
        <v>76.048999263460743</v>
      </c>
      <c r="U12" s="110">
        <f t="shared" ca="1" si="10"/>
        <v>-18.692610410325472</v>
      </c>
      <c r="W12" s="110">
        <f t="shared" ca="1" si="3"/>
        <v>391.99543598174927</v>
      </c>
      <c r="X12" s="110">
        <f t="shared" ca="1" si="3"/>
        <v>415.30469757994507</v>
      </c>
      <c r="Y12" s="110">
        <f t="shared" ca="1" si="11"/>
        <v>99.99999999999973</v>
      </c>
      <c r="Z12" s="110">
        <f t="shared" ca="1" si="12"/>
        <v>5.2583903262135152</v>
      </c>
    </row>
    <row r="13" spans="1:26" x14ac:dyDescent="0.2">
      <c r="B13" s="163" t="s">
        <v>73</v>
      </c>
      <c r="C13" s="163" t="s">
        <v>8</v>
      </c>
      <c r="D13" s="162">
        <v>284</v>
      </c>
      <c r="E13" s="162">
        <v>268</v>
      </c>
      <c r="F13" s="110">
        <f t="shared" si="4"/>
        <v>100.38951485629148</v>
      </c>
      <c r="G13" s="7"/>
      <c r="H13" s="110">
        <f t="shared" ref="H13:H20" ca="1" si="13">VLOOKUP(B13,INDIRECT("'"&amp;$H$3&amp;"'!Master_Frequencies"),2,FALSE)</f>
        <v>468.27419124441241</v>
      </c>
      <c r="I13" s="110">
        <f t="shared" ca="1" si="0"/>
        <v>495.00000000000011</v>
      </c>
      <c r="J13" s="110">
        <f t="shared" ca="1" si="5"/>
        <v>96.089998269224949</v>
      </c>
      <c r="K13" s="110">
        <f t="shared" ca="1" si="6"/>
        <v>-4.2995165870665346</v>
      </c>
      <c r="M13" s="110">
        <f t="shared" ca="1" si="1"/>
        <v>459.75895967129026</v>
      </c>
      <c r="N13" s="110">
        <f t="shared" ca="1" si="1"/>
        <v>491.93495504995394</v>
      </c>
      <c r="O13" s="110">
        <f t="shared" ca="1" si="7"/>
        <v>117.10785766895694</v>
      </c>
      <c r="P13" s="110">
        <f t="shared" ca="1" si="8"/>
        <v>16.718342812665455</v>
      </c>
      <c r="R13" s="110">
        <f t="shared" ca="1" si="2"/>
        <v>470.79317470340129</v>
      </c>
      <c r="S13" s="110">
        <f t="shared" ca="1" si="2"/>
        <v>491.93495504995394</v>
      </c>
      <c r="T13" s="110">
        <f t="shared" ca="1" si="9"/>
        <v>76.048999263461113</v>
      </c>
      <c r="U13" s="110">
        <f t="shared" ca="1" si="10"/>
        <v>-24.340515592830371</v>
      </c>
      <c r="W13" s="110">
        <f t="shared" ca="1" si="3"/>
        <v>466.16376151808987</v>
      </c>
      <c r="X13" s="110">
        <f t="shared" ca="1" si="3"/>
        <v>493.88330125612407</v>
      </c>
      <c r="Y13" s="110">
        <f t="shared" ca="1" si="11"/>
        <v>100.00000000000007</v>
      </c>
      <c r="Z13" s="110">
        <f t="shared" ca="1" si="12"/>
        <v>-0.38951485629141303</v>
      </c>
    </row>
    <row r="14" spans="1:26" x14ac:dyDescent="0.2">
      <c r="B14" s="163" t="s">
        <v>2</v>
      </c>
      <c r="C14" s="163" t="s">
        <v>74</v>
      </c>
      <c r="D14" s="162">
        <v>255</v>
      </c>
      <c r="E14" s="162">
        <v>243</v>
      </c>
      <c r="F14" s="110">
        <f t="shared" si="4"/>
        <v>83.449119903692434</v>
      </c>
      <c r="G14" s="7"/>
      <c r="H14" s="110">
        <f t="shared" ca="1" si="13"/>
        <v>263.40423257498196</v>
      </c>
      <c r="I14" s="110">
        <f t="shared" ca="1" si="0"/>
        <v>277.49581703372587</v>
      </c>
      <c r="J14" s="110">
        <f t="shared" ca="1" si="5"/>
        <v>90.224995673063063</v>
      </c>
      <c r="K14" s="110">
        <f t="shared" ca="1" si="6"/>
        <v>6.7758757693706286</v>
      </c>
      <c r="M14" s="110">
        <f t="shared" ca="1" si="1"/>
        <v>263.18138549493494</v>
      </c>
      <c r="N14" s="110">
        <f t="shared" ca="1" si="1"/>
        <v>275.00000000000011</v>
      </c>
      <c r="O14" s="110">
        <f t="shared" ca="1" si="7"/>
        <v>76.048999263460743</v>
      </c>
      <c r="P14" s="110">
        <f t="shared" ca="1" si="8"/>
        <v>-7.400120640231691</v>
      </c>
      <c r="R14" s="110">
        <f t="shared" ca="1" si="2"/>
        <v>263.18138549493494</v>
      </c>
      <c r="S14" s="110">
        <f t="shared" ca="1" si="2"/>
        <v>275.00000000000011</v>
      </c>
      <c r="T14" s="110">
        <f t="shared" ca="1" si="9"/>
        <v>76.048999263460743</v>
      </c>
      <c r="U14" s="110">
        <f t="shared" ca="1" si="10"/>
        <v>-7.400120640231691</v>
      </c>
      <c r="W14" s="110">
        <f t="shared" ca="1" si="3"/>
        <v>261.62556530059862</v>
      </c>
      <c r="X14" s="110">
        <f t="shared" ca="1" si="3"/>
        <v>277.18263097687208</v>
      </c>
      <c r="Y14" s="110">
        <f t="shared" ca="1" si="11"/>
        <v>100.00000000000007</v>
      </c>
      <c r="Z14" s="110">
        <f t="shared" ca="1" si="12"/>
        <v>16.550880096307637</v>
      </c>
    </row>
    <row r="15" spans="1:26" x14ac:dyDescent="0.2">
      <c r="B15" s="163" t="s">
        <v>76</v>
      </c>
      <c r="C15" s="163" t="s">
        <v>4</v>
      </c>
      <c r="D15" s="162">
        <v>212</v>
      </c>
      <c r="E15" s="162">
        <v>200</v>
      </c>
      <c r="F15" s="110">
        <f t="shared" si="4"/>
        <v>100.87711774616946</v>
      </c>
      <c r="G15" s="7"/>
      <c r="H15" s="110">
        <f t="shared" ca="1" si="13"/>
        <v>312.1827941629416</v>
      </c>
      <c r="I15" s="110">
        <f t="shared" ca="1" si="0"/>
        <v>330.00000000000006</v>
      </c>
      <c r="J15" s="110">
        <f t="shared" ca="1" si="5"/>
        <v>96.089998269224949</v>
      </c>
      <c r="K15" s="110">
        <f t="shared" ca="1" si="6"/>
        <v>-4.7871194769445111</v>
      </c>
      <c r="M15" s="110">
        <f t="shared" ca="1" si="1"/>
        <v>307.45934690622119</v>
      </c>
      <c r="N15" s="110">
        <f t="shared" ca="1" si="1"/>
        <v>328.97673186866865</v>
      </c>
      <c r="O15" s="110">
        <f t="shared" ca="1" si="7"/>
        <v>117.1078576689566</v>
      </c>
      <c r="P15" s="110">
        <f t="shared" ca="1" si="8"/>
        <v>16.230739922787137</v>
      </c>
      <c r="R15" s="110">
        <f t="shared" ca="1" si="2"/>
        <v>307.45934690622119</v>
      </c>
      <c r="S15" s="110">
        <f t="shared" ca="1" si="2"/>
        <v>328.97673186866865</v>
      </c>
      <c r="T15" s="110">
        <f t="shared" ca="1" si="9"/>
        <v>117.1078576689566</v>
      </c>
      <c r="U15" s="110">
        <f t="shared" ca="1" si="10"/>
        <v>16.230739922787137</v>
      </c>
      <c r="W15" s="110">
        <f t="shared" ca="1" si="3"/>
        <v>311.12698372208087</v>
      </c>
      <c r="X15" s="110">
        <f t="shared" ca="1" si="3"/>
        <v>329.62755691286992</v>
      </c>
      <c r="Y15" s="110">
        <f t="shared" ca="1" si="11"/>
        <v>100.00000000000007</v>
      </c>
      <c r="Z15" s="110">
        <f t="shared" ca="1" si="12"/>
        <v>-0.87711774616938953</v>
      </c>
    </row>
    <row r="16" spans="1:26" x14ac:dyDescent="0.2">
      <c r="B16" s="163" t="s">
        <v>5</v>
      </c>
      <c r="C16" s="163" t="s">
        <v>70</v>
      </c>
      <c r="D16" s="162">
        <v>188</v>
      </c>
      <c r="E16" s="162">
        <v>177.5</v>
      </c>
      <c r="F16" s="110">
        <f t="shared" si="4"/>
        <v>99.496364742711421</v>
      </c>
      <c r="G16" s="7"/>
      <c r="H16" s="110">
        <f t="shared" ca="1" si="13"/>
        <v>351.20564343330932</v>
      </c>
      <c r="I16" s="110">
        <f t="shared" ca="1" si="0"/>
        <v>369.99442271163451</v>
      </c>
      <c r="J16" s="110">
        <f t="shared" ca="1" si="5"/>
        <v>90.224995673063063</v>
      </c>
      <c r="K16" s="110">
        <f t="shared" ca="1" si="6"/>
        <v>-9.2713690696483582</v>
      </c>
      <c r="M16" s="110">
        <f t="shared" ca="1" si="1"/>
        <v>343.75000000000006</v>
      </c>
      <c r="N16" s="110">
        <f t="shared" ca="1" si="1"/>
        <v>367.80716773703227</v>
      </c>
      <c r="O16" s="110">
        <f t="shared" ca="1" si="7"/>
        <v>117.10785766895694</v>
      </c>
      <c r="P16" s="110">
        <f t="shared" ca="1" si="8"/>
        <v>17.611492926245518</v>
      </c>
      <c r="R16" s="110">
        <f t="shared" ca="1" si="2"/>
        <v>352.00000000000017</v>
      </c>
      <c r="S16" s="110">
        <f t="shared" ca="1" si="2"/>
        <v>367.80716773703227</v>
      </c>
      <c r="T16" s="110">
        <f t="shared" ca="1" si="9"/>
        <v>76.048999263460743</v>
      </c>
      <c r="U16" s="110">
        <f t="shared" ca="1" si="10"/>
        <v>-23.447365479250678</v>
      </c>
      <c r="W16" s="110">
        <f t="shared" ca="1" si="3"/>
        <v>349.22823143300388</v>
      </c>
      <c r="X16" s="110">
        <f t="shared" ca="1" si="3"/>
        <v>369.9944227116344</v>
      </c>
      <c r="Y16" s="110">
        <f t="shared" ca="1" si="11"/>
        <v>100.00000000000007</v>
      </c>
      <c r="Z16" s="110">
        <f t="shared" ca="1" si="12"/>
        <v>0.50363525728865</v>
      </c>
    </row>
    <row r="17" spans="2:26" x14ac:dyDescent="0.2">
      <c r="B17" s="163" t="s">
        <v>6</v>
      </c>
      <c r="C17" s="163" t="s">
        <v>72</v>
      </c>
      <c r="D17" s="162">
        <v>167</v>
      </c>
      <c r="E17" s="162">
        <v>159.5</v>
      </c>
      <c r="F17" s="110">
        <f t="shared" si="4"/>
        <v>79.55001445101928</v>
      </c>
      <c r="G17" s="7"/>
      <c r="H17" s="110">
        <f t="shared" ca="1" si="13"/>
        <v>393.77008877325875</v>
      </c>
      <c r="I17" s="110">
        <f t="shared" ca="1" si="0"/>
        <v>416.24372555058881</v>
      </c>
      <c r="J17" s="110">
        <f t="shared" ca="1" si="5"/>
        <v>96.089998269225319</v>
      </c>
      <c r="K17" s="110">
        <f t="shared" ca="1" si="6"/>
        <v>16.539983818206039</v>
      </c>
      <c r="M17" s="110">
        <f t="shared" ca="1" si="1"/>
        <v>393.54796403996318</v>
      </c>
      <c r="N17" s="110">
        <f t="shared" ca="1" si="1"/>
        <v>411.2209148358358</v>
      </c>
      <c r="O17" s="110">
        <f t="shared" ca="1" si="7"/>
        <v>76.048999263460743</v>
      </c>
      <c r="P17" s="110">
        <f t="shared" ca="1" si="8"/>
        <v>-3.5010151875585365</v>
      </c>
      <c r="R17" s="110">
        <f t="shared" ca="1" si="2"/>
        <v>393.54796403996318</v>
      </c>
      <c r="S17" s="110">
        <f t="shared" ca="1" si="2"/>
        <v>411.2209148358358</v>
      </c>
      <c r="T17" s="110">
        <f t="shared" ca="1" si="9"/>
        <v>76.048999263460743</v>
      </c>
      <c r="U17" s="110">
        <f t="shared" ca="1" si="10"/>
        <v>-3.5010151875585365</v>
      </c>
      <c r="W17" s="110">
        <f t="shared" ca="1" si="3"/>
        <v>391.99543598174927</v>
      </c>
      <c r="X17" s="110">
        <f t="shared" ca="1" si="3"/>
        <v>415.30469757994507</v>
      </c>
      <c r="Y17" s="110">
        <f t="shared" ca="1" si="11"/>
        <v>99.99999999999973</v>
      </c>
      <c r="Z17" s="110">
        <f t="shared" ca="1" si="12"/>
        <v>20.44998554898045</v>
      </c>
    </row>
    <row r="18" spans="2:26" x14ac:dyDescent="0.2">
      <c r="B18" s="163" t="s">
        <v>73</v>
      </c>
      <c r="C18" s="163" t="s">
        <v>8</v>
      </c>
      <c r="D18" s="162">
        <v>136</v>
      </c>
      <c r="E18" s="162">
        <v>128</v>
      </c>
      <c r="F18" s="110">
        <f t="shared" si="4"/>
        <v>104.95540950040728</v>
      </c>
      <c r="G18" s="7"/>
      <c r="H18" s="110">
        <f t="shared" ca="1" si="13"/>
        <v>468.27419124441241</v>
      </c>
      <c r="I18" s="110">
        <f t="shared" ca="1" si="0"/>
        <v>495.00000000000011</v>
      </c>
      <c r="J18" s="110">
        <f t="shared" ca="1" si="5"/>
        <v>96.089998269224949</v>
      </c>
      <c r="K18" s="110">
        <f t="shared" ca="1" si="6"/>
        <v>-8.8654112311823354</v>
      </c>
      <c r="M18" s="110">
        <f t="shared" ca="1" si="1"/>
        <v>459.75895967129026</v>
      </c>
      <c r="N18" s="110">
        <f t="shared" ca="1" si="1"/>
        <v>491.93495504995394</v>
      </c>
      <c r="O18" s="110">
        <f t="shared" ca="1" si="7"/>
        <v>117.10785766895694</v>
      </c>
      <c r="P18" s="110">
        <f t="shared" ca="1" si="8"/>
        <v>12.152448168549654</v>
      </c>
      <c r="R18" s="110">
        <f t="shared" ca="1" si="2"/>
        <v>470.79317470340129</v>
      </c>
      <c r="S18" s="110">
        <f t="shared" ca="1" si="2"/>
        <v>491.93495504995394</v>
      </c>
      <c r="T18" s="110">
        <f t="shared" ca="1" si="9"/>
        <v>76.048999263461113</v>
      </c>
      <c r="U18" s="110">
        <f t="shared" ca="1" si="10"/>
        <v>-28.906410236946172</v>
      </c>
      <c r="W18" s="110">
        <f t="shared" ca="1" si="3"/>
        <v>466.16376151808987</v>
      </c>
      <c r="X18" s="110">
        <f t="shared" ca="1" si="3"/>
        <v>493.88330125612407</v>
      </c>
      <c r="Y18" s="110">
        <f t="shared" ca="1" si="11"/>
        <v>100.00000000000007</v>
      </c>
      <c r="Z18" s="110">
        <f t="shared" ca="1" si="12"/>
        <v>-4.9554095004072138</v>
      </c>
    </row>
    <row r="19" spans="2:26" x14ac:dyDescent="0.2">
      <c r="B19" s="163" t="s">
        <v>2</v>
      </c>
      <c r="C19" s="163" t="s">
        <v>74</v>
      </c>
      <c r="D19" s="162">
        <v>123</v>
      </c>
      <c r="E19" s="162">
        <v>115</v>
      </c>
      <c r="F19" s="110">
        <f t="shared" si="4"/>
        <v>116.42934527383767</v>
      </c>
      <c r="G19" s="7"/>
      <c r="H19" s="110">
        <f t="shared" ca="1" si="13"/>
        <v>263.40423257498196</v>
      </c>
      <c r="I19" s="110">
        <f t="shared" ca="1" si="0"/>
        <v>277.49581703372587</v>
      </c>
      <c r="J19" s="110">
        <f t="shared" ca="1" si="5"/>
        <v>90.224995673063063</v>
      </c>
      <c r="K19" s="110">
        <f t="shared" ca="1" si="6"/>
        <v>-26.204349600774606</v>
      </c>
      <c r="M19" s="110">
        <f t="shared" ca="1" si="1"/>
        <v>263.18138549493494</v>
      </c>
      <c r="N19" s="110">
        <f t="shared" ca="1" si="1"/>
        <v>275.00000000000011</v>
      </c>
      <c r="O19" s="110">
        <f t="shared" ca="1" si="7"/>
        <v>76.048999263460743</v>
      </c>
      <c r="P19" s="110">
        <f t="shared" ca="1" si="8"/>
        <v>-40.380346010376925</v>
      </c>
      <c r="R19" s="110">
        <f t="shared" ca="1" si="2"/>
        <v>263.18138549493494</v>
      </c>
      <c r="S19" s="110">
        <f t="shared" ca="1" si="2"/>
        <v>275.00000000000011</v>
      </c>
      <c r="T19" s="110">
        <f t="shared" ca="1" si="9"/>
        <v>76.048999263460743</v>
      </c>
      <c r="U19" s="110">
        <f t="shared" ca="1" si="10"/>
        <v>-40.380346010376925</v>
      </c>
      <c r="W19" s="110">
        <f t="shared" ca="1" si="3"/>
        <v>261.62556530059862</v>
      </c>
      <c r="X19" s="110">
        <f t="shared" ca="1" si="3"/>
        <v>277.18263097687208</v>
      </c>
      <c r="Y19" s="110">
        <f t="shared" ca="1" si="11"/>
        <v>100.00000000000007</v>
      </c>
      <c r="Z19" s="110">
        <f t="shared" ca="1" si="12"/>
        <v>-16.429345273837598</v>
      </c>
    </row>
    <row r="20" spans="2:26" x14ac:dyDescent="0.2">
      <c r="B20" s="163" t="s">
        <v>76</v>
      </c>
      <c r="C20" s="163" t="s">
        <v>4</v>
      </c>
      <c r="D20" s="162">
        <v>100</v>
      </c>
      <c r="E20" s="162">
        <v>93</v>
      </c>
      <c r="F20" s="110">
        <f t="shared" si="4"/>
        <v>125.63685440003186</v>
      </c>
      <c r="G20" s="7"/>
      <c r="H20" s="110">
        <f t="shared" ca="1" si="13"/>
        <v>312.1827941629416</v>
      </c>
      <c r="I20" s="110">
        <f t="shared" ca="1" si="0"/>
        <v>330.00000000000006</v>
      </c>
      <c r="J20" s="110">
        <f t="shared" ca="1" si="5"/>
        <v>96.089998269224949</v>
      </c>
      <c r="K20" s="110">
        <f t="shared" ca="1" si="6"/>
        <v>-29.546856130806916</v>
      </c>
      <c r="M20" s="110">
        <f t="shared" ca="1" si="1"/>
        <v>307.45934690622119</v>
      </c>
      <c r="N20" s="110">
        <f t="shared" ca="1" si="1"/>
        <v>328.97673186866865</v>
      </c>
      <c r="O20" s="110">
        <f t="shared" ca="1" si="7"/>
        <v>117.1078576689566</v>
      </c>
      <c r="P20" s="110">
        <f t="shared" ca="1" si="8"/>
        <v>-8.5289967310752672</v>
      </c>
      <c r="R20" s="110">
        <f t="shared" ca="1" si="2"/>
        <v>307.45934690622119</v>
      </c>
      <c r="S20" s="110">
        <f t="shared" ca="1" si="2"/>
        <v>328.97673186866865</v>
      </c>
      <c r="T20" s="110">
        <f t="shared" ca="1" si="9"/>
        <v>117.1078576689566</v>
      </c>
      <c r="U20" s="110">
        <f t="shared" ca="1" si="10"/>
        <v>-8.5289967310752672</v>
      </c>
      <c r="W20" s="110">
        <f t="shared" ca="1" si="3"/>
        <v>311.12698372208087</v>
      </c>
      <c r="X20" s="110">
        <f t="shared" ca="1" si="3"/>
        <v>329.62755691286992</v>
      </c>
      <c r="Y20" s="110">
        <f t="shared" ca="1" si="11"/>
        <v>100.00000000000007</v>
      </c>
      <c r="Z20" s="110">
        <f t="shared" ca="1" si="12"/>
        <v>-25.636854400031794</v>
      </c>
    </row>
    <row r="21" spans="2:26" x14ac:dyDescent="0.2">
      <c r="B21" s="119"/>
      <c r="C21" s="119"/>
      <c r="H21" s="288" t="str">
        <f ca="1">_xlfn.CONCAT($F$5," vs. ",H4)</f>
        <v>Hubert, Edinburgh, 1784 Fret Size cents vs. Werckmeister III</v>
      </c>
      <c r="I21" s="288"/>
      <c r="J21" s="288"/>
      <c r="K21" s="288"/>
      <c r="M21" s="278" t="str">
        <f ca="1">_xlfn.CONCAT($F$5," vs. ",M4)</f>
        <v>Hubert, Edinburgh, 1784 Fret Size cents vs. Meantone Quarter Comma</v>
      </c>
      <c r="N21" s="278"/>
      <c r="O21" s="278"/>
      <c r="P21" s="278"/>
      <c r="Q21" s="117"/>
      <c r="R21" s="288" t="str">
        <f ca="1">_xlfn.CONCAT($F$5," vs. ",R4)</f>
        <v>Hubert, Edinburgh, 1784 Fret Size cents vs. Meantone Octave with Matching Octaves</v>
      </c>
      <c r="S21" s="288"/>
      <c r="T21" s="288"/>
      <c r="U21" s="288"/>
      <c r="W21" s="288" t="str">
        <f ca="1">_xlfn.CONCAT($F$5," vs. ",W4)</f>
        <v>Hubert, Edinburgh, 1784 Fret Size cents vs. Equal Temperament</v>
      </c>
      <c r="X21" s="288"/>
      <c r="Y21" s="288"/>
      <c r="Z21" s="288"/>
    </row>
    <row r="22" spans="2:26" x14ac:dyDescent="0.2">
      <c r="B22" s="80" t="s">
        <v>63</v>
      </c>
      <c r="J22" s="119" t="s">
        <v>94</v>
      </c>
      <c r="K22" s="110">
        <f ca="1">SQRT(SUMSQ(K6:K20)/COUNT(K6:K20))</f>
        <v>12.350837893702709</v>
      </c>
      <c r="O22" s="119" t="s">
        <v>94</v>
      </c>
      <c r="P22" s="110">
        <f ca="1">SQRT(SUMSQ(P6:P20)/COUNT(P6:P20))</f>
        <v>21.972764117288687</v>
      </c>
      <c r="T22" s="119" t="s">
        <v>94</v>
      </c>
      <c r="U22" s="110">
        <f ca="1">SQRT(SUMSQ(U6:U20)/COUNT(U6:U20))</f>
        <v>20.075835305243668</v>
      </c>
      <c r="Y22" s="119" t="s">
        <v>94</v>
      </c>
      <c r="Z22" s="110">
        <f ca="1">SQRT(SUMSQ(Z6:Z20)/COUNT(Z6:Z20))</f>
        <v>12.554564295280352</v>
      </c>
    </row>
    <row r="23" spans="2:26" x14ac:dyDescent="0.2">
      <c r="B23" s="286"/>
      <c r="C23" s="286"/>
      <c r="D23" s="286"/>
      <c r="E23" s="286"/>
      <c r="X23" s="7"/>
    </row>
    <row r="25" spans="2:26" ht="19" x14ac:dyDescent="0.2">
      <c r="D25" s="7"/>
      <c r="N25" s="120"/>
      <c r="P25" s="7"/>
      <c r="R25" s="7"/>
    </row>
    <row r="26" spans="2:26" x14ac:dyDescent="0.2">
      <c r="D26" s="7"/>
      <c r="P26" s="7"/>
      <c r="R26" s="7"/>
    </row>
    <row r="27" spans="2:26" x14ac:dyDescent="0.2">
      <c r="D27" s="7"/>
      <c r="P27" s="7"/>
      <c r="R27" s="7"/>
    </row>
    <row r="28" spans="2:26" x14ac:dyDescent="0.2">
      <c r="D28" s="7"/>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P37" s="7"/>
      <c r="R37" s="7"/>
    </row>
  </sheetData>
  <sheetProtection sheet="1" objects="1" scenarios="1" formatCells="0"/>
  <mergeCells count="15">
    <mergeCell ref="W3:Z3"/>
    <mergeCell ref="B1:H1"/>
    <mergeCell ref="B3:E3"/>
    <mergeCell ref="H3:K3"/>
    <mergeCell ref="M3:P3"/>
    <mergeCell ref="R3:U3"/>
    <mergeCell ref="B23:E23"/>
    <mergeCell ref="H4:K4"/>
    <mergeCell ref="M4:P4"/>
    <mergeCell ref="R4:U4"/>
    <mergeCell ref="W4:Z4"/>
    <mergeCell ref="H21:K21"/>
    <mergeCell ref="M21:P21"/>
    <mergeCell ref="R21:U21"/>
    <mergeCell ref="W21:Z21"/>
  </mergeCells>
  <conditionalFormatting sqref="A1:XFD1048576">
    <cfRule type="expression" dxfId="106" priority="1">
      <formula>CELL("protect",A1)=0</formula>
    </cfRule>
  </conditionalFormatting>
  <conditionalFormatting sqref="A5:XFD20 B24:F32 G24:G36 I24:L36 C33:F33 B34:F36 B37:L1048576">
    <cfRule type="expression" dxfId="105" priority="2">
      <formula>_xlfn.ISFORMULA(A5)</formula>
    </cfRule>
  </conditionalFormatting>
  <conditionalFormatting sqref="B3:B4 F3:H4 L3:M4 Q3:R4 V3:W4 AA3:XFD4 L21:M21 R21 B21:H22 V21:W22 AA21:XFD22 J22:M22 O22:R22 T22:U22 Y22:Z22 B23 F23:L23 M23:Q24 R23:XFD1048576 M25 O25:Q25 M26:Q1048576">
    <cfRule type="expression" dxfId="104" priority="3">
      <formula>_xlfn.ISFORMULA(B3)</formula>
    </cfRule>
  </conditionalFormatting>
  <hyperlinks>
    <hyperlink ref="B22" location="Overview!A1" display="Back to Overview" xr:uid="{900F2FAE-4C46-6F45-B721-CF7B683A267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EE68-FB53-034F-9514-9725857ADA95}">
  <sheetPr>
    <tabColor theme="9" tint="0.59999389629810485"/>
  </sheetPr>
  <dimension ref="A1:Z38"/>
  <sheetViews>
    <sheetView zoomScaleNormal="100" workbookViewId="0"/>
  </sheetViews>
  <sheetFormatPr baseColWidth="10" defaultColWidth="12" defaultRowHeight="16" x14ac:dyDescent="0.2"/>
  <cols>
    <col min="1" max="1" width="2.83203125" style="250" customWidth="1"/>
    <col min="2" max="7" width="12" style="250"/>
    <col min="8" max="9" width="14.33203125" style="250" customWidth="1"/>
    <col min="10" max="12" width="12" style="250"/>
    <col min="13" max="14" width="14.33203125" style="250" customWidth="1"/>
    <col min="15" max="17" width="12" style="250"/>
    <col min="18" max="19" width="14.33203125" style="250" customWidth="1"/>
    <col min="20" max="22" width="12" style="250"/>
    <col min="23" max="24" width="14.33203125" style="250" customWidth="1"/>
    <col min="25" max="16384" width="12" style="250"/>
  </cols>
  <sheetData>
    <row r="1" spans="1:26" s="251" customFormat="1" ht="18" x14ac:dyDescent="0.2">
      <c r="A1" s="250"/>
      <c r="B1" s="305" t="s">
        <v>598</v>
      </c>
      <c r="C1" s="305"/>
      <c r="D1" s="305"/>
      <c r="E1" s="305"/>
      <c r="F1" s="305"/>
      <c r="G1" s="305"/>
      <c r="H1" s="305"/>
      <c r="M1" s="251" t="s">
        <v>481</v>
      </c>
    </row>
    <row r="3" spans="1:26" s="252" customFormat="1" x14ac:dyDescent="0.2">
      <c r="B3" s="306" t="s">
        <v>59</v>
      </c>
      <c r="C3" s="306"/>
      <c r="D3" s="306"/>
      <c r="E3" s="306"/>
      <c r="H3" s="307" t="s">
        <v>24</v>
      </c>
      <c r="I3" s="307"/>
      <c r="J3" s="307"/>
      <c r="K3" s="307"/>
      <c r="M3" s="307" t="s">
        <v>58</v>
      </c>
      <c r="N3" s="307"/>
      <c r="O3" s="307"/>
      <c r="P3" s="307"/>
      <c r="R3" s="307" t="s">
        <v>109</v>
      </c>
      <c r="S3" s="307"/>
      <c r="T3" s="307"/>
      <c r="U3" s="307"/>
      <c r="W3" s="307" t="s">
        <v>158</v>
      </c>
      <c r="X3" s="307"/>
      <c r="Y3" s="307"/>
      <c r="Z3" s="307"/>
    </row>
    <row r="4" spans="1:26" s="252" customFormat="1" x14ac:dyDescent="0.2">
      <c r="B4" s="253"/>
      <c r="C4" s="253"/>
      <c r="D4" s="253"/>
      <c r="E4" s="253"/>
      <c r="H4" s="302" t="str">
        <f t="array" aca="1" ref="H4" ca="1">INDIRECT("'"&amp;H3&amp;"'!B1")</f>
        <v>Werckmeister III</v>
      </c>
      <c r="I4" s="302"/>
      <c r="J4" s="302"/>
      <c r="K4" s="302"/>
      <c r="M4" s="302" t="str">
        <f t="array" aca="1" ref="M4" ca="1">INDIRECT("'"&amp;M3&amp;"'!B1")</f>
        <v>Meantone Quarter Comma</v>
      </c>
      <c r="N4" s="302"/>
      <c r="O4" s="302"/>
      <c r="P4" s="302"/>
      <c r="R4" s="302" t="str">
        <f t="array" aca="1" ref="R4" ca="1">INDIRECT("'"&amp;R3&amp;"'!B1")</f>
        <v>Meantone Octave with Matching Octaves</v>
      </c>
      <c r="S4" s="302"/>
      <c r="T4" s="302"/>
      <c r="U4" s="302"/>
      <c r="W4" s="302" t="str">
        <f t="array" aca="1" ref="W4" ca="1">INDIRECT("'"&amp;W3&amp;"'!B1")</f>
        <v>Equal Temperament</v>
      </c>
      <c r="X4" s="302"/>
      <c r="Y4" s="302"/>
      <c r="Z4" s="302"/>
    </row>
    <row r="5" spans="1:26" s="254" customFormat="1" ht="68" x14ac:dyDescent="0.2">
      <c r="B5" s="255" t="s">
        <v>56</v>
      </c>
      <c r="C5" s="255" t="s">
        <v>57</v>
      </c>
      <c r="D5" s="254" t="s">
        <v>25</v>
      </c>
      <c r="E5" s="254" t="s">
        <v>26</v>
      </c>
      <c r="F5" s="254" t="str">
        <f t="array" aca="1" ref="F5" ca="1">_xlfn.CONCAT(_xlfn.TEXTAFTER(CELL("filename",B3),"]")," Fret Size cents")</f>
        <v>Hubert, Nürnberg, 1789 Fret Size cents</v>
      </c>
      <c r="H5" s="254" t="str">
        <f>_xlfn.CONCAT(H3," Frequency 1")</f>
        <v>Werckmeister III Frequency 1</v>
      </c>
      <c r="I5" s="254" t="str">
        <f>_xlfn.CONCAT(H3," Frequency 2")</f>
        <v>Werckmeister III Frequency 2</v>
      </c>
      <c r="J5" s="254" t="s">
        <v>472</v>
      </c>
      <c r="K5" s="254" t="s">
        <v>473</v>
      </c>
      <c r="M5" s="254" t="str">
        <f>_xlfn.CONCAT(M3," Frequency 1")</f>
        <v>Meantone q. comma Frequency 1</v>
      </c>
      <c r="N5" s="254" t="str">
        <f>_xlfn.CONCAT(M3," Frequency 2")</f>
        <v>Meantone q. comma Frequency 2</v>
      </c>
      <c r="O5" s="254" t="s">
        <v>472</v>
      </c>
      <c r="P5" s="254" t="s">
        <v>473</v>
      </c>
      <c r="R5" s="254" t="str">
        <f>_xlfn.CONCAT(R3," Frequency 1")</f>
        <v>Meantone Oct 1 Frequency 1</v>
      </c>
      <c r="S5" s="254" t="str">
        <f>_xlfn.CONCAT(R3," Frequency 2")</f>
        <v>Meantone Oct 1 Frequency 2</v>
      </c>
      <c r="T5" s="254" t="s">
        <v>472</v>
      </c>
      <c r="U5" s="254" t="s">
        <v>473</v>
      </c>
      <c r="W5" s="254" t="str">
        <f>_xlfn.CONCAT(W3," Frequency 1")</f>
        <v>Equal Frequency 1</v>
      </c>
      <c r="X5" s="254" t="str">
        <f>_xlfn.CONCAT(W3," Frequency 2")</f>
        <v>Equal Frequency 2</v>
      </c>
      <c r="Y5" s="254" t="s">
        <v>472</v>
      </c>
      <c r="Z5" s="254" t="s">
        <v>473</v>
      </c>
    </row>
    <row r="6" spans="1:26" x14ac:dyDescent="0.2">
      <c r="B6" s="256" t="s">
        <v>5</v>
      </c>
      <c r="C6" s="256" t="s">
        <v>70</v>
      </c>
      <c r="D6" s="257">
        <v>726</v>
      </c>
      <c r="E6" s="257">
        <v>692.5</v>
      </c>
      <c r="F6" s="250">
        <f t="shared" ref="F6:F21" si="0">1200*LOG(D6/E6,2)</f>
        <v>81.78657247104006</v>
      </c>
      <c r="H6" s="250">
        <f t="shared" ref="H6:I21" ca="1" si="1">VLOOKUP(B6,INDIRECT("'"&amp;$H$3&amp;"'!Master_Frequencies"),2,FALSE())</f>
        <v>351.20564343330932</v>
      </c>
      <c r="I6" s="250">
        <f t="shared" ca="1" si="1"/>
        <v>369.99442271163451</v>
      </c>
      <c r="J6" s="250">
        <f t="shared" ref="J6:J21" ca="1" si="2">LOG(I6/H6,2)*1200</f>
        <v>90.224995673063063</v>
      </c>
      <c r="K6" s="250">
        <f t="shared" ref="K6:K21" ca="1" si="3">J6-F6</f>
        <v>8.438423202023003</v>
      </c>
      <c r="M6" s="250">
        <f t="shared" ref="M6:N21" ca="1" si="4">VLOOKUP(B6,INDIRECT("'"&amp;$M$3&amp;"'!Master_Frequencies"),2,FALSE())</f>
        <v>343.75000000000006</v>
      </c>
      <c r="N6" s="250">
        <f t="shared" ca="1" si="4"/>
        <v>367.80716773703227</v>
      </c>
      <c r="O6" s="250">
        <f t="shared" ref="O6:O21" ca="1" si="5">LOG(N6/M6,2)*1200</f>
        <v>117.10785766895694</v>
      </c>
      <c r="P6" s="250">
        <f t="shared" ref="P6:P21" ca="1" si="6">O6-F6</f>
        <v>35.321285197916879</v>
      </c>
      <c r="R6" s="250">
        <f t="shared" ref="R6:S21" ca="1" si="7">VLOOKUP(B6,INDIRECT("'"&amp;$R$3&amp;"'!Master_Frequencies"),2,FALSE())</f>
        <v>352.00000000000017</v>
      </c>
      <c r="S6" s="250">
        <f t="shared" ca="1" si="7"/>
        <v>367.80716773703227</v>
      </c>
      <c r="T6" s="250">
        <f t="shared" ref="T6:T21" ca="1" si="8">LOG(S6/R6,2)*1200</f>
        <v>76.048999263460743</v>
      </c>
      <c r="U6" s="250">
        <f t="shared" ref="U6:U21" ca="1" si="9">T6-F6</f>
        <v>-5.7375732075793167</v>
      </c>
      <c r="W6" s="250">
        <f t="shared" ref="W6:X21" ca="1" si="10">VLOOKUP(B6,INDIRECT("'"&amp;$W$3&amp;"'!Master_Frequencies"),2,FALSE())</f>
        <v>349.22823143300388</v>
      </c>
      <c r="X6" s="250">
        <f t="shared" ca="1" si="10"/>
        <v>369.9944227116344</v>
      </c>
      <c r="Y6" s="250">
        <f t="shared" ref="Y6:Y21" ca="1" si="11">LOG(X6/W6,2)*1200</f>
        <v>100.00000000000007</v>
      </c>
      <c r="Z6" s="250">
        <f t="shared" ref="Z6:Z21" ca="1" si="12">Y6-F6</f>
        <v>18.213427528960011</v>
      </c>
    </row>
    <row r="7" spans="1:26" x14ac:dyDescent="0.2">
      <c r="B7" s="256" t="s">
        <v>6</v>
      </c>
      <c r="C7" s="256" t="s">
        <v>72</v>
      </c>
      <c r="D7" s="257">
        <v>666</v>
      </c>
      <c r="E7" s="257">
        <v>632</v>
      </c>
      <c r="F7" s="250">
        <f t="shared" si="0"/>
        <v>90.717142672991173</v>
      </c>
      <c r="H7" s="250">
        <f t="shared" ca="1" si="1"/>
        <v>393.77008877325875</v>
      </c>
      <c r="I7" s="250">
        <f t="shared" ca="1" si="1"/>
        <v>416.24372555058881</v>
      </c>
      <c r="J7" s="250">
        <f t="shared" ca="1" si="2"/>
        <v>96.089998269225319</v>
      </c>
      <c r="K7" s="250">
        <f t="shared" ca="1" si="3"/>
        <v>5.372855596234146</v>
      </c>
      <c r="M7" s="250">
        <f t="shared" ca="1" si="4"/>
        <v>393.54796403996318</v>
      </c>
      <c r="N7" s="250">
        <f t="shared" ca="1" si="4"/>
        <v>411.2209148358358</v>
      </c>
      <c r="O7" s="250">
        <f t="shared" ca="1" si="5"/>
        <v>76.048999263460743</v>
      </c>
      <c r="P7" s="250">
        <f t="shared" ca="1" si="6"/>
        <v>-14.66814340953043</v>
      </c>
      <c r="R7" s="250">
        <f t="shared" ca="1" si="7"/>
        <v>393.54796403996318</v>
      </c>
      <c r="S7" s="250">
        <f t="shared" ca="1" si="7"/>
        <v>411.2209148358358</v>
      </c>
      <c r="T7" s="250">
        <f t="shared" ca="1" si="8"/>
        <v>76.048999263460743</v>
      </c>
      <c r="U7" s="250">
        <f t="shared" ca="1" si="9"/>
        <v>-14.66814340953043</v>
      </c>
      <c r="W7" s="250">
        <f t="shared" ca="1" si="10"/>
        <v>391.99543598174927</v>
      </c>
      <c r="X7" s="250">
        <f t="shared" ca="1" si="10"/>
        <v>415.30469757994507</v>
      </c>
      <c r="Y7" s="250">
        <f t="shared" ca="1" si="11"/>
        <v>99.99999999999973</v>
      </c>
      <c r="Z7" s="250">
        <f t="shared" ca="1" si="12"/>
        <v>9.282857327008557</v>
      </c>
    </row>
    <row r="8" spans="1:26" x14ac:dyDescent="0.2">
      <c r="B8" s="256" t="s">
        <v>73</v>
      </c>
      <c r="C8" s="256" t="s">
        <v>8</v>
      </c>
      <c r="D8" s="257">
        <v>572</v>
      </c>
      <c r="E8" s="257">
        <v>544</v>
      </c>
      <c r="F8" s="250">
        <f t="shared" si="0"/>
        <v>86.890194633660073</v>
      </c>
      <c r="H8" s="250">
        <f t="shared" ca="1" si="1"/>
        <v>468.27419124441241</v>
      </c>
      <c r="I8" s="250">
        <f t="shared" ca="1" si="1"/>
        <v>495.00000000000011</v>
      </c>
      <c r="J8" s="250">
        <f t="shared" ca="1" si="2"/>
        <v>96.089998269224949</v>
      </c>
      <c r="K8" s="250">
        <f t="shared" ca="1" si="3"/>
        <v>9.1998036355648765</v>
      </c>
      <c r="M8" s="250">
        <f t="shared" ca="1" si="4"/>
        <v>459.75895967129026</v>
      </c>
      <c r="N8" s="250">
        <f t="shared" ca="1" si="4"/>
        <v>491.93495504995394</v>
      </c>
      <c r="O8" s="250">
        <f t="shared" ca="1" si="5"/>
        <v>117.10785766895694</v>
      </c>
      <c r="P8" s="250">
        <f t="shared" ca="1" si="6"/>
        <v>30.217663035296866</v>
      </c>
      <c r="R8" s="250">
        <f t="shared" ca="1" si="7"/>
        <v>470.79317470340129</v>
      </c>
      <c r="S8" s="250">
        <f t="shared" ca="1" si="7"/>
        <v>491.93495504995394</v>
      </c>
      <c r="T8" s="250">
        <f t="shared" ca="1" si="8"/>
        <v>76.048999263461113</v>
      </c>
      <c r="U8" s="250">
        <f t="shared" ca="1" si="9"/>
        <v>-10.84119537019896</v>
      </c>
      <c r="W8" s="250">
        <f t="shared" ca="1" si="10"/>
        <v>466.16376151808987</v>
      </c>
      <c r="X8" s="250">
        <f t="shared" ca="1" si="10"/>
        <v>493.88330125612407</v>
      </c>
      <c r="Y8" s="250">
        <f t="shared" ca="1" si="11"/>
        <v>100.00000000000007</v>
      </c>
      <c r="Z8" s="250">
        <f t="shared" ca="1" si="12"/>
        <v>13.109805366339998</v>
      </c>
    </row>
    <row r="9" spans="1:26" x14ac:dyDescent="0.2">
      <c r="B9" s="256" t="s">
        <v>2</v>
      </c>
      <c r="C9" s="256" t="s">
        <v>74</v>
      </c>
      <c r="D9" s="257">
        <v>515</v>
      </c>
      <c r="E9" s="257">
        <v>488</v>
      </c>
      <c r="F9" s="250">
        <f t="shared" si="0"/>
        <v>93.229541409233306</v>
      </c>
      <c r="H9" s="250">
        <f t="shared" ca="1" si="1"/>
        <v>263.40423257498196</v>
      </c>
      <c r="I9" s="250">
        <f t="shared" ca="1" si="1"/>
        <v>277.49581703372587</v>
      </c>
      <c r="J9" s="250">
        <f t="shared" ca="1" si="2"/>
        <v>90.224995673063063</v>
      </c>
      <c r="K9" s="250">
        <f t="shared" ca="1" si="3"/>
        <v>-3.0045457361702432</v>
      </c>
      <c r="M9" s="250">
        <f t="shared" ca="1" si="4"/>
        <v>263.18138549493494</v>
      </c>
      <c r="N9" s="250">
        <f t="shared" ca="1" si="4"/>
        <v>275.00000000000011</v>
      </c>
      <c r="O9" s="250">
        <f t="shared" ca="1" si="5"/>
        <v>76.048999263460743</v>
      </c>
      <c r="P9" s="250">
        <f t="shared" ca="1" si="6"/>
        <v>-17.180542145772563</v>
      </c>
      <c r="R9" s="250">
        <f t="shared" ca="1" si="7"/>
        <v>263.18138549493494</v>
      </c>
      <c r="S9" s="250">
        <f t="shared" ca="1" si="7"/>
        <v>275.00000000000011</v>
      </c>
      <c r="T9" s="250">
        <f t="shared" ca="1" si="8"/>
        <v>76.048999263460743</v>
      </c>
      <c r="U9" s="250">
        <f t="shared" ca="1" si="9"/>
        <v>-17.180542145772563</v>
      </c>
      <c r="W9" s="250">
        <f t="shared" ca="1" si="10"/>
        <v>261.62556530059862</v>
      </c>
      <c r="X9" s="250">
        <f t="shared" ca="1" si="10"/>
        <v>277.18263097687208</v>
      </c>
      <c r="Y9" s="250">
        <f t="shared" ca="1" si="11"/>
        <v>100.00000000000007</v>
      </c>
      <c r="Z9" s="250">
        <f t="shared" ca="1" si="12"/>
        <v>6.7704585907667649</v>
      </c>
    </row>
    <row r="10" spans="1:26" x14ac:dyDescent="0.2">
      <c r="B10" s="256" t="s">
        <v>76</v>
      </c>
      <c r="C10" s="256" t="s">
        <v>4</v>
      </c>
      <c r="D10" s="257">
        <v>437</v>
      </c>
      <c r="E10" s="257">
        <v>412</v>
      </c>
      <c r="F10" s="250">
        <f t="shared" si="0"/>
        <v>101.98673078085611</v>
      </c>
      <c r="G10" s="258"/>
      <c r="H10" s="250">
        <f t="shared" ca="1" si="1"/>
        <v>312.1827941629416</v>
      </c>
      <c r="I10" s="250">
        <f t="shared" ca="1" si="1"/>
        <v>330.00000000000006</v>
      </c>
      <c r="J10" s="250">
        <f t="shared" ca="1" si="2"/>
        <v>96.089998269224949</v>
      </c>
      <c r="K10" s="250">
        <f t="shared" ca="1" si="3"/>
        <v>-5.8967325116311571</v>
      </c>
      <c r="M10" s="250">
        <f t="shared" ca="1" si="4"/>
        <v>307.45934690622119</v>
      </c>
      <c r="N10" s="250">
        <f t="shared" ca="1" si="4"/>
        <v>328.97673186866865</v>
      </c>
      <c r="O10" s="250">
        <f t="shared" ca="1" si="5"/>
        <v>117.1078576689566</v>
      </c>
      <c r="P10" s="250">
        <f t="shared" ca="1" si="6"/>
        <v>15.121126888100491</v>
      </c>
      <c r="R10" s="250">
        <f t="shared" ca="1" si="7"/>
        <v>307.45934690622119</v>
      </c>
      <c r="S10" s="250">
        <f t="shared" ca="1" si="7"/>
        <v>328.97673186866865</v>
      </c>
      <c r="T10" s="250">
        <f t="shared" ca="1" si="8"/>
        <v>117.1078576689566</v>
      </c>
      <c r="U10" s="250">
        <f t="shared" ca="1" si="9"/>
        <v>15.121126888100491</v>
      </c>
      <c r="W10" s="250">
        <f t="shared" ca="1" si="10"/>
        <v>311.12698372208087</v>
      </c>
      <c r="X10" s="250">
        <f t="shared" ca="1" si="10"/>
        <v>329.62755691286992</v>
      </c>
      <c r="Y10" s="250">
        <f t="shared" ca="1" si="11"/>
        <v>100.00000000000007</v>
      </c>
      <c r="Z10" s="250">
        <f t="shared" ca="1" si="12"/>
        <v>-1.9867307808560355</v>
      </c>
    </row>
    <row r="11" spans="1:26" x14ac:dyDescent="0.2">
      <c r="B11" s="256" t="s">
        <v>5</v>
      </c>
      <c r="C11" s="256" t="s">
        <v>70</v>
      </c>
      <c r="D11" s="257">
        <v>390</v>
      </c>
      <c r="E11" s="257">
        <v>369</v>
      </c>
      <c r="F11" s="250">
        <f t="shared" si="0"/>
        <v>95.823969227057518</v>
      </c>
      <c r="G11" s="258"/>
      <c r="H11" s="250">
        <f t="shared" ca="1" si="1"/>
        <v>351.20564343330932</v>
      </c>
      <c r="I11" s="250">
        <f t="shared" ca="1" si="1"/>
        <v>369.99442271163451</v>
      </c>
      <c r="J11" s="250">
        <f t="shared" ca="1" si="2"/>
        <v>90.224995673063063</v>
      </c>
      <c r="K11" s="250">
        <f t="shared" ca="1" si="3"/>
        <v>-5.5989735539944547</v>
      </c>
      <c r="M11" s="250">
        <f t="shared" ca="1" si="4"/>
        <v>343.75000000000006</v>
      </c>
      <c r="N11" s="250">
        <f t="shared" ca="1" si="4"/>
        <v>367.80716773703227</v>
      </c>
      <c r="O11" s="250">
        <f t="shared" ca="1" si="5"/>
        <v>117.10785766895694</v>
      </c>
      <c r="P11" s="250">
        <f t="shared" ca="1" si="6"/>
        <v>21.283888441899421</v>
      </c>
      <c r="R11" s="250">
        <f t="shared" ca="1" si="7"/>
        <v>352.00000000000017</v>
      </c>
      <c r="S11" s="250">
        <f t="shared" ca="1" si="7"/>
        <v>367.80716773703227</v>
      </c>
      <c r="T11" s="250">
        <f t="shared" ca="1" si="8"/>
        <v>76.048999263460743</v>
      </c>
      <c r="U11" s="250">
        <f t="shared" ca="1" si="9"/>
        <v>-19.774969963596774</v>
      </c>
      <c r="W11" s="250">
        <f t="shared" ca="1" si="10"/>
        <v>349.22823143300388</v>
      </c>
      <c r="X11" s="250">
        <f t="shared" ca="1" si="10"/>
        <v>369.9944227116344</v>
      </c>
      <c r="Y11" s="250">
        <f t="shared" ca="1" si="11"/>
        <v>100.00000000000007</v>
      </c>
      <c r="Z11" s="250">
        <f t="shared" ca="1" si="12"/>
        <v>4.1760307729425534</v>
      </c>
    </row>
    <row r="12" spans="1:26" x14ac:dyDescent="0.2">
      <c r="B12" s="256" t="s">
        <v>6</v>
      </c>
      <c r="C12" s="256" t="s">
        <v>72</v>
      </c>
      <c r="D12" s="257">
        <v>352</v>
      </c>
      <c r="E12" s="257">
        <v>332</v>
      </c>
      <c r="F12" s="250">
        <f t="shared" si="0"/>
        <v>101.27062474844713</v>
      </c>
      <c r="G12" s="258"/>
      <c r="H12" s="250">
        <f t="shared" ca="1" si="1"/>
        <v>393.77008877325875</v>
      </c>
      <c r="I12" s="250">
        <f t="shared" ca="1" si="1"/>
        <v>416.24372555058881</v>
      </c>
      <c r="J12" s="250">
        <f t="shared" ca="1" si="2"/>
        <v>96.089998269225319</v>
      </c>
      <c r="K12" s="250">
        <f t="shared" ca="1" si="3"/>
        <v>-5.1806264792218144</v>
      </c>
      <c r="M12" s="250">
        <f t="shared" ca="1" si="4"/>
        <v>393.54796403996318</v>
      </c>
      <c r="N12" s="250">
        <f t="shared" ca="1" si="4"/>
        <v>411.2209148358358</v>
      </c>
      <c r="O12" s="250">
        <f t="shared" ca="1" si="5"/>
        <v>76.048999263460743</v>
      </c>
      <c r="P12" s="250">
        <f t="shared" ca="1" si="6"/>
        <v>-25.22162548498639</v>
      </c>
      <c r="R12" s="250">
        <f t="shared" ca="1" si="7"/>
        <v>393.54796403996318</v>
      </c>
      <c r="S12" s="250">
        <f t="shared" ca="1" si="7"/>
        <v>411.2209148358358</v>
      </c>
      <c r="T12" s="250">
        <f t="shared" ca="1" si="8"/>
        <v>76.048999263460743</v>
      </c>
      <c r="U12" s="250">
        <f t="shared" ca="1" si="9"/>
        <v>-25.22162548498639</v>
      </c>
      <c r="W12" s="250">
        <f t="shared" ca="1" si="10"/>
        <v>391.99543598174927</v>
      </c>
      <c r="X12" s="250">
        <f t="shared" ca="1" si="10"/>
        <v>415.30469757994507</v>
      </c>
      <c r="Y12" s="250">
        <f t="shared" ca="1" si="11"/>
        <v>99.99999999999973</v>
      </c>
      <c r="Z12" s="250">
        <f t="shared" ca="1" si="12"/>
        <v>-1.2706247484474034</v>
      </c>
    </row>
    <row r="13" spans="1:26" x14ac:dyDescent="0.2">
      <c r="B13" s="256" t="s">
        <v>73</v>
      </c>
      <c r="C13" s="256" t="s">
        <v>8</v>
      </c>
      <c r="D13" s="257">
        <v>297</v>
      </c>
      <c r="E13" s="257">
        <v>282</v>
      </c>
      <c r="F13" s="250">
        <f t="shared" si="0"/>
        <v>89.721322082366555</v>
      </c>
      <c r="G13" s="258"/>
      <c r="H13" s="250">
        <f t="shared" ca="1" si="1"/>
        <v>468.27419124441241</v>
      </c>
      <c r="I13" s="250">
        <f t="shared" ca="1" si="1"/>
        <v>495.00000000000011</v>
      </c>
      <c r="J13" s="250">
        <f t="shared" ca="1" si="2"/>
        <v>96.089998269224949</v>
      </c>
      <c r="K13" s="250">
        <f t="shared" ca="1" si="3"/>
        <v>6.3686761868583943</v>
      </c>
      <c r="M13" s="250">
        <f t="shared" ca="1" si="4"/>
        <v>459.75895967129026</v>
      </c>
      <c r="N13" s="250">
        <f t="shared" ca="1" si="4"/>
        <v>491.93495504995394</v>
      </c>
      <c r="O13" s="250">
        <f t="shared" ca="1" si="5"/>
        <v>117.10785766895694</v>
      </c>
      <c r="P13" s="250">
        <f t="shared" ca="1" si="6"/>
        <v>27.386535586590384</v>
      </c>
      <c r="R13" s="250">
        <f t="shared" ca="1" si="7"/>
        <v>470.79317470340129</v>
      </c>
      <c r="S13" s="250">
        <f t="shared" ca="1" si="7"/>
        <v>491.93495504995394</v>
      </c>
      <c r="T13" s="250">
        <f t="shared" ca="1" si="8"/>
        <v>76.048999263461113</v>
      </c>
      <c r="U13" s="250">
        <f t="shared" ca="1" si="9"/>
        <v>-13.672322818905442</v>
      </c>
      <c r="W13" s="250">
        <f t="shared" ca="1" si="10"/>
        <v>466.16376151808987</v>
      </c>
      <c r="X13" s="250">
        <f t="shared" ca="1" si="10"/>
        <v>493.88330125612407</v>
      </c>
      <c r="Y13" s="250">
        <f t="shared" ca="1" si="11"/>
        <v>100.00000000000007</v>
      </c>
      <c r="Z13" s="250">
        <f t="shared" ca="1" si="12"/>
        <v>10.278677917633516</v>
      </c>
    </row>
    <row r="14" spans="1:26" x14ac:dyDescent="0.2">
      <c r="B14" s="256" t="s">
        <v>2</v>
      </c>
      <c r="C14" s="256" t="s">
        <v>74</v>
      </c>
      <c r="D14" s="257">
        <v>264</v>
      </c>
      <c r="E14" s="257">
        <v>248</v>
      </c>
      <c r="F14" s="250">
        <f t="shared" si="0"/>
        <v>108.23737076589377</v>
      </c>
      <c r="G14" s="258"/>
      <c r="H14" s="250">
        <f t="shared" ca="1" si="1"/>
        <v>263.40423257498196</v>
      </c>
      <c r="I14" s="250">
        <f t="shared" ca="1" si="1"/>
        <v>277.49581703372587</v>
      </c>
      <c r="J14" s="250">
        <f t="shared" ca="1" si="2"/>
        <v>90.224995673063063</v>
      </c>
      <c r="K14" s="250">
        <f t="shared" ca="1" si="3"/>
        <v>-18.012375092830709</v>
      </c>
      <c r="M14" s="250">
        <f t="shared" ca="1" si="4"/>
        <v>263.18138549493494</v>
      </c>
      <c r="N14" s="250">
        <f t="shared" ca="1" si="4"/>
        <v>275.00000000000011</v>
      </c>
      <c r="O14" s="250">
        <f t="shared" ca="1" si="5"/>
        <v>76.048999263460743</v>
      </c>
      <c r="P14" s="250">
        <f t="shared" ca="1" si="6"/>
        <v>-32.188371502433029</v>
      </c>
      <c r="R14" s="250">
        <f t="shared" ca="1" si="7"/>
        <v>263.18138549493494</v>
      </c>
      <c r="S14" s="250">
        <f t="shared" ca="1" si="7"/>
        <v>275.00000000000011</v>
      </c>
      <c r="T14" s="250">
        <f t="shared" ca="1" si="8"/>
        <v>76.048999263460743</v>
      </c>
      <c r="U14" s="250">
        <f t="shared" ca="1" si="9"/>
        <v>-32.188371502433029</v>
      </c>
      <c r="W14" s="250">
        <f t="shared" ca="1" si="10"/>
        <v>261.62556530059862</v>
      </c>
      <c r="X14" s="250">
        <f t="shared" ca="1" si="10"/>
        <v>277.18263097687208</v>
      </c>
      <c r="Y14" s="250">
        <f t="shared" ca="1" si="11"/>
        <v>100.00000000000007</v>
      </c>
      <c r="Z14" s="250">
        <f t="shared" ca="1" si="12"/>
        <v>-8.2373707658937008</v>
      </c>
    </row>
    <row r="15" spans="1:26" x14ac:dyDescent="0.2">
      <c r="B15" s="256" t="s">
        <v>76</v>
      </c>
      <c r="C15" s="256" t="s">
        <v>4</v>
      </c>
      <c r="D15" s="257">
        <v>223</v>
      </c>
      <c r="E15" s="257">
        <v>210</v>
      </c>
      <c r="F15" s="250">
        <f t="shared" si="0"/>
        <v>103.98525870501851</v>
      </c>
      <c r="G15" s="258"/>
      <c r="H15" s="250">
        <f t="shared" ca="1" si="1"/>
        <v>312.1827941629416</v>
      </c>
      <c r="I15" s="250">
        <f t="shared" ca="1" si="1"/>
        <v>330.00000000000006</v>
      </c>
      <c r="J15" s="250">
        <f t="shared" ca="1" si="2"/>
        <v>96.089998269224949</v>
      </c>
      <c r="K15" s="250">
        <f t="shared" ca="1" si="3"/>
        <v>-7.8952604357935599</v>
      </c>
      <c r="M15" s="250">
        <f t="shared" ca="1" si="4"/>
        <v>307.45934690622119</v>
      </c>
      <c r="N15" s="250">
        <f t="shared" ca="1" si="4"/>
        <v>328.97673186866865</v>
      </c>
      <c r="O15" s="250">
        <f t="shared" ca="1" si="5"/>
        <v>117.1078576689566</v>
      </c>
      <c r="P15" s="250">
        <f t="shared" ca="1" si="6"/>
        <v>13.122598963938088</v>
      </c>
      <c r="R15" s="250">
        <f t="shared" ca="1" si="7"/>
        <v>307.45934690622119</v>
      </c>
      <c r="S15" s="250">
        <f t="shared" ca="1" si="7"/>
        <v>328.97673186866865</v>
      </c>
      <c r="T15" s="250">
        <f t="shared" ca="1" si="8"/>
        <v>117.1078576689566</v>
      </c>
      <c r="U15" s="250">
        <f t="shared" ca="1" si="9"/>
        <v>13.122598963938088</v>
      </c>
      <c r="W15" s="250">
        <f t="shared" ca="1" si="10"/>
        <v>311.12698372208087</v>
      </c>
      <c r="X15" s="250">
        <f t="shared" ca="1" si="10"/>
        <v>329.62755691286992</v>
      </c>
      <c r="Y15" s="250">
        <f t="shared" ca="1" si="11"/>
        <v>100.00000000000007</v>
      </c>
      <c r="Z15" s="250">
        <f t="shared" ca="1" si="12"/>
        <v>-3.9852587050184383</v>
      </c>
    </row>
    <row r="16" spans="1:26" x14ac:dyDescent="0.2">
      <c r="B16" s="256" t="s">
        <v>5</v>
      </c>
      <c r="C16" s="256" t="s">
        <v>70</v>
      </c>
      <c r="D16" s="257">
        <v>199</v>
      </c>
      <c r="E16" s="257">
        <v>188.5</v>
      </c>
      <c r="F16" s="250">
        <f t="shared" si="0"/>
        <v>93.844688729981499</v>
      </c>
      <c r="G16" s="258"/>
      <c r="H16" s="250">
        <f t="shared" ca="1" si="1"/>
        <v>351.20564343330932</v>
      </c>
      <c r="I16" s="250">
        <f t="shared" ca="1" si="1"/>
        <v>369.99442271163451</v>
      </c>
      <c r="J16" s="250">
        <f t="shared" ca="1" si="2"/>
        <v>90.224995673063063</v>
      </c>
      <c r="K16" s="250">
        <f t="shared" ca="1" si="3"/>
        <v>-3.619693056918436</v>
      </c>
      <c r="M16" s="250">
        <f t="shared" ca="1" si="4"/>
        <v>343.75000000000006</v>
      </c>
      <c r="N16" s="250">
        <f t="shared" ca="1" si="4"/>
        <v>367.80716773703227</v>
      </c>
      <c r="O16" s="250">
        <f t="shared" ca="1" si="5"/>
        <v>117.10785766895694</v>
      </c>
      <c r="P16" s="250">
        <f t="shared" ca="1" si="6"/>
        <v>23.26316893897544</v>
      </c>
      <c r="R16" s="250">
        <f t="shared" ca="1" si="7"/>
        <v>352.00000000000017</v>
      </c>
      <c r="S16" s="250">
        <f t="shared" ca="1" si="7"/>
        <v>367.80716773703227</v>
      </c>
      <c r="T16" s="250">
        <f t="shared" ca="1" si="8"/>
        <v>76.048999263460743</v>
      </c>
      <c r="U16" s="250">
        <f t="shared" ca="1" si="9"/>
        <v>-17.795689466520756</v>
      </c>
      <c r="W16" s="250">
        <f t="shared" ca="1" si="10"/>
        <v>349.22823143300388</v>
      </c>
      <c r="X16" s="250">
        <f t="shared" ca="1" si="10"/>
        <v>369.9944227116344</v>
      </c>
      <c r="Y16" s="250">
        <f t="shared" ca="1" si="11"/>
        <v>100.00000000000007</v>
      </c>
      <c r="Z16" s="250">
        <f t="shared" ca="1" si="12"/>
        <v>6.1553112700185721</v>
      </c>
    </row>
    <row r="17" spans="2:26" x14ac:dyDescent="0.2">
      <c r="B17" s="256" t="s">
        <v>6</v>
      </c>
      <c r="C17" s="256" t="s">
        <v>72</v>
      </c>
      <c r="D17" s="257">
        <v>175</v>
      </c>
      <c r="E17" s="257">
        <v>164.5</v>
      </c>
      <c r="F17" s="250">
        <f t="shared" si="0"/>
        <v>107.12080571650476</v>
      </c>
      <c r="G17" s="258"/>
      <c r="H17" s="250">
        <f t="shared" ca="1" si="1"/>
        <v>393.77008877325875</v>
      </c>
      <c r="I17" s="250">
        <f t="shared" ca="1" si="1"/>
        <v>416.24372555058881</v>
      </c>
      <c r="J17" s="250">
        <f t="shared" ca="1" si="2"/>
        <v>96.089998269225319</v>
      </c>
      <c r="K17" s="250">
        <f t="shared" ca="1" si="3"/>
        <v>-11.030807447279443</v>
      </c>
      <c r="M17" s="250">
        <f t="shared" ca="1" si="4"/>
        <v>393.54796403996318</v>
      </c>
      <c r="N17" s="250">
        <f t="shared" ca="1" si="4"/>
        <v>411.2209148358358</v>
      </c>
      <c r="O17" s="250">
        <f t="shared" ca="1" si="5"/>
        <v>76.048999263460743</v>
      </c>
      <c r="P17" s="250">
        <f t="shared" ca="1" si="6"/>
        <v>-31.071806453044019</v>
      </c>
      <c r="R17" s="250">
        <f t="shared" ca="1" si="7"/>
        <v>393.54796403996318</v>
      </c>
      <c r="S17" s="250">
        <f t="shared" ca="1" si="7"/>
        <v>411.2209148358358</v>
      </c>
      <c r="T17" s="250">
        <f t="shared" ca="1" si="8"/>
        <v>76.048999263460743</v>
      </c>
      <c r="U17" s="250">
        <f t="shared" ca="1" si="9"/>
        <v>-31.071806453044019</v>
      </c>
      <c r="W17" s="250">
        <f t="shared" ca="1" si="10"/>
        <v>391.99543598174927</v>
      </c>
      <c r="X17" s="250">
        <f t="shared" ca="1" si="10"/>
        <v>415.30469757994507</v>
      </c>
      <c r="Y17" s="250">
        <f t="shared" ca="1" si="11"/>
        <v>99.99999999999973</v>
      </c>
      <c r="Z17" s="250">
        <f t="shared" ca="1" si="12"/>
        <v>-7.120805716505032</v>
      </c>
    </row>
    <row r="18" spans="2:26" x14ac:dyDescent="0.2">
      <c r="B18" s="256" t="s">
        <v>73</v>
      </c>
      <c r="C18" s="256" t="s">
        <v>8</v>
      </c>
      <c r="D18" s="257">
        <v>146</v>
      </c>
      <c r="E18" s="257">
        <v>137.5</v>
      </c>
      <c r="F18" s="250">
        <f t="shared" si="0"/>
        <v>103.84410056159425</v>
      </c>
      <c r="G18" s="258"/>
      <c r="H18" s="250">
        <f t="shared" ca="1" si="1"/>
        <v>468.27419124441241</v>
      </c>
      <c r="I18" s="250">
        <f t="shared" ca="1" si="1"/>
        <v>495.00000000000011</v>
      </c>
      <c r="J18" s="250">
        <f t="shared" ca="1" si="2"/>
        <v>96.089998269224949</v>
      </c>
      <c r="K18" s="250">
        <f t="shared" ca="1" si="3"/>
        <v>-7.7541022923692964</v>
      </c>
      <c r="M18" s="250">
        <f t="shared" ca="1" si="4"/>
        <v>459.75895967129026</v>
      </c>
      <c r="N18" s="250">
        <f t="shared" ca="1" si="4"/>
        <v>491.93495504995394</v>
      </c>
      <c r="O18" s="250">
        <f t="shared" ca="1" si="5"/>
        <v>117.10785766895694</v>
      </c>
      <c r="P18" s="250">
        <f t="shared" ca="1" si="6"/>
        <v>13.263757107362693</v>
      </c>
      <c r="R18" s="250">
        <f t="shared" ca="1" si="7"/>
        <v>470.79317470340129</v>
      </c>
      <c r="S18" s="250">
        <f t="shared" ca="1" si="7"/>
        <v>491.93495504995394</v>
      </c>
      <c r="T18" s="250">
        <f t="shared" ca="1" si="8"/>
        <v>76.048999263461113</v>
      </c>
      <c r="U18" s="250">
        <f t="shared" ca="1" si="9"/>
        <v>-27.795101298133133</v>
      </c>
      <c r="W18" s="250">
        <f t="shared" ca="1" si="10"/>
        <v>466.16376151808987</v>
      </c>
      <c r="X18" s="250">
        <f t="shared" ca="1" si="10"/>
        <v>493.88330125612407</v>
      </c>
      <c r="Y18" s="250">
        <f t="shared" ca="1" si="11"/>
        <v>100.00000000000007</v>
      </c>
      <c r="Z18" s="250">
        <f t="shared" ca="1" si="12"/>
        <v>-3.8441005615941748</v>
      </c>
    </row>
    <row r="19" spans="2:26" x14ac:dyDescent="0.2">
      <c r="B19" s="256" t="s">
        <v>2</v>
      </c>
      <c r="C19" s="256" t="s">
        <v>74</v>
      </c>
      <c r="D19" s="257">
        <v>127</v>
      </c>
      <c r="E19" s="257">
        <v>120</v>
      </c>
      <c r="F19" s="250">
        <f t="shared" si="0"/>
        <v>98.152909396376813</v>
      </c>
      <c r="G19" s="258"/>
      <c r="H19" s="250">
        <f t="shared" ca="1" si="1"/>
        <v>263.40423257498196</v>
      </c>
      <c r="I19" s="250">
        <f t="shared" ca="1" si="1"/>
        <v>277.49581703372587</v>
      </c>
      <c r="J19" s="250">
        <f t="shared" ca="1" si="2"/>
        <v>90.224995673063063</v>
      </c>
      <c r="K19" s="250">
        <f t="shared" ca="1" si="3"/>
        <v>-7.9279137233137504</v>
      </c>
      <c r="M19" s="250">
        <f t="shared" ca="1" si="4"/>
        <v>263.18138549493494</v>
      </c>
      <c r="N19" s="250">
        <f t="shared" ca="1" si="4"/>
        <v>275.00000000000011</v>
      </c>
      <c r="O19" s="250">
        <f t="shared" ca="1" si="5"/>
        <v>76.048999263460743</v>
      </c>
      <c r="P19" s="250">
        <f t="shared" ca="1" si="6"/>
        <v>-22.10391013291607</v>
      </c>
      <c r="R19" s="250">
        <f t="shared" ca="1" si="7"/>
        <v>263.18138549493494</v>
      </c>
      <c r="S19" s="250">
        <f t="shared" ca="1" si="7"/>
        <v>275.00000000000011</v>
      </c>
      <c r="T19" s="250">
        <f t="shared" ca="1" si="8"/>
        <v>76.048999263460743</v>
      </c>
      <c r="U19" s="250">
        <f t="shared" ca="1" si="9"/>
        <v>-22.10391013291607</v>
      </c>
      <c r="W19" s="250">
        <f t="shared" ca="1" si="10"/>
        <v>261.62556530059862</v>
      </c>
      <c r="X19" s="250">
        <f t="shared" ca="1" si="10"/>
        <v>277.18263097687208</v>
      </c>
      <c r="Y19" s="250">
        <f t="shared" ca="1" si="11"/>
        <v>100.00000000000007</v>
      </c>
      <c r="Z19" s="250">
        <f t="shared" ca="1" si="12"/>
        <v>1.8470906036232577</v>
      </c>
    </row>
    <row r="20" spans="2:26" x14ac:dyDescent="0.2">
      <c r="B20" s="256" t="s">
        <v>76</v>
      </c>
      <c r="C20" s="256" t="s">
        <v>4</v>
      </c>
      <c r="D20" s="257">
        <v>102</v>
      </c>
      <c r="E20" s="257">
        <v>94.5</v>
      </c>
      <c r="F20" s="250">
        <f t="shared" si="0"/>
        <v>132.21950130050743</v>
      </c>
      <c r="G20" s="258"/>
      <c r="H20" s="250">
        <f t="shared" ca="1" si="1"/>
        <v>312.1827941629416</v>
      </c>
      <c r="I20" s="250">
        <f t="shared" ca="1" si="1"/>
        <v>330.00000000000006</v>
      </c>
      <c r="J20" s="250">
        <f t="shared" ca="1" si="2"/>
        <v>96.089998269224949</v>
      </c>
      <c r="K20" s="250">
        <f t="shared" ca="1" si="3"/>
        <v>-36.129503031282482</v>
      </c>
      <c r="M20" s="250">
        <f t="shared" ca="1" si="4"/>
        <v>307.45934690622119</v>
      </c>
      <c r="N20" s="250">
        <f t="shared" ca="1" si="4"/>
        <v>328.97673186866865</v>
      </c>
      <c r="O20" s="250">
        <f t="shared" ca="1" si="5"/>
        <v>117.1078576689566</v>
      </c>
      <c r="P20" s="250">
        <f t="shared" ca="1" si="6"/>
        <v>-15.111643631550834</v>
      </c>
      <c r="R20" s="250">
        <f t="shared" ca="1" si="7"/>
        <v>307.45934690622119</v>
      </c>
      <c r="S20" s="250">
        <f t="shared" ca="1" si="7"/>
        <v>328.97673186866865</v>
      </c>
      <c r="T20" s="250">
        <f t="shared" ca="1" si="8"/>
        <v>117.1078576689566</v>
      </c>
      <c r="U20" s="250">
        <f t="shared" ca="1" si="9"/>
        <v>-15.111643631550834</v>
      </c>
      <c r="W20" s="250">
        <f t="shared" ca="1" si="10"/>
        <v>311.12698372208087</v>
      </c>
      <c r="X20" s="250">
        <f t="shared" ca="1" si="10"/>
        <v>329.62755691286992</v>
      </c>
      <c r="Y20" s="250">
        <f t="shared" ca="1" si="11"/>
        <v>100.00000000000007</v>
      </c>
      <c r="Z20" s="250">
        <f t="shared" ca="1" si="12"/>
        <v>-32.21950130050736</v>
      </c>
    </row>
    <row r="21" spans="2:26" x14ac:dyDescent="0.2">
      <c r="B21" s="256" t="s">
        <v>5</v>
      </c>
      <c r="C21" s="256" t="s">
        <v>70</v>
      </c>
      <c r="D21" s="257">
        <v>88</v>
      </c>
      <c r="E21" s="257">
        <v>80.5</v>
      </c>
      <c r="F21" s="250">
        <f t="shared" si="0"/>
        <v>154.21768862721646</v>
      </c>
      <c r="G21" s="258"/>
      <c r="H21" s="250">
        <f t="shared" ca="1" si="1"/>
        <v>351.20564343330932</v>
      </c>
      <c r="I21" s="250">
        <f t="shared" ca="1" si="1"/>
        <v>369.99442271163451</v>
      </c>
      <c r="J21" s="250">
        <f t="shared" ca="1" si="2"/>
        <v>90.224995673063063</v>
      </c>
      <c r="K21" s="250">
        <f t="shared" ca="1" si="3"/>
        <v>-63.992692954153398</v>
      </c>
      <c r="M21" s="250">
        <f t="shared" ca="1" si="4"/>
        <v>343.75000000000006</v>
      </c>
      <c r="N21" s="250">
        <f t="shared" ca="1" si="4"/>
        <v>367.80716773703227</v>
      </c>
      <c r="O21" s="250">
        <f t="shared" ca="1" si="5"/>
        <v>117.10785766895694</v>
      </c>
      <c r="P21" s="250">
        <f t="shared" ca="1" si="6"/>
        <v>-37.109830958259522</v>
      </c>
      <c r="R21" s="250">
        <f t="shared" ca="1" si="7"/>
        <v>352.00000000000017</v>
      </c>
      <c r="S21" s="250">
        <f t="shared" ca="1" si="7"/>
        <v>367.80716773703227</v>
      </c>
      <c r="T21" s="250">
        <f t="shared" ca="1" si="8"/>
        <v>76.048999263460743</v>
      </c>
      <c r="U21" s="250">
        <f t="shared" ca="1" si="9"/>
        <v>-78.168689363755718</v>
      </c>
      <c r="W21" s="250">
        <f t="shared" ca="1" si="10"/>
        <v>349.22823143300388</v>
      </c>
      <c r="X21" s="250">
        <f t="shared" ca="1" si="10"/>
        <v>369.9944227116344</v>
      </c>
      <c r="Y21" s="250">
        <f t="shared" ca="1" si="11"/>
        <v>100.00000000000007</v>
      </c>
      <c r="Z21" s="250">
        <f t="shared" ca="1" si="12"/>
        <v>-54.21768862721639</v>
      </c>
    </row>
    <row r="22" spans="2:26" x14ac:dyDescent="0.2">
      <c r="B22" s="259"/>
      <c r="C22" s="259"/>
      <c r="H22" s="303" t="str">
        <f ca="1">_xlfn.CONCAT($F$5," vs. ",H4)</f>
        <v>Hubert, Nürnberg, 1789 Fret Size cents vs. Werckmeister III</v>
      </c>
      <c r="I22" s="303"/>
      <c r="J22" s="303"/>
      <c r="K22" s="303"/>
      <c r="M22" s="304" t="str">
        <f ca="1">_xlfn.CONCAT($F$5," vs. ",M4)</f>
        <v>Hubert, Nürnberg, 1789 Fret Size cents vs. Meantone Quarter Comma</v>
      </c>
      <c r="N22" s="304"/>
      <c r="O22" s="304"/>
      <c r="P22" s="304"/>
      <c r="Q22" s="260"/>
      <c r="R22" s="303" t="str">
        <f ca="1">_xlfn.CONCAT($F$5," vs. ",R4)</f>
        <v>Hubert, Nürnberg, 1789 Fret Size cents vs. Meantone Octave with Matching Octaves</v>
      </c>
      <c r="S22" s="303"/>
      <c r="T22" s="303"/>
      <c r="U22" s="303"/>
      <c r="W22" s="303" t="str">
        <f ca="1">_xlfn.CONCAT($F$5," vs. ",W4)</f>
        <v>Hubert, Nürnberg, 1789 Fret Size cents vs. Equal Temperament</v>
      </c>
      <c r="X22" s="303"/>
      <c r="Y22" s="303"/>
      <c r="Z22" s="303"/>
    </row>
    <row r="23" spans="2:26" x14ac:dyDescent="0.2">
      <c r="B23" s="261" t="s">
        <v>63</v>
      </c>
      <c r="J23" s="259" t="s">
        <v>94</v>
      </c>
      <c r="K23" s="250">
        <f ca="1">SQRT(SUMSQ(K6:K21)/COUNT(K6:K21))</f>
        <v>19.956519103175246</v>
      </c>
      <c r="O23" s="259" t="s">
        <v>94</v>
      </c>
      <c r="P23" s="250">
        <f ca="1">SQRT(SUMSQ(P6:P21)/COUNT(P6:P21))</f>
        <v>24.652292474048892</v>
      </c>
      <c r="T23" s="259" t="s">
        <v>94</v>
      </c>
      <c r="U23" s="250">
        <f ca="1">SQRT(SUMSQ(U6:U21)/COUNT(U6:U21))</f>
        <v>27.606420555837119</v>
      </c>
      <c r="Y23" s="259" t="s">
        <v>94</v>
      </c>
      <c r="Z23" s="250">
        <f ca="1">SQRT(SUMSQ(Z6:Z21)/COUNT(Z6:Z21))</f>
        <v>17.557818237001712</v>
      </c>
    </row>
    <row r="24" spans="2:26" x14ac:dyDescent="0.2">
      <c r="B24" s="301"/>
      <c r="C24" s="301"/>
      <c r="D24" s="301"/>
      <c r="E24" s="301"/>
      <c r="X24" s="258"/>
    </row>
    <row r="26" spans="2:26" ht="19" x14ac:dyDescent="0.2">
      <c r="D26" s="258"/>
      <c r="N26" s="262"/>
      <c r="P26" s="258"/>
      <c r="R26" s="258"/>
    </row>
    <row r="27" spans="2:26" x14ac:dyDescent="0.2">
      <c r="D27" s="258"/>
      <c r="P27" s="258"/>
      <c r="R27" s="258"/>
    </row>
    <row r="28" spans="2:26" x14ac:dyDescent="0.2">
      <c r="D28" s="258"/>
      <c r="P28" s="258"/>
      <c r="R28" s="258"/>
    </row>
    <row r="29" spans="2:26" x14ac:dyDescent="0.2">
      <c r="D29" s="258"/>
      <c r="P29" s="258"/>
      <c r="R29" s="258"/>
    </row>
    <row r="30" spans="2:26" x14ac:dyDescent="0.2">
      <c r="D30" s="258"/>
      <c r="P30" s="258"/>
      <c r="R30" s="258"/>
    </row>
    <row r="31" spans="2:26" x14ac:dyDescent="0.2">
      <c r="D31" s="258"/>
      <c r="P31" s="258"/>
      <c r="R31" s="258"/>
    </row>
    <row r="32" spans="2:26" x14ac:dyDescent="0.2">
      <c r="D32" s="258"/>
      <c r="P32" s="258"/>
      <c r="R32" s="258"/>
    </row>
    <row r="33" spans="4:18" x14ac:dyDescent="0.2">
      <c r="D33" s="258"/>
      <c r="P33" s="258"/>
      <c r="R33" s="258"/>
    </row>
    <row r="34" spans="4:18" x14ac:dyDescent="0.2">
      <c r="D34" s="258"/>
      <c r="P34" s="258"/>
      <c r="R34" s="258"/>
    </row>
    <row r="35" spans="4:18" x14ac:dyDescent="0.2">
      <c r="D35" s="258"/>
      <c r="P35" s="258"/>
      <c r="R35" s="258"/>
    </row>
    <row r="36" spans="4:18" x14ac:dyDescent="0.2">
      <c r="D36" s="258"/>
      <c r="P36" s="258"/>
      <c r="R36" s="258"/>
    </row>
    <row r="37" spans="4:18" x14ac:dyDescent="0.2">
      <c r="D37" s="258"/>
      <c r="P37" s="258"/>
      <c r="R37" s="258"/>
    </row>
    <row r="38" spans="4:18" x14ac:dyDescent="0.2">
      <c r="P38" s="258"/>
      <c r="R38" s="258"/>
    </row>
  </sheetData>
  <sheetProtection sheet="1" objects="1" scenarios="1" formatCells="0"/>
  <mergeCells count="15">
    <mergeCell ref="W3:Z3"/>
    <mergeCell ref="B1:H1"/>
    <mergeCell ref="B3:E3"/>
    <mergeCell ref="H3:K3"/>
    <mergeCell ref="M3:P3"/>
    <mergeCell ref="R3:U3"/>
    <mergeCell ref="B24:E24"/>
    <mergeCell ref="H4:K4"/>
    <mergeCell ref="M4:P4"/>
    <mergeCell ref="R4:U4"/>
    <mergeCell ref="W4:Z4"/>
    <mergeCell ref="H22:K22"/>
    <mergeCell ref="M22:P22"/>
    <mergeCell ref="R22:U22"/>
    <mergeCell ref="W22:Z22"/>
  </mergeCells>
  <conditionalFormatting sqref="A1:XFD1048576">
    <cfRule type="expression" dxfId="103" priority="1">
      <formula>CELL("protect",A1)=0</formula>
    </cfRule>
  </conditionalFormatting>
  <conditionalFormatting sqref="A5:XFD21 B25:F33 G25:G37 I25:L37 C34:F34 B35:F37 B38:L1048576">
    <cfRule type="expression" dxfId="102" priority="2">
      <formula>_xlfn.ISFORMULA(A5)</formula>
    </cfRule>
  </conditionalFormatting>
  <conditionalFormatting sqref="B3:B4 F3:H4 L3:M4 Q3:R4 V3:W4 AA3:XFD4 L22:M22 R22 B22:H23 V22:W23 AA22:XFD23 J23:M23 O23:R23 T23:U23 Y23:Z23 B24 F24:L24 M24:Q25 R24:XFD1048576 M26 O26:Q26 M27:Q1048576">
    <cfRule type="expression" dxfId="101" priority="3">
      <formula>_xlfn.ISFORMULA(B3)</formula>
    </cfRule>
  </conditionalFormatting>
  <hyperlinks>
    <hyperlink ref="B23" location="Overview!A1" display="Back to Overview" xr:uid="{9C2C439D-F8B1-144D-AF06-CDAB5525B118}"/>
  </hyperlinks>
  <pageMargins left="0.7" right="0.7" top="0.75" bottom="0.75" header="0.511811023622047" footer="0.511811023622047"/>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3C3CB-273E-4E40-B36F-B7092602779E}">
  <sheetPr codeName="Sheet24">
    <tabColor theme="5" tint="-0.249977111117893"/>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313" t="s">
        <v>196</v>
      </c>
      <c r="C1" s="313"/>
      <c r="D1" s="313"/>
      <c r="E1" s="313"/>
      <c r="F1" s="313"/>
      <c r="G1" s="313"/>
      <c r="H1" s="314" t="s">
        <v>487</v>
      </c>
      <c r="I1" s="314"/>
    </row>
    <row r="2" spans="2:23" s="70" customFormat="1" ht="16" x14ac:dyDescent="0.2">
      <c r="D2" s="72" t="s">
        <v>16</v>
      </c>
      <c r="E2" s="72" t="str">
        <f>D2</f>
        <v>Cents</v>
      </c>
      <c r="F2" s="72" t="str">
        <f>_xlfn.CONCAT("1/",D3," ",D2)</f>
        <v>1/1 Cents</v>
      </c>
      <c r="G2" s="102"/>
      <c r="H2" s="103" t="s">
        <v>143</v>
      </c>
      <c r="I2" s="161">
        <v>440</v>
      </c>
      <c r="J2" s="103" t="str">
        <f>_xlfn.CONCAT("C for A=", I2,":")</f>
        <v>C for A=440:</v>
      </c>
      <c r="K2" s="70">
        <f>(I2/POWER(2,9/12))*POWER(2,-D13/1200)</f>
        <v>262.5338634669788</v>
      </c>
      <c r="L2" s="103"/>
      <c r="U2" s="103"/>
      <c r="V2" s="103"/>
      <c r="W2" s="103"/>
    </row>
    <row r="3" spans="2:23" ht="16" x14ac:dyDescent="0.2">
      <c r="B3" s="105"/>
      <c r="C3" s="74" t="s">
        <v>125</v>
      </c>
      <c r="D3" s="121">
        <v>1</v>
      </c>
      <c r="E3" s="1">
        <f>IF(D2="Pythagorean Comma",524288/531441,IF(D2="Syntonic Comma",80/81,IF(D2="Cents",1/POWER(2,1/1200),"Not in List")))</f>
        <v>0.99942254414138076</v>
      </c>
      <c r="F3" s="132">
        <f>POWER(E3,1/D3)</f>
        <v>0.99942254414138076</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
        <v>486</v>
      </c>
      <c r="D9" s="84" t="s">
        <v>167</v>
      </c>
      <c r="E9" s="84" t="s">
        <v>11</v>
      </c>
      <c r="F9" s="84" t="s">
        <v>17</v>
      </c>
      <c r="G9" s="84" t="s">
        <v>12</v>
      </c>
      <c r="H9" s="52" t="s">
        <v>13</v>
      </c>
      <c r="J9" s="83" t="s">
        <v>14</v>
      </c>
      <c r="K9" s="84" t="s">
        <v>15</v>
      </c>
      <c r="L9" s="84" t="s">
        <v>29</v>
      </c>
      <c r="M9" s="84" t="s">
        <v>36</v>
      </c>
      <c r="N9" s="52" t="s">
        <v>50</v>
      </c>
      <c r="P9" s="83" t="s">
        <v>89</v>
      </c>
      <c r="Q9" s="84" t="s">
        <v>136</v>
      </c>
      <c r="R9" s="84" t="s">
        <v>90</v>
      </c>
      <c r="S9" s="84" t="s">
        <v>88</v>
      </c>
      <c r="T9" s="84" t="s">
        <v>32</v>
      </c>
      <c r="U9" s="52" t="s">
        <v>91</v>
      </c>
    </row>
    <row r="10" spans="2:23" x14ac:dyDescent="0.2">
      <c r="B10" s="123" t="s">
        <v>2</v>
      </c>
      <c r="C10" s="75">
        <f>K2</f>
        <v>262.5338634669788</v>
      </c>
      <c r="D10" s="4">
        <f>VLOOKUP($B$1,BDO_Table,2,FALSE)</f>
        <v>0</v>
      </c>
      <c r="E10" s="4">
        <f>C10*POWER(1/$F$3,D10)</f>
        <v>262.5338634669788</v>
      </c>
      <c r="G10" s="97">
        <v>0</v>
      </c>
      <c r="H10" s="47">
        <f t="shared" ref="H10:H22" si="0">E10/POWER(2,G10)</f>
        <v>262.5338634669788</v>
      </c>
      <c r="J10" s="85" t="s">
        <v>2</v>
      </c>
      <c r="K10" s="4">
        <f t="shared" ref="K10:K22" si="1">VLOOKUP(J10,Master_Frequencies,2,FALSE)</f>
        <v>262.5338634669788</v>
      </c>
      <c r="L10" s="4">
        <f t="shared" ref="L10:L22" si="2">LOG(K10/K$10,2)*1200</f>
        <v>0</v>
      </c>
      <c r="N10" s="158">
        <v>3600</v>
      </c>
      <c r="P10" s="107" t="str">
        <f>J10</f>
        <v>C</v>
      </c>
      <c r="Q10" s="4">
        <f>E10</f>
        <v>262.5338634669788</v>
      </c>
      <c r="R10" s="4">
        <f>LOG(K10/Q10,2)*1200</f>
        <v>0</v>
      </c>
      <c r="S10" s="81" t="str">
        <f t="shared" ref="S10:S22" si="3">B10</f>
        <v>C</v>
      </c>
      <c r="T10" s="4">
        <f t="shared" ref="T10:T22" si="4">VLOOKUP(S10,Master_Frequencies,2,FALSE)</f>
        <v>262.5338634669788</v>
      </c>
      <c r="U10" s="47">
        <f t="shared" ref="U10:U22" si="5">VLOOKUP(S10,$P$10:$R$22,3,FALSE)</f>
        <v>0</v>
      </c>
    </row>
    <row r="11" spans="2:23" x14ac:dyDescent="0.2">
      <c r="B11" s="123" t="s">
        <v>6</v>
      </c>
      <c r="C11" s="75">
        <f>C10*POWER(2,700/1200)</f>
        <v>393.35634555235083</v>
      </c>
      <c r="D11" s="4">
        <f>VLOOKUP($B$1,BDO_Table,3,FALSE)</f>
        <v>-4</v>
      </c>
      <c r="E11" s="4">
        <f t="shared" ref="E11:E22" si="6">C11*POWER(1/$F$3,D11)</f>
        <v>392.44854854484072</v>
      </c>
      <c r="F11" s="4">
        <f t="shared" ref="F11:F22" si="7">LOG(E11/E10,2)*1200</f>
        <v>695.99999999999977</v>
      </c>
      <c r="G11" s="97">
        <v>0</v>
      </c>
      <c r="H11" s="47">
        <f t="shared" si="0"/>
        <v>392.44854854484072</v>
      </c>
      <c r="J11" s="85" t="s">
        <v>74</v>
      </c>
      <c r="K11" s="4">
        <f t="shared" si="1"/>
        <v>277.50302994287489</v>
      </c>
      <c r="L11" s="4">
        <f t="shared" si="2"/>
        <v>95.999999999999815</v>
      </c>
      <c r="M11" s="4">
        <f t="shared" ref="M11:M22" si="8">LOG(K11/K10,2)*1200</f>
        <v>95.999999999999815</v>
      </c>
      <c r="N11" s="47">
        <f t="shared" ref="N11:N22" si="9">N$10*K$10/K11</f>
        <v>3405.8075282121449</v>
      </c>
      <c r="P11" s="107" t="str">
        <f t="shared" ref="P11:P22" si="10">J11</f>
        <v>C#</v>
      </c>
      <c r="Q11" s="4">
        <f>Q10*POWER(2,1/12)</f>
        <v>278.14493936282611</v>
      </c>
      <c r="R11" s="4">
        <f t="shared" ref="R11:R22" si="11">LOG(K11/Q11,2)*1200</f>
        <v>-4.0000000000001297</v>
      </c>
      <c r="S11" s="81" t="str">
        <f t="shared" si="3"/>
        <v>G</v>
      </c>
      <c r="T11" s="4">
        <f t="shared" si="4"/>
        <v>392.44854854484072</v>
      </c>
      <c r="U11" s="47">
        <f t="shared" si="5"/>
        <v>-4.0000000000005143</v>
      </c>
    </row>
    <row r="12" spans="2:23" x14ac:dyDescent="0.2">
      <c r="B12" s="123" t="s">
        <v>3</v>
      </c>
      <c r="C12" s="75">
        <f t="shared" ref="C12:C22" si="12">C11*POWER(2,700/1200)</f>
        <v>589.36859627543663</v>
      </c>
      <c r="D12" s="4">
        <f>VLOOKUP($B$1,BDO_Table,4,FALSE)</f>
        <v>-8</v>
      </c>
      <c r="E12" s="4">
        <f t="shared" si="6"/>
        <v>586.6514179201273</v>
      </c>
      <c r="F12" s="4">
        <f t="shared" si="7"/>
        <v>696.00000000000011</v>
      </c>
      <c r="G12" s="97">
        <v>1</v>
      </c>
      <c r="H12" s="47">
        <f t="shared" si="0"/>
        <v>293.32570896006365</v>
      </c>
      <c r="J12" s="85" t="s">
        <v>3</v>
      </c>
      <c r="K12" s="4">
        <f t="shared" si="1"/>
        <v>293.32570896006365</v>
      </c>
      <c r="L12" s="4">
        <f t="shared" si="2"/>
        <v>191.99999999999974</v>
      </c>
      <c r="M12" s="4">
        <f t="shared" si="8"/>
        <v>95.999999999999815</v>
      </c>
      <c r="N12" s="47">
        <f t="shared" si="9"/>
        <v>3222.0902553407009</v>
      </c>
      <c r="P12" s="107" t="str">
        <f t="shared" si="10"/>
        <v>D</v>
      </c>
      <c r="Q12" s="4">
        <f t="shared" ref="Q12:Q22" si="13">Q11*POWER(2,1/12)</f>
        <v>294.68429813771832</v>
      </c>
      <c r="R12" s="4">
        <f t="shared" si="11"/>
        <v>-8.0000000000003801</v>
      </c>
      <c r="S12" s="81" t="str">
        <f t="shared" si="3"/>
        <v>D</v>
      </c>
      <c r="T12" s="4">
        <f t="shared" si="4"/>
        <v>293.32570896006365</v>
      </c>
      <c r="U12" s="47">
        <f t="shared" si="5"/>
        <v>-8.0000000000003801</v>
      </c>
    </row>
    <row r="13" spans="2:23" x14ac:dyDescent="0.2">
      <c r="B13" s="123" t="s">
        <v>7</v>
      </c>
      <c r="C13" s="75">
        <f t="shared" si="12"/>
        <v>883.05513868836249</v>
      </c>
      <c r="D13" s="4">
        <f>VLOOKUP($B$1,BDO_Table,5,FALSE)</f>
        <v>-6</v>
      </c>
      <c r="E13" s="4">
        <f t="shared" si="6"/>
        <v>879.99999999999977</v>
      </c>
      <c r="F13" s="4">
        <f t="shared" si="7"/>
        <v>701.99999999999977</v>
      </c>
      <c r="G13" s="97">
        <v>1</v>
      </c>
      <c r="H13" s="47">
        <f t="shared" si="0"/>
        <v>439.99999999999989</v>
      </c>
      <c r="J13" s="85" t="s">
        <v>76</v>
      </c>
      <c r="K13" s="4">
        <f t="shared" si="1"/>
        <v>311.12698372208087</v>
      </c>
      <c r="L13" s="4">
        <f t="shared" si="2"/>
        <v>293.99999999999977</v>
      </c>
      <c r="M13" s="4">
        <f t="shared" si="8"/>
        <v>102.00000000000013</v>
      </c>
      <c r="N13" s="47">
        <f t="shared" si="9"/>
        <v>3037.7368660680645</v>
      </c>
      <c r="P13" s="107" t="str">
        <f t="shared" si="10"/>
        <v>D#</v>
      </c>
      <c r="Q13" s="4">
        <f t="shared" si="13"/>
        <v>312.20713836408419</v>
      </c>
      <c r="R13" s="4">
        <f t="shared" si="11"/>
        <v>-6.0000000000004725</v>
      </c>
      <c r="S13" s="81" t="str">
        <f t="shared" si="3"/>
        <v>A</v>
      </c>
      <c r="T13" s="4">
        <f t="shared" si="4"/>
        <v>439.99999999999989</v>
      </c>
      <c r="U13" s="47">
        <f t="shared" si="5"/>
        <v>-6.0000000000006652</v>
      </c>
    </row>
    <row r="14" spans="2:23" x14ac:dyDescent="0.2">
      <c r="B14" s="123" t="s">
        <v>4</v>
      </c>
      <c r="C14" s="75">
        <f t="shared" si="12"/>
        <v>1323.0877635690931</v>
      </c>
      <c r="D14" s="4">
        <f>VLOOKUP($B$1,BDO_Table,6,FALSE)</f>
        <v>-4</v>
      </c>
      <c r="E14" s="4">
        <f t="shared" si="6"/>
        <v>1320.0343105715199</v>
      </c>
      <c r="F14" s="4">
        <f t="shared" si="7"/>
        <v>702.00000000000023</v>
      </c>
      <c r="G14" s="97">
        <v>2</v>
      </c>
      <c r="H14" s="47">
        <f t="shared" si="0"/>
        <v>330.00857764287997</v>
      </c>
      <c r="J14" s="85" t="s">
        <v>4</v>
      </c>
      <c r="K14" s="4">
        <f t="shared" si="1"/>
        <v>330.00857764287997</v>
      </c>
      <c r="L14" s="4">
        <f t="shared" si="2"/>
        <v>396.00000000000011</v>
      </c>
      <c r="M14" s="4">
        <f t="shared" si="8"/>
        <v>102.00000000000013</v>
      </c>
      <c r="N14" s="47">
        <f t="shared" si="9"/>
        <v>2863.9313415177071</v>
      </c>
      <c r="P14" s="107" t="str">
        <f t="shared" si="10"/>
        <v>E</v>
      </c>
      <c r="Q14" s="4">
        <f t="shared" si="13"/>
        <v>330.77194089227328</v>
      </c>
      <c r="R14" s="4">
        <f t="shared" si="11"/>
        <v>-4.0000000000003215</v>
      </c>
      <c r="S14" s="81" t="str">
        <f t="shared" si="3"/>
        <v>E</v>
      </c>
      <c r="T14" s="4">
        <f t="shared" si="4"/>
        <v>330.00857764287997</v>
      </c>
      <c r="U14" s="47">
        <f t="shared" si="5"/>
        <v>-4.0000000000003215</v>
      </c>
    </row>
    <row r="15" spans="2:23" x14ac:dyDescent="0.2">
      <c r="B15" s="123" t="s">
        <v>8</v>
      </c>
      <c r="C15" s="75">
        <f t="shared" si="12"/>
        <v>1982.3917594845138</v>
      </c>
      <c r="D15" s="4">
        <f>VLOOKUP($B$1,BDO_Table,7,FALSE)</f>
        <v>-8</v>
      </c>
      <c r="E15" s="4">
        <f t="shared" si="6"/>
        <v>1973.2522973301755</v>
      </c>
      <c r="F15" s="4">
        <f t="shared" si="7"/>
        <v>696.00000000000011</v>
      </c>
      <c r="G15" s="97">
        <v>2</v>
      </c>
      <c r="H15" s="47">
        <f t="shared" si="0"/>
        <v>493.31307433254386</v>
      </c>
      <c r="J15" s="85" t="s">
        <v>5</v>
      </c>
      <c r="K15" s="4">
        <f t="shared" si="1"/>
        <v>350.03605285216423</v>
      </c>
      <c r="L15" s="4">
        <f t="shared" si="2"/>
        <v>498.00000000000017</v>
      </c>
      <c r="M15" s="4">
        <f t="shared" si="8"/>
        <v>102.00000000000013</v>
      </c>
      <c r="N15" s="47">
        <f t="shared" si="9"/>
        <v>2700.0701807144724</v>
      </c>
      <c r="P15" s="107" t="str">
        <f t="shared" si="10"/>
        <v>F</v>
      </c>
      <c r="Q15" s="4">
        <f t="shared" si="13"/>
        <v>350.44066402495775</v>
      </c>
      <c r="R15" s="4">
        <f t="shared" si="11"/>
        <v>-2.0000000000002003</v>
      </c>
      <c r="S15" s="81" t="str">
        <f t="shared" si="3"/>
        <v>B</v>
      </c>
      <c r="T15" s="4">
        <f t="shared" si="4"/>
        <v>493.31307433254386</v>
      </c>
      <c r="U15" s="47">
        <f t="shared" si="5"/>
        <v>-8.0000000000003801</v>
      </c>
    </row>
    <row r="16" spans="2:23" x14ac:dyDescent="0.2">
      <c r="B16" s="123" t="s">
        <v>70</v>
      </c>
      <c r="C16" s="75">
        <f t="shared" si="12"/>
        <v>2970.2316023776634</v>
      </c>
      <c r="D16" s="4">
        <f>VLOOKUP($B$1,BDO_Table,8,FALSE)</f>
        <v>-6</v>
      </c>
      <c r="E16" s="4">
        <f t="shared" si="6"/>
        <v>2959.9553816930747</v>
      </c>
      <c r="F16" s="4">
        <f t="shared" si="7"/>
        <v>701.99999999999977</v>
      </c>
      <c r="G16" s="97">
        <v>3</v>
      </c>
      <c r="H16" s="47">
        <f t="shared" si="0"/>
        <v>369.99442271163434</v>
      </c>
      <c r="J16" s="85" t="s">
        <v>70</v>
      </c>
      <c r="K16" s="4">
        <f t="shared" si="1"/>
        <v>369.99442271163434</v>
      </c>
      <c r="L16" s="4">
        <f t="shared" si="2"/>
        <v>593.99999999999989</v>
      </c>
      <c r="M16" s="4">
        <f t="shared" si="8"/>
        <v>95.999999999999815</v>
      </c>
      <c r="N16" s="47">
        <f t="shared" si="9"/>
        <v>2554.4220411606884</v>
      </c>
      <c r="P16" s="107" t="str">
        <f t="shared" si="10"/>
        <v>F#</v>
      </c>
      <c r="Q16" s="4">
        <f t="shared" si="13"/>
        <v>371.27895029720793</v>
      </c>
      <c r="R16" s="4">
        <f t="shared" si="11"/>
        <v>-6.0000000000006652</v>
      </c>
      <c r="S16" s="81" t="str">
        <f t="shared" si="3"/>
        <v>F#</v>
      </c>
      <c r="T16" s="4">
        <f t="shared" si="4"/>
        <v>369.99442271163434</v>
      </c>
      <c r="U16" s="47">
        <f t="shared" si="5"/>
        <v>-6.0000000000006652</v>
      </c>
    </row>
    <row r="17" spans="2:26" x14ac:dyDescent="0.2">
      <c r="B17" s="123" t="s">
        <v>74</v>
      </c>
      <c r="C17" s="75">
        <f t="shared" si="12"/>
        <v>4450.3190298052186</v>
      </c>
      <c r="D17" s="4">
        <f>VLOOKUP($B$1,BDO_Table,9,FALSE)</f>
        <v>-4</v>
      </c>
      <c r="E17" s="4">
        <f t="shared" si="6"/>
        <v>4440.0484790859982</v>
      </c>
      <c r="F17" s="4">
        <f t="shared" si="7"/>
        <v>702.00000000000023</v>
      </c>
      <c r="G17" s="97">
        <v>4</v>
      </c>
      <c r="H17" s="47">
        <f t="shared" si="0"/>
        <v>277.50302994287489</v>
      </c>
      <c r="J17" s="85" t="s">
        <v>6</v>
      </c>
      <c r="K17" s="4">
        <f t="shared" si="1"/>
        <v>392.44854854484072</v>
      </c>
      <c r="L17" s="4">
        <f t="shared" si="2"/>
        <v>695.99999999999977</v>
      </c>
      <c r="M17" s="4">
        <f t="shared" si="8"/>
        <v>102.00000000000013</v>
      </c>
      <c r="N17" s="47">
        <f t="shared" si="9"/>
        <v>2408.269598615002</v>
      </c>
      <c r="P17" s="107" t="str">
        <f t="shared" si="10"/>
        <v>G</v>
      </c>
      <c r="Q17" s="4">
        <f t="shared" si="13"/>
        <v>393.35634555235089</v>
      </c>
      <c r="R17" s="4">
        <f t="shared" si="11"/>
        <v>-4.0000000000005143</v>
      </c>
      <c r="S17" s="81" t="str">
        <f t="shared" si="3"/>
        <v>C#</v>
      </c>
      <c r="T17" s="4">
        <f t="shared" si="4"/>
        <v>277.50302994287489</v>
      </c>
      <c r="U17" s="47">
        <f t="shared" si="5"/>
        <v>-4.0000000000001297</v>
      </c>
    </row>
    <row r="18" spans="2:26" x14ac:dyDescent="0.2">
      <c r="B18" s="123" t="s">
        <v>72</v>
      </c>
      <c r="C18" s="75">
        <f t="shared" si="12"/>
        <v>6667.9444967161262</v>
      </c>
      <c r="D18" s="4">
        <f>VLOOKUP($B$1,BDO_Table,10,FALSE)</f>
        <v>-2</v>
      </c>
      <c r="E18" s="4">
        <f t="shared" si="6"/>
        <v>6660.245832948196</v>
      </c>
      <c r="F18" s="4">
        <f t="shared" si="7"/>
        <v>702.00000000000023</v>
      </c>
      <c r="G18" s="97">
        <v>4</v>
      </c>
      <c r="H18" s="47">
        <f t="shared" si="0"/>
        <v>416.26536455926225</v>
      </c>
      <c r="J18" s="85" t="s">
        <v>72</v>
      </c>
      <c r="K18" s="4">
        <f t="shared" si="1"/>
        <v>416.26536455926225</v>
      </c>
      <c r="L18" s="4">
        <f t="shared" si="2"/>
        <v>798.00000000000034</v>
      </c>
      <c r="M18" s="4">
        <f t="shared" si="8"/>
        <v>102.00000000000047</v>
      </c>
      <c r="N18" s="47">
        <f t="shared" si="9"/>
        <v>2270.4793358962488</v>
      </c>
      <c r="P18" s="107" t="str">
        <f t="shared" si="10"/>
        <v>G#</v>
      </c>
      <c r="Q18" s="4">
        <f t="shared" si="13"/>
        <v>416.74653104475789</v>
      </c>
      <c r="R18" s="4">
        <f t="shared" si="11"/>
        <v>-2.000000000000008</v>
      </c>
      <c r="S18" s="81" t="str">
        <f t="shared" si="3"/>
        <v>G#</v>
      </c>
      <c r="T18" s="4">
        <f t="shared" si="4"/>
        <v>416.26536455926225</v>
      </c>
      <c r="U18" s="47">
        <f t="shared" si="5"/>
        <v>-2.000000000000008</v>
      </c>
    </row>
    <row r="19" spans="2:26" x14ac:dyDescent="0.2">
      <c r="B19" s="123" t="s">
        <v>76</v>
      </c>
      <c r="C19" s="75">
        <f t="shared" si="12"/>
        <v>9990.628427650694</v>
      </c>
      <c r="D19" s="4">
        <f>VLOOKUP($B$1,BDO_Table,11,FALSE)</f>
        <v>-6</v>
      </c>
      <c r="E19" s="4">
        <f t="shared" si="6"/>
        <v>9956.0634791065877</v>
      </c>
      <c r="F19" s="4">
        <f t="shared" si="7"/>
        <v>695.99999999999955</v>
      </c>
      <c r="G19" s="97">
        <v>5</v>
      </c>
      <c r="H19" s="47">
        <f t="shared" si="0"/>
        <v>311.12698372208087</v>
      </c>
      <c r="J19" s="85" t="s">
        <v>7</v>
      </c>
      <c r="K19" s="4">
        <f t="shared" si="1"/>
        <v>439.99999999999989</v>
      </c>
      <c r="L19" s="4">
        <f t="shared" si="2"/>
        <v>893.99999999999977</v>
      </c>
      <c r="M19" s="4">
        <f t="shared" si="8"/>
        <v>95.999999999999474</v>
      </c>
      <c r="N19" s="47">
        <f t="shared" si="9"/>
        <v>2148.0043374570996</v>
      </c>
      <c r="P19" s="107" t="str">
        <f t="shared" si="10"/>
        <v>A</v>
      </c>
      <c r="Q19" s="4">
        <f t="shared" si="13"/>
        <v>441.5275693441813</v>
      </c>
      <c r="R19" s="4">
        <f t="shared" si="11"/>
        <v>-6.0000000000006652</v>
      </c>
      <c r="S19" s="81" t="str">
        <f t="shared" si="3"/>
        <v>D#</v>
      </c>
      <c r="T19" s="4">
        <f t="shared" si="4"/>
        <v>311.12698372208087</v>
      </c>
      <c r="U19" s="47">
        <f t="shared" si="5"/>
        <v>-6.0000000000004725</v>
      </c>
    </row>
    <row r="20" spans="2:26" x14ac:dyDescent="0.2">
      <c r="B20" s="123" t="s">
        <v>73</v>
      </c>
      <c r="C20" s="75">
        <f t="shared" si="12"/>
        <v>14969.029275594388</v>
      </c>
      <c r="D20" s="4">
        <f>VLOOKUP($B$1,BDO_Table,12,FALSE)</f>
        <v>-4</v>
      </c>
      <c r="E20" s="4">
        <f t="shared" si="6"/>
        <v>14934.483398464494</v>
      </c>
      <c r="F20" s="4">
        <f t="shared" si="7"/>
        <v>702.00000000000023</v>
      </c>
      <c r="G20" s="97">
        <v>5</v>
      </c>
      <c r="H20" s="47">
        <f t="shared" si="0"/>
        <v>466.70260620201543</v>
      </c>
      <c r="J20" s="85" t="s">
        <v>73</v>
      </c>
      <c r="K20" s="4">
        <f t="shared" si="1"/>
        <v>466.70260620201543</v>
      </c>
      <c r="L20" s="4">
        <f t="shared" si="2"/>
        <v>996</v>
      </c>
      <c r="M20" s="4">
        <f t="shared" si="8"/>
        <v>102.00000000000047</v>
      </c>
      <c r="N20" s="47">
        <f t="shared" si="9"/>
        <v>2025.1052724398567</v>
      </c>
      <c r="P20" s="107" t="str">
        <f t="shared" si="10"/>
        <v>A#</v>
      </c>
      <c r="Q20" s="4">
        <f t="shared" si="13"/>
        <v>467.78216486232463</v>
      </c>
      <c r="R20" s="4">
        <f t="shared" si="11"/>
        <v>-4.0000000000003215</v>
      </c>
      <c r="S20" s="81" t="str">
        <f t="shared" si="3"/>
        <v>A#</v>
      </c>
      <c r="T20" s="4">
        <f t="shared" si="4"/>
        <v>466.70260620201543</v>
      </c>
      <c r="U20" s="47">
        <f t="shared" si="5"/>
        <v>-4.0000000000003215</v>
      </c>
    </row>
    <row r="21" spans="2:26" x14ac:dyDescent="0.2">
      <c r="B21" s="123" t="s">
        <v>5</v>
      </c>
      <c r="C21" s="75">
        <f t="shared" si="12"/>
        <v>22428.202497597296</v>
      </c>
      <c r="D21" s="4">
        <f>VLOOKUP($B$1,BDO_Table,13,FALSE)</f>
        <v>-2</v>
      </c>
      <c r="E21" s="4">
        <f t="shared" si="6"/>
        <v>22402.307382538511</v>
      </c>
      <c r="F21" s="4">
        <f t="shared" si="7"/>
        <v>702</v>
      </c>
      <c r="G21" s="97">
        <v>6</v>
      </c>
      <c r="H21" s="47">
        <f t="shared" si="0"/>
        <v>350.03605285216423</v>
      </c>
      <c r="J21" s="85" t="s">
        <v>8</v>
      </c>
      <c r="K21" s="4">
        <f t="shared" si="1"/>
        <v>493.31307433254386</v>
      </c>
      <c r="L21" s="4">
        <f t="shared" si="2"/>
        <v>1092</v>
      </c>
      <c r="M21" s="4">
        <f t="shared" si="8"/>
        <v>95.999999999999815</v>
      </c>
      <c r="N21" s="47">
        <f t="shared" si="9"/>
        <v>1915.8663284160477</v>
      </c>
      <c r="P21" s="107" t="str">
        <f t="shared" si="10"/>
        <v>B</v>
      </c>
      <c r="Q21" s="4">
        <f t="shared" si="13"/>
        <v>495.59793987112846</v>
      </c>
      <c r="R21" s="4">
        <f t="shared" si="11"/>
        <v>-8.0000000000003801</v>
      </c>
      <c r="S21" s="81" t="str">
        <f t="shared" si="3"/>
        <v>F</v>
      </c>
      <c r="T21" s="4">
        <f t="shared" si="4"/>
        <v>350.03605285216423</v>
      </c>
      <c r="U21" s="47">
        <f t="shared" si="5"/>
        <v>-2.0000000000002003</v>
      </c>
    </row>
    <row r="22" spans="2:26" x14ac:dyDescent="0.2">
      <c r="B22" s="124" t="s">
        <v>78</v>
      </c>
      <c r="C22" s="88">
        <f t="shared" si="12"/>
        <v>33604.334523773294</v>
      </c>
      <c r="D22" s="53">
        <f>VLOOKUP($B$1,BDO_Table,14,FALSE)</f>
        <v>0</v>
      </c>
      <c r="E22" s="53">
        <f t="shared" si="6"/>
        <v>33604.334523773294</v>
      </c>
      <c r="F22" s="53">
        <f t="shared" si="7"/>
        <v>702.00000000000023</v>
      </c>
      <c r="G22" s="98">
        <v>6</v>
      </c>
      <c r="H22" s="48">
        <f t="shared" si="0"/>
        <v>525.06772693395772</v>
      </c>
      <c r="J22" s="87" t="s">
        <v>78</v>
      </c>
      <c r="K22" s="53">
        <f t="shared" si="1"/>
        <v>525.06772693395772</v>
      </c>
      <c r="L22" s="53">
        <f t="shared" si="2"/>
        <v>1200.0000000000002</v>
      </c>
      <c r="M22" s="53">
        <f t="shared" si="8"/>
        <v>108.00000000000021</v>
      </c>
      <c r="N22" s="48">
        <f t="shared" si="9"/>
        <v>1799.9999999999995</v>
      </c>
      <c r="P22" s="108" t="str">
        <f t="shared" si="10"/>
        <v>c oct.</v>
      </c>
      <c r="Q22" s="53">
        <f t="shared" si="13"/>
        <v>525.06772693395772</v>
      </c>
      <c r="R22" s="53">
        <f t="shared" si="11"/>
        <v>0</v>
      </c>
      <c r="S22" s="151" t="str">
        <f t="shared" si="3"/>
        <v>c oct.</v>
      </c>
      <c r="T22" s="53">
        <f t="shared" si="4"/>
        <v>525.06772693395772</v>
      </c>
      <c r="U22" s="48">
        <f t="shared" si="5"/>
        <v>0</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48" x14ac:dyDescent="0.2">
      <c r="B27" s="83" t="s">
        <v>130</v>
      </c>
      <c r="C27" s="84" t="s">
        <v>131</v>
      </c>
      <c r="D27" s="84" t="s">
        <v>132</v>
      </c>
      <c r="E27" s="84" t="str" cm="1">
        <f t="array" aca="1" ref="E27" ca="1">_xlfn.CONCAT(_xlfn.TEXTAFTER(CELL("filename",A2),"]")," Interval in cents")</f>
        <v>BDO Any Interval in cents</v>
      </c>
      <c r="F27" s="84" t="s">
        <v>18</v>
      </c>
      <c r="G27" s="52" t="str">
        <f>_xlfn.CONCAT("diff ",$F$2)</f>
        <v>diff 1/1 Cents</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07" t="s">
        <v>2</v>
      </c>
      <c r="C28" s="81" t="s">
        <v>4</v>
      </c>
      <c r="D28" s="97">
        <v>1</v>
      </c>
      <c r="E28" s="4">
        <f t="shared" ref="E28:E39" si="14">LOG(D28*VLOOKUP(C28,Master_Frequencies,2,FALSE)/VLOOKUP(B28,Master_Frequencies,2,FALSE),2)*1200</f>
        <v>396.00000000000011</v>
      </c>
      <c r="F28" s="4">
        <f t="shared" ref="F28:F39" si="15">VLOOKUP(B28,Master_Frequencies,2,FALSE)*5/4</f>
        <v>328.1673293337235</v>
      </c>
      <c r="G28" s="47">
        <f t="shared" ref="G28:G39" si="16">IF($D$2="Cents",LOG(D28*VLOOKUP(C28,Master_Frequencies,2,FALSE)/F28,2)*1200*$F$3,LOG(D28*VLOOKUP(C28,Master_Frequencies,2,FALSE)/F28,$F$3))</f>
        <v>9.6806927324882768</v>
      </c>
      <c r="I28" s="107" t="s">
        <v>2</v>
      </c>
      <c r="J28" s="81" t="s">
        <v>6</v>
      </c>
      <c r="K28" s="97">
        <v>1</v>
      </c>
      <c r="L28" s="191">
        <f t="shared" ref="L28:L39" si="17">K28*VLOOKUP(J28,Master_Frequencies,2,FALSE)/VLOOKUP(I28,Master_Frequencies,2,FALSE)</f>
        <v>1.4948492486349383</v>
      </c>
      <c r="M28" s="81" t="s">
        <v>2</v>
      </c>
      <c r="N28" s="81" t="s">
        <v>4</v>
      </c>
      <c r="O28" s="191">
        <f t="shared" ref="O28:O39" si="18">D28*VLOOKUP(N28,Master_Frequencies,2,FALSE)/VLOOKUP(M28,Master_Frequencies,2,FALSE)</f>
        <v>1.2570133745218284</v>
      </c>
      <c r="Q28" s="99">
        <v>1</v>
      </c>
      <c r="R28" s="18">
        <f>$E$10*Q28</f>
        <v>262.5338634669788</v>
      </c>
      <c r="S28" s="97">
        <v>0</v>
      </c>
      <c r="T28" s="4">
        <f>R28/POWER(2,S28)</f>
        <v>262.5338634669788</v>
      </c>
      <c r="U28" s="18" t="str" cm="1">
        <f t="array" ref="U28">_xlfn.XLOOKUP(0,ABS($C$45:$C$57-T28),$B$45:$B$57,,1)</f>
        <v>C</v>
      </c>
      <c r="V28" s="47">
        <f t="shared" ref="V28:V40" si="19">LOG(T28/VLOOKUP(U28,Master_Frequencies,2,FALSE),2)*1200</f>
        <v>0</v>
      </c>
      <c r="X28" s="85" t="s">
        <v>2</v>
      </c>
      <c r="Y28" s="4">
        <f t="shared" ref="Y28:Y40" si="20">VLOOKUP(X28,Master_Frequencies,2,FALSE)/POWER(2,$Z$26)</f>
        <v>65.6334658667447</v>
      </c>
      <c r="Z28" s="47">
        <f t="shared" ref="Z28:Z40" si="21">VLOOKUP(X28,Master_Frequencies,2,FALSE)*POWER(2,$Z$26)</f>
        <v>1050.1354538679152</v>
      </c>
    </row>
    <row r="29" spans="2:26" x14ac:dyDescent="0.2">
      <c r="B29" s="107" t="s">
        <v>74</v>
      </c>
      <c r="C29" s="81" t="s">
        <v>5</v>
      </c>
      <c r="D29" s="97">
        <v>1</v>
      </c>
      <c r="E29" s="4">
        <f t="shared" si="14"/>
        <v>402.00000000000017</v>
      </c>
      <c r="F29" s="4">
        <f t="shared" si="15"/>
        <v>346.87878742859363</v>
      </c>
      <c r="G29" s="47">
        <f t="shared" si="16"/>
        <v>15.677227997336487</v>
      </c>
      <c r="I29" s="107" t="s">
        <v>74</v>
      </c>
      <c r="J29" s="81" t="s">
        <v>72</v>
      </c>
      <c r="K29" s="97">
        <v>1</v>
      </c>
      <c r="L29" s="191">
        <f t="shared" si="17"/>
        <v>1.5000389892858184</v>
      </c>
      <c r="M29" s="81" t="s">
        <v>74</v>
      </c>
      <c r="N29" s="81" t="s">
        <v>5</v>
      </c>
      <c r="O29" s="191">
        <f t="shared" si="18"/>
        <v>1.2613774088312497</v>
      </c>
      <c r="Q29" s="99">
        <v>2</v>
      </c>
      <c r="R29" s="18">
        <f t="shared" ref="R29:R40" si="22">$E$10*Q29</f>
        <v>525.0677269339576</v>
      </c>
      <c r="S29" s="97">
        <v>0</v>
      </c>
      <c r="T29" s="4">
        <f t="shared" ref="T29:T40" si="23">R29/POWER(2,S29)</f>
        <v>525.0677269339576</v>
      </c>
      <c r="U29" s="18" t="str" cm="1">
        <f t="array" ref="U29">_xlfn.XLOOKUP(0,ABS($C$45:$C$57-T29),$B$45:$B$57,,1)</f>
        <v>c oct.</v>
      </c>
      <c r="V29" s="47">
        <f t="shared" si="19"/>
        <v>-3.8441118045779024E-13</v>
      </c>
      <c r="X29" s="85" t="s">
        <v>74</v>
      </c>
      <c r="Y29" s="4">
        <f t="shared" si="20"/>
        <v>69.375757485718722</v>
      </c>
      <c r="Z29" s="47">
        <f t="shared" si="21"/>
        <v>1110.0121197714996</v>
      </c>
    </row>
    <row r="30" spans="2:26" x14ac:dyDescent="0.2">
      <c r="B30" s="107" t="s">
        <v>3</v>
      </c>
      <c r="C30" s="81" t="s">
        <v>70</v>
      </c>
      <c r="D30" s="97">
        <v>1</v>
      </c>
      <c r="E30" s="4">
        <f t="shared" si="14"/>
        <v>402.00000000000017</v>
      </c>
      <c r="F30" s="4">
        <f t="shared" si="15"/>
        <v>366.65713620007955</v>
      </c>
      <c r="G30" s="47">
        <f t="shared" si="16"/>
        <v>15.677227997336487</v>
      </c>
      <c r="I30" s="107" t="s">
        <v>3</v>
      </c>
      <c r="J30" s="81" t="s">
        <v>7</v>
      </c>
      <c r="K30" s="97">
        <v>1</v>
      </c>
      <c r="L30" s="191">
        <f t="shared" si="17"/>
        <v>1.5000389892858179</v>
      </c>
      <c r="M30" s="81" t="s">
        <v>3</v>
      </c>
      <c r="N30" s="81" t="s">
        <v>70</v>
      </c>
      <c r="O30" s="191">
        <f t="shared" si="18"/>
        <v>1.2613774088312497</v>
      </c>
      <c r="Q30" s="99">
        <v>3</v>
      </c>
      <c r="R30" s="18">
        <f t="shared" si="22"/>
        <v>787.6015904009364</v>
      </c>
      <c r="S30" s="97">
        <v>1</v>
      </c>
      <c r="T30" s="4">
        <f t="shared" si="23"/>
        <v>393.8007952004682</v>
      </c>
      <c r="U30" s="18" t="str" cm="1">
        <f t="array" ref="U30">_xlfn.XLOOKUP(0,ABS($C$45:$C$57-T30),$B$45:$B$57,,1)</f>
        <v>G</v>
      </c>
      <c r="V30" s="47">
        <f t="shared" si="19"/>
        <v>5.9550008653874862</v>
      </c>
      <c r="X30" s="85" t="s">
        <v>3</v>
      </c>
      <c r="Y30" s="4">
        <f t="shared" si="20"/>
        <v>73.331427240015913</v>
      </c>
      <c r="Z30" s="47">
        <f t="shared" si="21"/>
        <v>1173.3028358402546</v>
      </c>
    </row>
    <row r="31" spans="2:26" x14ac:dyDescent="0.2">
      <c r="B31" s="107" t="s">
        <v>76</v>
      </c>
      <c r="C31" s="81" t="s">
        <v>6</v>
      </c>
      <c r="D31" s="97">
        <v>1</v>
      </c>
      <c r="E31" s="4">
        <f t="shared" si="14"/>
        <v>401.99999999999989</v>
      </c>
      <c r="F31" s="4">
        <f t="shared" si="15"/>
        <v>388.9087296526011</v>
      </c>
      <c r="G31" s="47">
        <f t="shared" si="16"/>
        <v>15.677227997336487</v>
      </c>
      <c r="I31" s="107" t="s">
        <v>76</v>
      </c>
      <c r="J31" s="81" t="s">
        <v>73</v>
      </c>
      <c r="K31" s="97">
        <v>1</v>
      </c>
      <c r="L31" s="191">
        <f t="shared" si="17"/>
        <v>1.5000389892858184</v>
      </c>
      <c r="M31" s="81" t="s">
        <v>76</v>
      </c>
      <c r="N31" s="81" t="s">
        <v>6</v>
      </c>
      <c r="O31" s="191">
        <f t="shared" si="18"/>
        <v>1.2613774088312495</v>
      </c>
      <c r="Q31" s="99">
        <v>4</v>
      </c>
      <c r="R31" s="18">
        <f t="shared" si="22"/>
        <v>1050.1354538679152</v>
      </c>
      <c r="S31" s="97">
        <v>1</v>
      </c>
      <c r="T31" s="4">
        <f t="shared" si="23"/>
        <v>525.0677269339576</v>
      </c>
      <c r="U31" s="18" t="str" cm="1">
        <f t="array" ref="U31">_xlfn.XLOOKUP(0,ABS($C$45:$C$57-T31),$B$45:$B$57,,1)</f>
        <v>c oct.</v>
      </c>
      <c r="V31" s="47">
        <f t="shared" si="19"/>
        <v>-3.8441118045779024E-13</v>
      </c>
      <c r="X31" s="85" t="s">
        <v>76</v>
      </c>
      <c r="Y31" s="4">
        <f t="shared" si="20"/>
        <v>77.781745930520216</v>
      </c>
      <c r="Z31" s="47">
        <f t="shared" si="21"/>
        <v>1244.5079348883235</v>
      </c>
    </row>
    <row r="32" spans="2:26" x14ac:dyDescent="0.2">
      <c r="B32" s="107" t="s">
        <v>4</v>
      </c>
      <c r="C32" s="81" t="s">
        <v>72</v>
      </c>
      <c r="D32" s="97">
        <v>1</v>
      </c>
      <c r="E32" s="4">
        <f t="shared" si="14"/>
        <v>402.00000000000017</v>
      </c>
      <c r="F32" s="4">
        <f t="shared" si="15"/>
        <v>412.51072205359998</v>
      </c>
      <c r="G32" s="47">
        <f t="shared" si="16"/>
        <v>15.677227997336869</v>
      </c>
      <c r="I32" s="107" t="s">
        <v>4</v>
      </c>
      <c r="J32" s="81" t="s">
        <v>8</v>
      </c>
      <c r="K32" s="97">
        <v>1</v>
      </c>
      <c r="L32" s="191">
        <f t="shared" si="17"/>
        <v>1.4948492486349385</v>
      </c>
      <c r="M32" s="81" t="s">
        <v>4</v>
      </c>
      <c r="N32" s="81" t="s">
        <v>72</v>
      </c>
      <c r="O32" s="191">
        <f t="shared" si="18"/>
        <v>1.2613774088312497</v>
      </c>
      <c r="Q32" s="99">
        <v>5</v>
      </c>
      <c r="R32" s="18">
        <f t="shared" si="22"/>
        <v>1312.669317334894</v>
      </c>
      <c r="S32" s="97">
        <v>2</v>
      </c>
      <c r="T32" s="4">
        <f t="shared" si="23"/>
        <v>328.1673293337235</v>
      </c>
      <c r="U32" s="18" t="str" cm="1">
        <f t="array" ref="U32">_xlfn.XLOOKUP(0,ABS($C$45:$C$57-T32),$B$45:$B$57,,1)</f>
        <v>E</v>
      </c>
      <c r="V32" s="47">
        <f t="shared" si="19"/>
        <v>-9.6862861351651688</v>
      </c>
      <c r="X32" s="85" t="s">
        <v>4</v>
      </c>
      <c r="Y32" s="4">
        <f t="shared" si="20"/>
        <v>82.502144410719993</v>
      </c>
      <c r="Z32" s="47">
        <f t="shared" si="21"/>
        <v>1320.0343105715199</v>
      </c>
    </row>
    <row r="33" spans="2:26" x14ac:dyDescent="0.2">
      <c r="B33" s="107" t="s">
        <v>5</v>
      </c>
      <c r="C33" s="81" t="s">
        <v>7</v>
      </c>
      <c r="D33" s="97">
        <v>1</v>
      </c>
      <c r="E33" s="4">
        <f t="shared" si="14"/>
        <v>395.99999999999943</v>
      </c>
      <c r="F33" s="4">
        <f t="shared" si="15"/>
        <v>437.54506606520528</v>
      </c>
      <c r="G33" s="47">
        <f t="shared" si="16"/>
        <v>9.6806927324875129</v>
      </c>
      <c r="I33" s="107" t="s">
        <v>5</v>
      </c>
      <c r="J33" s="81" t="s">
        <v>78</v>
      </c>
      <c r="K33" s="97">
        <v>1</v>
      </c>
      <c r="L33" s="191">
        <f t="shared" si="17"/>
        <v>1.5000389892858184</v>
      </c>
      <c r="M33" s="81" t="s">
        <v>5</v>
      </c>
      <c r="N33" s="81" t="s">
        <v>7</v>
      </c>
      <c r="O33" s="191">
        <f t="shared" si="18"/>
        <v>1.2570133745218279</v>
      </c>
      <c r="Q33" s="99">
        <v>6</v>
      </c>
      <c r="R33" s="18">
        <f t="shared" si="22"/>
        <v>1575.2031808018728</v>
      </c>
      <c r="S33" s="97">
        <v>2</v>
      </c>
      <c r="T33" s="4">
        <f t="shared" si="23"/>
        <v>393.8007952004682</v>
      </c>
      <c r="U33" s="18" t="str" cm="1">
        <f t="array" ref="U33">_xlfn.XLOOKUP(0,ABS($C$45:$C$57-T33),$B$45:$B$57,,1)</f>
        <v>G</v>
      </c>
      <c r="V33" s="47">
        <f t="shared" si="19"/>
        <v>5.9550008653874862</v>
      </c>
      <c r="X33" s="85" t="s">
        <v>5</v>
      </c>
      <c r="Y33" s="4">
        <f t="shared" si="20"/>
        <v>87.509013213041058</v>
      </c>
      <c r="Z33" s="47">
        <f t="shared" si="21"/>
        <v>1400.1442114086569</v>
      </c>
    </row>
    <row r="34" spans="2:26" x14ac:dyDescent="0.2">
      <c r="B34" s="107" t="s">
        <v>70</v>
      </c>
      <c r="C34" s="81" t="s">
        <v>73</v>
      </c>
      <c r="D34" s="97">
        <v>1</v>
      </c>
      <c r="E34" s="4">
        <f t="shared" si="14"/>
        <v>402.00000000000017</v>
      </c>
      <c r="F34" s="4">
        <f t="shared" si="15"/>
        <v>462.49302838954293</v>
      </c>
      <c r="G34" s="47">
        <f t="shared" si="16"/>
        <v>15.677227997336869</v>
      </c>
      <c r="I34" s="107" t="s">
        <v>70</v>
      </c>
      <c r="J34" s="81" t="s">
        <v>74</v>
      </c>
      <c r="K34" s="97">
        <v>2</v>
      </c>
      <c r="L34" s="191">
        <f t="shared" si="17"/>
        <v>1.5000389892858184</v>
      </c>
      <c r="M34" s="81" t="s">
        <v>70</v>
      </c>
      <c r="N34" s="81" t="s">
        <v>73</v>
      </c>
      <c r="O34" s="191">
        <f t="shared" si="18"/>
        <v>1.2613774088312497</v>
      </c>
      <c r="Q34" s="99">
        <v>7</v>
      </c>
      <c r="R34" s="18">
        <f t="shared" si="22"/>
        <v>1837.7370442688516</v>
      </c>
      <c r="S34" s="97">
        <v>2</v>
      </c>
      <c r="T34" s="4">
        <f t="shared" si="23"/>
        <v>459.4342610672129</v>
      </c>
      <c r="U34" s="18" t="str" cm="1">
        <f t="array" ref="U34">_xlfn.XLOOKUP(0,ABS($C$45:$C$57-T34),$B$45:$B$57,,1)</f>
        <v>A#</v>
      </c>
      <c r="V34" s="47">
        <f t="shared" si="19"/>
        <v>-27.174093530875169</v>
      </c>
      <c r="X34" s="85" t="s">
        <v>70</v>
      </c>
      <c r="Y34" s="4">
        <f t="shared" si="20"/>
        <v>92.498605677908586</v>
      </c>
      <c r="Z34" s="47">
        <f t="shared" si="21"/>
        <v>1479.9776908465374</v>
      </c>
    </row>
    <row r="35" spans="2:26" x14ac:dyDescent="0.2">
      <c r="B35" s="107" t="s">
        <v>6</v>
      </c>
      <c r="C35" s="81" t="s">
        <v>8</v>
      </c>
      <c r="D35" s="97">
        <v>1</v>
      </c>
      <c r="E35" s="4">
        <f t="shared" si="14"/>
        <v>396.00000000000034</v>
      </c>
      <c r="F35" s="4">
        <f t="shared" si="15"/>
        <v>490.56068568105093</v>
      </c>
      <c r="G35" s="47">
        <f t="shared" si="16"/>
        <v>9.6806927324882768</v>
      </c>
      <c r="I35" s="107" t="s">
        <v>6</v>
      </c>
      <c r="J35" s="81" t="s">
        <v>3</v>
      </c>
      <c r="K35" s="97">
        <v>2</v>
      </c>
      <c r="L35" s="191">
        <f t="shared" si="17"/>
        <v>1.4948492486349385</v>
      </c>
      <c r="M35" s="81" t="s">
        <v>6</v>
      </c>
      <c r="N35" s="81" t="s">
        <v>8</v>
      </c>
      <c r="O35" s="191">
        <f t="shared" si="18"/>
        <v>1.2570133745218286</v>
      </c>
      <c r="Q35" s="99">
        <v>8</v>
      </c>
      <c r="R35" s="18">
        <f t="shared" si="22"/>
        <v>2100.2709077358304</v>
      </c>
      <c r="S35" s="97">
        <v>3</v>
      </c>
      <c r="T35" s="4">
        <f t="shared" si="23"/>
        <v>262.5338634669788</v>
      </c>
      <c r="U35" s="18" t="str" cm="1">
        <f t="array" ref="U35">_xlfn.XLOOKUP(0,ABS($C$45:$C$57-T35),$B$45:$B$57,,1)</f>
        <v>C</v>
      </c>
      <c r="V35" s="47">
        <f t="shared" si="19"/>
        <v>0</v>
      </c>
      <c r="X35" s="85" t="s">
        <v>6</v>
      </c>
      <c r="Y35" s="4">
        <f t="shared" si="20"/>
        <v>98.11213713621018</v>
      </c>
      <c r="Z35" s="47">
        <f t="shared" si="21"/>
        <v>1569.7941941793629</v>
      </c>
    </row>
    <row r="36" spans="2:26" x14ac:dyDescent="0.2">
      <c r="B36" s="107" t="s">
        <v>72</v>
      </c>
      <c r="C36" s="81" t="s">
        <v>78</v>
      </c>
      <c r="D36" s="97">
        <v>1</v>
      </c>
      <c r="E36" s="4">
        <f t="shared" si="14"/>
        <v>402.00000000000017</v>
      </c>
      <c r="F36" s="4">
        <f t="shared" si="15"/>
        <v>520.33170569907782</v>
      </c>
      <c r="G36" s="47">
        <f t="shared" si="16"/>
        <v>15.677227997336487</v>
      </c>
      <c r="I36" s="107" t="s">
        <v>72</v>
      </c>
      <c r="J36" s="81" t="s">
        <v>76</v>
      </c>
      <c r="K36" s="97">
        <v>2</v>
      </c>
      <c r="L36" s="191">
        <f t="shared" si="17"/>
        <v>1.4948492486349381</v>
      </c>
      <c r="M36" s="81" t="s">
        <v>72</v>
      </c>
      <c r="N36" s="81" t="s">
        <v>78</v>
      </c>
      <c r="O36" s="191">
        <f t="shared" si="18"/>
        <v>1.2613774088312497</v>
      </c>
      <c r="Q36" s="99">
        <v>9</v>
      </c>
      <c r="R36" s="18">
        <f t="shared" si="22"/>
        <v>2362.8047712028092</v>
      </c>
      <c r="S36" s="97">
        <v>3</v>
      </c>
      <c r="T36" s="4">
        <f t="shared" si="23"/>
        <v>295.35059640035115</v>
      </c>
      <c r="U36" s="18" t="str" cm="1">
        <f t="array" ref="U36">_xlfn.XLOOKUP(0,ABS($C$45:$C$57-T36),$B$45:$B$57,,1)</f>
        <v>D</v>
      </c>
      <c r="V36" s="47">
        <f t="shared" si="19"/>
        <v>11.910001730775244</v>
      </c>
      <c r="X36" s="85" t="s">
        <v>72</v>
      </c>
      <c r="Y36" s="4">
        <f t="shared" si="20"/>
        <v>104.06634113981556</v>
      </c>
      <c r="Z36" s="47">
        <f t="shared" si="21"/>
        <v>1665.061458237049</v>
      </c>
    </row>
    <row r="37" spans="2:26" x14ac:dyDescent="0.2">
      <c r="B37" s="107" t="s">
        <v>7</v>
      </c>
      <c r="C37" s="81" t="s">
        <v>74</v>
      </c>
      <c r="D37" s="97">
        <v>2</v>
      </c>
      <c r="E37" s="4">
        <f t="shared" si="14"/>
        <v>402.00000000000017</v>
      </c>
      <c r="F37" s="4">
        <f t="shared" si="15"/>
        <v>549.99999999999989</v>
      </c>
      <c r="G37" s="47">
        <f t="shared" si="16"/>
        <v>15.677227997336869</v>
      </c>
      <c r="I37" s="107" t="s">
        <v>7</v>
      </c>
      <c r="J37" s="81" t="s">
        <v>4</v>
      </c>
      <c r="K37" s="97">
        <v>2</v>
      </c>
      <c r="L37" s="191">
        <f t="shared" si="17"/>
        <v>1.5000389892858184</v>
      </c>
      <c r="M37" s="81" t="s">
        <v>7</v>
      </c>
      <c r="N37" s="81" t="s">
        <v>74</v>
      </c>
      <c r="O37" s="191">
        <f t="shared" si="18"/>
        <v>1.2613774088312497</v>
      </c>
      <c r="Q37" s="99">
        <v>10</v>
      </c>
      <c r="R37" s="18">
        <f t="shared" si="22"/>
        <v>2625.338634669788</v>
      </c>
      <c r="S37" s="97">
        <v>3</v>
      </c>
      <c r="T37" s="4">
        <f t="shared" si="23"/>
        <v>328.1673293337235</v>
      </c>
      <c r="U37" s="18" t="str" cm="1">
        <f t="array" ref="U37">_xlfn.XLOOKUP(0,ABS($C$45:$C$57-T37),$B$45:$B$57,,1)</f>
        <v>E</v>
      </c>
      <c r="V37" s="47">
        <f t="shared" si="19"/>
        <v>-9.6862861351651688</v>
      </c>
      <c r="X37" s="85" t="s">
        <v>7</v>
      </c>
      <c r="Y37" s="4">
        <f t="shared" si="20"/>
        <v>109.99999999999997</v>
      </c>
      <c r="Z37" s="47">
        <f t="shared" si="21"/>
        <v>1759.9999999999995</v>
      </c>
    </row>
    <row r="38" spans="2:26" x14ac:dyDescent="0.2">
      <c r="B38" s="107" t="s">
        <v>73</v>
      </c>
      <c r="C38" s="81" t="s">
        <v>3</v>
      </c>
      <c r="D38" s="97">
        <v>2</v>
      </c>
      <c r="E38" s="4">
        <f t="shared" si="14"/>
        <v>395.99999999999966</v>
      </c>
      <c r="F38" s="4">
        <f t="shared" si="15"/>
        <v>583.37825775251929</v>
      </c>
      <c r="G38" s="47">
        <f t="shared" si="16"/>
        <v>9.6806927324878966</v>
      </c>
      <c r="I38" s="107" t="s">
        <v>73</v>
      </c>
      <c r="J38" s="81" t="s">
        <v>5</v>
      </c>
      <c r="K38" s="97">
        <v>2</v>
      </c>
      <c r="L38" s="191">
        <f t="shared" si="17"/>
        <v>1.5000389892858181</v>
      </c>
      <c r="M38" s="81" t="s">
        <v>73</v>
      </c>
      <c r="N38" s="81" t="s">
        <v>3</v>
      </c>
      <c r="O38" s="191">
        <f t="shared" si="18"/>
        <v>1.2570133745218282</v>
      </c>
      <c r="Q38" s="99">
        <v>11</v>
      </c>
      <c r="R38" s="18">
        <f t="shared" si="22"/>
        <v>2887.8724981367668</v>
      </c>
      <c r="S38" s="97">
        <v>3</v>
      </c>
      <c r="T38" s="4">
        <f t="shared" si="23"/>
        <v>360.98406226709585</v>
      </c>
      <c r="U38" s="18" t="str" cm="1">
        <f t="array" ref="U38">_xlfn.XLOOKUP(0,ABS($C$45:$C$57-T38),$B$45:$B$57,,1)</f>
        <v>F#</v>
      </c>
      <c r="V38" s="47">
        <f t="shared" si="19"/>
        <v>-42.682057635243083</v>
      </c>
      <c r="X38" s="85" t="s">
        <v>73</v>
      </c>
      <c r="Y38" s="4">
        <f t="shared" si="20"/>
        <v>116.67565155050386</v>
      </c>
      <c r="Z38" s="47">
        <f t="shared" si="21"/>
        <v>1866.8104248080617</v>
      </c>
    </row>
    <row r="39" spans="2:26" x14ac:dyDescent="0.2">
      <c r="B39" s="108" t="s">
        <v>8</v>
      </c>
      <c r="C39" s="151" t="s">
        <v>76</v>
      </c>
      <c r="D39" s="98">
        <v>2</v>
      </c>
      <c r="E39" s="53">
        <f t="shared" si="14"/>
        <v>401.99999999999989</v>
      </c>
      <c r="F39" s="53">
        <f t="shared" si="15"/>
        <v>616.64134291567984</v>
      </c>
      <c r="G39" s="48">
        <f t="shared" si="16"/>
        <v>15.677227997336106</v>
      </c>
      <c r="I39" s="108" t="s">
        <v>8</v>
      </c>
      <c r="J39" s="151" t="s">
        <v>70</v>
      </c>
      <c r="K39" s="98">
        <v>2</v>
      </c>
      <c r="L39" s="192">
        <f t="shared" si="17"/>
        <v>1.5000389892858179</v>
      </c>
      <c r="M39" s="151" t="s">
        <v>8</v>
      </c>
      <c r="N39" s="151" t="s">
        <v>76</v>
      </c>
      <c r="O39" s="192">
        <f t="shared" si="18"/>
        <v>1.2613774088312495</v>
      </c>
      <c r="Q39" s="99">
        <v>12</v>
      </c>
      <c r="R39" s="18">
        <f t="shared" si="22"/>
        <v>3150.4063616037456</v>
      </c>
      <c r="S39" s="97">
        <v>3</v>
      </c>
      <c r="T39" s="4">
        <f t="shared" si="23"/>
        <v>393.8007952004682</v>
      </c>
      <c r="U39" s="18" t="str" cm="1">
        <f t="array" ref="U39">_xlfn.XLOOKUP(0,ABS($C$45:$C$57-T39),$B$45:$B$57,,1)</f>
        <v>G</v>
      </c>
      <c r="V39" s="47">
        <f t="shared" si="19"/>
        <v>5.9550008653874862</v>
      </c>
      <c r="X39" s="85" t="s">
        <v>8</v>
      </c>
      <c r="Y39" s="4">
        <f t="shared" si="20"/>
        <v>123.32826858313597</v>
      </c>
      <c r="Z39" s="47">
        <f t="shared" si="21"/>
        <v>1973.2522973301755</v>
      </c>
    </row>
    <row r="40" spans="2:26" x14ac:dyDescent="0.2">
      <c r="Q40" s="100">
        <v>13</v>
      </c>
      <c r="R40" s="50">
        <f t="shared" si="22"/>
        <v>3412.9402250707244</v>
      </c>
      <c r="S40" s="98">
        <v>3</v>
      </c>
      <c r="T40" s="53">
        <f t="shared" si="23"/>
        <v>426.61752813384055</v>
      </c>
      <c r="U40" s="50" t="str" cm="1">
        <f t="array" ref="U40">_xlfn.XLOOKUP(0,ABS($C$45:$C$57-T40),$B$45:$B$57,,1)</f>
        <v>G#</v>
      </c>
      <c r="V40" s="48">
        <f t="shared" si="19"/>
        <v>42.527661769310363</v>
      </c>
      <c r="X40" s="87" t="s">
        <v>78</v>
      </c>
      <c r="Y40" s="53">
        <f t="shared" si="20"/>
        <v>131.26693173348943</v>
      </c>
      <c r="Z40" s="48">
        <f t="shared" si="21"/>
        <v>2100.2709077358309</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262.5338634669788</v>
      </c>
    </row>
    <row r="46" spans="2:26" x14ac:dyDescent="0.2">
      <c r="B46" s="92" t="s">
        <v>74</v>
      </c>
      <c r="C46" s="93">
        <f t="shared" ref="C46:C57" si="24">VLOOKUP(B46,$B$10:$H$22,7,FALSE)</f>
        <v>277.50302994287489</v>
      </c>
    </row>
    <row r="47" spans="2:26" x14ac:dyDescent="0.2">
      <c r="B47" s="92" t="s">
        <v>3</v>
      </c>
      <c r="C47" s="93">
        <f t="shared" si="24"/>
        <v>293.32570896006365</v>
      </c>
    </row>
    <row r="48" spans="2:26" x14ac:dyDescent="0.2">
      <c r="B48" s="92" t="s">
        <v>76</v>
      </c>
      <c r="C48" s="93">
        <f t="shared" si="24"/>
        <v>311.12698372208087</v>
      </c>
    </row>
    <row r="49" spans="2:3" x14ac:dyDescent="0.2">
      <c r="B49" s="92" t="s">
        <v>4</v>
      </c>
      <c r="C49" s="93">
        <f t="shared" si="24"/>
        <v>330.00857764287997</v>
      </c>
    </row>
    <row r="50" spans="2:3" x14ac:dyDescent="0.2">
      <c r="B50" s="92" t="s">
        <v>5</v>
      </c>
      <c r="C50" s="93">
        <f t="shared" si="24"/>
        <v>350.03605285216423</v>
      </c>
    </row>
    <row r="51" spans="2:3" x14ac:dyDescent="0.2">
      <c r="B51" s="92" t="s">
        <v>70</v>
      </c>
      <c r="C51" s="93">
        <f t="shared" si="24"/>
        <v>369.99442271163434</v>
      </c>
    </row>
    <row r="52" spans="2:3" x14ac:dyDescent="0.2">
      <c r="B52" s="92" t="s">
        <v>6</v>
      </c>
      <c r="C52" s="93">
        <f t="shared" si="24"/>
        <v>392.44854854484072</v>
      </c>
    </row>
    <row r="53" spans="2:3" x14ac:dyDescent="0.2">
      <c r="B53" s="92" t="s">
        <v>72</v>
      </c>
      <c r="C53" s="93">
        <f t="shared" si="24"/>
        <v>416.26536455926225</v>
      </c>
    </row>
    <row r="54" spans="2:3" x14ac:dyDescent="0.2">
      <c r="B54" s="92" t="s">
        <v>7</v>
      </c>
      <c r="C54" s="93">
        <f t="shared" si="24"/>
        <v>439.99999999999989</v>
      </c>
    </row>
    <row r="55" spans="2:3" x14ac:dyDescent="0.2">
      <c r="B55" s="92" t="s">
        <v>73</v>
      </c>
      <c r="C55" s="93">
        <f t="shared" si="24"/>
        <v>466.70260620201543</v>
      </c>
    </row>
    <row r="56" spans="2:3" x14ac:dyDescent="0.2">
      <c r="B56" s="92" t="s">
        <v>8</v>
      </c>
      <c r="C56" s="93">
        <f t="shared" si="24"/>
        <v>493.31307433254386</v>
      </c>
    </row>
    <row r="57" spans="2:3" ht="16" thickBot="1" x14ac:dyDescent="0.25">
      <c r="B57" s="94" t="s">
        <v>78</v>
      </c>
      <c r="C57" s="95">
        <f t="shared" si="24"/>
        <v>525.06772693395772</v>
      </c>
    </row>
    <row r="58" spans="2:3" ht="16" thickTop="1" x14ac:dyDescent="0.2"/>
  </sheetData>
  <sheetProtection sheet="1" scenarios="1" formatCells="0"/>
  <mergeCells count="10">
    <mergeCell ref="B1:G1"/>
    <mergeCell ref="B8:H8"/>
    <mergeCell ref="J8:N8"/>
    <mergeCell ref="P8:U8"/>
    <mergeCell ref="H1:I1"/>
    <mergeCell ref="B43:C43"/>
    <mergeCell ref="B26:D26"/>
    <mergeCell ref="I26:O26"/>
    <mergeCell ref="Q26:V26"/>
    <mergeCell ref="X25:Z25"/>
  </mergeCells>
  <conditionalFormatting sqref="B8 I8:J8 J9:L24 N9:N24 M10:M24 O11:O24 J25 N27:O27 E27:G39 L27:L39 F40:J40 L40:N40">
    <cfRule type="expression" dxfId="100" priority="21">
      <formula>_xlfn.ISFORMULA(B8)</formula>
    </cfRule>
  </conditionalFormatting>
  <conditionalFormatting sqref="B26 B27:C39">
    <cfRule type="expression" dxfId="99" priority="15">
      <formula>_xlfn.ISFORMULA(B26)</formula>
    </cfRule>
  </conditionalFormatting>
  <conditionalFormatting sqref="B9:H25">
    <cfRule type="expression" dxfId="98" priority="11">
      <formula>_xlfn.ISFORMULA(B9)</formula>
    </cfRule>
  </conditionalFormatting>
  <conditionalFormatting sqref="C3:G3">
    <cfRule type="expression" dxfId="97" priority="12">
      <formula>_xlfn.ISFORMULA(C3)</formula>
    </cfRule>
  </conditionalFormatting>
  <conditionalFormatting sqref="D2:L2 C4:C6 D6:L6">
    <cfRule type="expression" dxfId="96" priority="14">
      <formula>_xlfn.ISFORMULA(C2)</formula>
    </cfRule>
  </conditionalFormatting>
  <conditionalFormatting sqref="E26">
    <cfRule type="expression" dxfId="95" priority="9">
      <formula>_xlfn.ISFORMULA(E26)</formula>
    </cfRule>
  </conditionalFormatting>
  <conditionalFormatting sqref="I26:I39">
    <cfRule type="expression" dxfId="94" priority="7">
      <formula>_xlfn.ISFORMULA(I26)</formula>
    </cfRule>
  </conditionalFormatting>
  <conditionalFormatting sqref="J28:J39">
    <cfRule type="expression" dxfId="93" priority="5">
      <formula>_xlfn.ISFORMULA(J28)</formula>
    </cfRule>
  </conditionalFormatting>
  <conditionalFormatting sqref="L3 G4:L5 M5:N6 S5:XFD6 B7:XFD7 Y8:XFD22 P9:V22 P23:XFD24 AA25:XFD40 Q27:W40 A41:V42 Y41:XFD42 A43:B43 D43:XFD43 A44:XFD1048576">
    <cfRule type="expression" dxfId="92" priority="20">
      <formula>_xlfn.ISFORMULA(A3)</formula>
    </cfRule>
  </conditionalFormatting>
  <conditionalFormatting sqref="L25:X25 Y26:Z40">
    <cfRule type="expression" dxfId="91" priority="2">
      <formula>_xlfn.ISFORMULA(L25)</formula>
    </cfRule>
  </conditionalFormatting>
  <conditionalFormatting sqref="M2:M4">
    <cfRule type="expression" dxfId="90" priority="25">
      <formula>_xlfn.ISFORMULA(M2)</formula>
    </cfRule>
  </conditionalFormatting>
  <conditionalFormatting sqref="M28:O39">
    <cfRule type="expression" dxfId="89" priority="3">
      <formula>_xlfn.ISFORMULA(M28)</formula>
    </cfRule>
  </conditionalFormatting>
  <conditionalFormatting sqref="O8:U8">
    <cfRule type="expression" dxfId="88" priority="19">
      <formula>_xlfn.ISFORMULA(O8)</formula>
    </cfRule>
  </conditionalFormatting>
  <conditionalFormatting sqref="P26:Q26">
    <cfRule type="expression" dxfId="87" priority="17">
      <formula>_xlfn.ISFORMULA(P26)</formula>
    </cfRule>
  </conditionalFormatting>
  <conditionalFormatting sqref="U2:XFD4 B40:D40">
    <cfRule type="expression" dxfId="86" priority="26">
      <formula>_xlfn.ISFORMULA(B2)</formula>
    </cfRule>
  </conditionalFormatting>
  <conditionalFormatting sqref="W26">
    <cfRule type="expression" dxfId="85" priority="22">
      <formula>_xlfn.ISFORMULA(W26)</formula>
    </cfRule>
  </conditionalFormatting>
  <conditionalFormatting sqref="X28:X40">
    <cfRule type="expression" dxfId="84" priority="1">
      <formula>_xlfn.ISFORMULA(X28)</formula>
    </cfRule>
  </conditionalFormatting>
  <dataValidations count="1">
    <dataValidation type="list" allowBlank="1" showInputMessage="1" showErrorMessage="1" sqref="B1" xr:uid="{D81B63BB-C7D7-4B4E-A3CF-899EFD2A549F}">
      <formula1>BDO_Names</formula1>
    </dataValidation>
  </dataValidations>
  <hyperlinks>
    <hyperlink ref="B41" location="Overview!A1" display="Back to Overview" xr:uid="{069EB36E-F753-6B45-8E2B-2DE7F346E2FE}"/>
    <hyperlink ref="B5" location="Overview!A1" display="Back to Overview" xr:uid="{5FB0A0C2-03D4-0D49-8D55-ED15A57138BE}"/>
  </hyperlink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9BBB-9DB8-A749-AC4C-82516232F807}">
  <sheetPr codeName="Sheet8">
    <tabColor theme="8" tint="0.59999389629810485"/>
  </sheetPr>
  <dimension ref="B1:AA57"/>
  <sheetViews>
    <sheetView workbookViewId="0"/>
  </sheetViews>
  <sheetFormatPr baseColWidth="10" defaultColWidth="12" defaultRowHeight="15" x14ac:dyDescent="0.2"/>
  <cols>
    <col min="1" max="1" width="2.83203125" style="4" customWidth="1"/>
    <col min="2" max="6" width="12" style="4"/>
    <col min="7" max="7" width="12" style="4" customWidth="1"/>
    <col min="8" max="8" width="9.1640625" style="4" customWidth="1"/>
    <col min="9" max="15" width="12" style="4"/>
    <col min="16" max="16" width="10.6640625" style="4" customWidth="1"/>
    <col min="17" max="22" width="12" style="4"/>
    <col min="23" max="23" width="7" style="4" customWidth="1"/>
    <col min="24" max="16384" width="12" style="4"/>
  </cols>
  <sheetData>
    <row r="1" spans="2:27" ht="18" x14ac:dyDescent="0.2">
      <c r="B1" s="289" t="s">
        <v>69</v>
      </c>
      <c r="C1" s="289"/>
      <c r="D1" s="289"/>
      <c r="E1" s="289"/>
      <c r="F1" s="289"/>
      <c r="G1" s="289"/>
    </row>
    <row r="2" spans="2:27" ht="16" x14ac:dyDescent="0.2">
      <c r="C2" s="70"/>
      <c r="D2" s="154" t="s">
        <v>16</v>
      </c>
      <c r="E2" s="72" t="str">
        <f>D2</f>
        <v>Cents</v>
      </c>
      <c r="F2" s="72" t="str">
        <f>_xlfn.CONCAT("1/",D3," ",D2)</f>
        <v>1/1 Cents</v>
      </c>
      <c r="G2" s="73"/>
      <c r="H2" s="74" t="s">
        <v>143</v>
      </c>
      <c r="I2" s="156">
        <v>440</v>
      </c>
      <c r="J2" s="74" t="str">
        <f>_xlfn.CONCAT("C for A=", I2,":")</f>
        <v>C for A=440:</v>
      </c>
      <c r="K2" s="4">
        <f>I2*POWER(2,-C19/1200)</f>
        <v>261.62556530059862</v>
      </c>
      <c r="L2" s="74"/>
      <c r="T2" s="77"/>
      <c r="Y2" s="74"/>
      <c r="Z2" s="74"/>
      <c r="AA2" s="74"/>
    </row>
    <row r="3" spans="2:27" ht="16" x14ac:dyDescent="0.2">
      <c r="C3" s="74" t="s">
        <v>125</v>
      </c>
      <c r="D3" s="155">
        <v>1</v>
      </c>
      <c r="E3" s="1">
        <f>IF(D2="Pythagorean Comma",524288/531441,IF(D2="Syntonic Comma",80/81,IF(D2="Cents",1/POWER(2,1/1200),"Not in List")))</f>
        <v>0.99942254414138076</v>
      </c>
      <c r="F3" s="132">
        <f>POWER(E3,1/D3)</f>
        <v>0.99942254414138076</v>
      </c>
      <c r="T3" s="77"/>
    </row>
    <row r="4" spans="2:27" x14ac:dyDescent="0.2">
      <c r="C4" s="79"/>
      <c r="D4" s="79"/>
    </row>
    <row r="5" spans="2:27" ht="16" x14ac:dyDescent="0.2">
      <c r="B5" s="80" t="s">
        <v>63</v>
      </c>
      <c r="F5" s="78"/>
    </row>
    <row r="6" spans="2:27" x14ac:dyDescent="0.2">
      <c r="D6" s="74"/>
      <c r="F6" s="78"/>
    </row>
    <row r="7" spans="2:27" x14ac:dyDescent="0.2">
      <c r="E7" s="81"/>
      <c r="F7" s="81"/>
    </row>
    <row r="8" spans="2:27" ht="18" x14ac:dyDescent="0.2">
      <c r="B8" s="310" t="s">
        <v>140</v>
      </c>
      <c r="C8" s="311"/>
      <c r="D8" s="311"/>
      <c r="E8" s="311"/>
      <c r="F8" s="312"/>
      <c r="H8" s="310" t="s">
        <v>43</v>
      </c>
      <c r="I8" s="311"/>
      <c r="J8" s="311"/>
      <c r="K8" s="311"/>
      <c r="L8" s="311"/>
      <c r="M8" s="312"/>
      <c r="N8" s="133"/>
      <c r="P8" s="310" t="s">
        <v>129</v>
      </c>
      <c r="Q8" s="311"/>
      <c r="R8" s="311"/>
      <c r="S8" s="311"/>
      <c r="T8" s="311"/>
      <c r="U8" s="312"/>
    </row>
    <row r="9" spans="2:27" s="84" customFormat="1" ht="48" x14ac:dyDescent="0.2">
      <c r="B9" s="83" t="s">
        <v>14</v>
      </c>
      <c r="C9" s="84" t="s">
        <v>29</v>
      </c>
      <c r="D9" s="84" t="s">
        <v>15</v>
      </c>
      <c r="E9" s="84" t="s">
        <v>36</v>
      </c>
      <c r="F9" s="52" t="s">
        <v>50</v>
      </c>
      <c r="H9" s="83" t="s">
        <v>127</v>
      </c>
      <c r="I9" s="84" t="s">
        <v>128</v>
      </c>
      <c r="J9" s="84" t="s">
        <v>13</v>
      </c>
      <c r="K9" s="84" t="str">
        <f>_xlfn.CONCAT("Relative ",E2)</f>
        <v>Relative Cents</v>
      </c>
      <c r="L9" s="84" t="str">
        <f>_xlfn.CONCAT("Cumulative ",E2)</f>
        <v>Cumulative Cents</v>
      </c>
      <c r="M9" s="52" t="s">
        <v>16</v>
      </c>
      <c r="P9" s="83" t="s">
        <v>89</v>
      </c>
      <c r="Q9" s="84" t="s">
        <v>136</v>
      </c>
      <c r="R9" s="84" t="s">
        <v>90</v>
      </c>
      <c r="S9" s="84" t="s">
        <v>88</v>
      </c>
      <c r="T9" s="84" t="s">
        <v>32</v>
      </c>
      <c r="U9" s="52" t="s">
        <v>91</v>
      </c>
    </row>
    <row r="10" spans="2:27" x14ac:dyDescent="0.2">
      <c r="B10" s="123" t="s">
        <v>2</v>
      </c>
      <c r="C10" s="156">
        <v>0</v>
      </c>
      <c r="D10" s="4">
        <f>K2</f>
        <v>261.62556530059862</v>
      </c>
      <c r="F10" s="46">
        <v>8</v>
      </c>
      <c r="H10" s="107" t="s">
        <v>2</v>
      </c>
      <c r="I10" s="97">
        <v>0</v>
      </c>
      <c r="J10" s="4">
        <f>VLOOKUP(H10,$B$10:$D$22,3,FALSE)*POWER(2,I10)</f>
        <v>261.62556530059862</v>
      </c>
      <c r="K10" s="4">
        <v>0</v>
      </c>
      <c r="L10" s="4">
        <f>K10</f>
        <v>0</v>
      </c>
      <c r="M10" s="47"/>
      <c r="P10" s="107" t="str">
        <f t="shared" ref="P10:P22" si="0">B10</f>
        <v>C</v>
      </c>
      <c r="Q10" s="4">
        <f>D10</f>
        <v>261.62556530059862</v>
      </c>
      <c r="R10" s="4">
        <f t="shared" ref="R10:R22" si="1">LOG(D10/Q10,2)*1200</f>
        <v>0</v>
      </c>
      <c r="S10" s="81" t="str">
        <f t="shared" ref="S10:S22" si="2">H10</f>
        <v>C</v>
      </c>
      <c r="T10" s="4">
        <f t="shared" ref="T10:T22" si="3">VLOOKUP(S10,$P$10:$Q$22,2,FALSE)</f>
        <v>261.62556530059862</v>
      </c>
      <c r="U10" s="47">
        <f t="shared" ref="U10:U22" si="4">VLOOKUP(S10,$P$10:$R$22,3,FALSE)</f>
        <v>0</v>
      </c>
    </row>
    <row r="11" spans="2:27" x14ac:dyDescent="0.2">
      <c r="B11" s="123" t="s">
        <v>74</v>
      </c>
      <c r="C11" s="156">
        <v>100</v>
      </c>
      <c r="D11" s="4">
        <f t="shared" ref="D11:D22" si="5">$D$10*POWER(2,C11/1200)</f>
        <v>277.18263097687208</v>
      </c>
      <c r="E11" s="4">
        <f t="shared" ref="E11:E22" si="6">LOG(D11/D10,2)*1200</f>
        <v>100.00000000000007</v>
      </c>
      <c r="F11" s="47">
        <f t="shared" ref="F11:F22" si="7">F$10*D$10/D11</f>
        <v>7.5509945014535482</v>
      </c>
      <c r="H11" s="107" t="s">
        <v>6</v>
      </c>
      <c r="I11" s="97">
        <v>0</v>
      </c>
      <c r="J11" s="4">
        <f t="shared" ref="J11:J22" si="8">VLOOKUP(H11,$B$10:$D$22,3,FALSE)*POWER(2,I11)</f>
        <v>391.99543598174927</v>
      </c>
      <c r="K11" s="75">
        <f>LOG(J11/(J10*3/2),1/$F$3)</f>
        <v>-1.955000865387428</v>
      </c>
      <c r="L11" s="4">
        <f>L10+K11</f>
        <v>-1.955000865387428</v>
      </c>
      <c r="M11" s="47">
        <f t="shared" ref="M11:M22" si="9">LOG(J11/J10,2)*1200</f>
        <v>700</v>
      </c>
      <c r="P11" s="107" t="str">
        <f t="shared" si="0"/>
        <v>C#</v>
      </c>
      <c r="Q11" s="4">
        <f t="shared" ref="Q11:Q22" si="10">Q10*POWER($Q$10*2/$Q$10,1/12)</f>
        <v>277.18263097687208</v>
      </c>
      <c r="R11" s="4">
        <f t="shared" si="1"/>
        <v>0</v>
      </c>
      <c r="S11" s="81" t="str">
        <f t="shared" si="2"/>
        <v>G</v>
      </c>
      <c r="T11" s="4">
        <f t="shared" si="3"/>
        <v>391.99543598174938</v>
      </c>
      <c r="U11" s="47">
        <f t="shared" si="4"/>
        <v>-5.7661677068668525E-13</v>
      </c>
    </row>
    <row r="12" spans="2:27" x14ac:dyDescent="0.2">
      <c r="B12" s="123" t="s">
        <v>3</v>
      </c>
      <c r="C12" s="156">
        <v>200</v>
      </c>
      <c r="D12" s="4">
        <f t="shared" si="5"/>
        <v>293.66476791740757</v>
      </c>
      <c r="E12" s="4">
        <f t="shared" si="6"/>
        <v>100.00000000000007</v>
      </c>
      <c r="F12" s="47">
        <f t="shared" si="7"/>
        <v>7.1271897451227142</v>
      </c>
      <c r="H12" s="107" t="s">
        <v>3</v>
      </c>
      <c r="I12" s="97">
        <v>1</v>
      </c>
      <c r="J12" s="4">
        <f t="shared" si="8"/>
        <v>587.32953583481515</v>
      </c>
      <c r="K12" s="75">
        <f t="shared" ref="K12:K22" si="11">LOG(J12/(J11*3/2),1/$F$3)</f>
        <v>-1.9550008653872355</v>
      </c>
      <c r="L12" s="4">
        <f t="shared" ref="L12:L22" si="12">L11+K12</f>
        <v>-3.9100017307746633</v>
      </c>
      <c r="M12" s="47">
        <f t="shared" si="9"/>
        <v>700.00000000000034</v>
      </c>
      <c r="P12" s="107" t="str">
        <f t="shared" si="0"/>
        <v>D</v>
      </c>
      <c r="Q12" s="4">
        <f t="shared" si="10"/>
        <v>293.66476791740757</v>
      </c>
      <c r="R12" s="4">
        <f t="shared" si="1"/>
        <v>0</v>
      </c>
      <c r="S12" s="81" t="str">
        <f t="shared" si="2"/>
        <v>D</v>
      </c>
      <c r="T12" s="4">
        <f t="shared" si="3"/>
        <v>293.66476791740757</v>
      </c>
      <c r="U12" s="47">
        <f t="shared" si="4"/>
        <v>0</v>
      </c>
    </row>
    <row r="13" spans="2:27" x14ac:dyDescent="0.2">
      <c r="B13" s="123" t="s">
        <v>76</v>
      </c>
      <c r="C13" s="156">
        <v>300</v>
      </c>
      <c r="D13" s="4">
        <f t="shared" si="5"/>
        <v>311.12698372208087</v>
      </c>
      <c r="E13" s="4">
        <f t="shared" si="6"/>
        <v>99.99999999999973</v>
      </c>
      <c r="F13" s="47">
        <f t="shared" si="7"/>
        <v>6.7271713220297169</v>
      </c>
      <c r="H13" s="107" t="s">
        <v>7</v>
      </c>
      <c r="I13" s="97">
        <v>1</v>
      </c>
      <c r="J13" s="4">
        <f t="shared" si="8"/>
        <v>879.99999999999989</v>
      </c>
      <c r="K13" s="75">
        <f t="shared" si="11"/>
        <v>-1.9550008653878128</v>
      </c>
      <c r="L13" s="4">
        <f t="shared" si="12"/>
        <v>-5.8650025961624763</v>
      </c>
      <c r="M13" s="47">
        <f t="shared" si="9"/>
        <v>699.99999999999977</v>
      </c>
      <c r="P13" s="107" t="str">
        <f t="shared" si="0"/>
        <v>D#</v>
      </c>
      <c r="Q13" s="4">
        <f t="shared" si="10"/>
        <v>311.12698372208092</v>
      </c>
      <c r="R13" s="4">
        <f t="shared" si="1"/>
        <v>-3.8441118045779024E-13</v>
      </c>
      <c r="S13" s="81" t="str">
        <f t="shared" si="2"/>
        <v>A</v>
      </c>
      <c r="T13" s="4">
        <f t="shared" si="3"/>
        <v>440.00000000000011</v>
      </c>
      <c r="U13" s="47">
        <f t="shared" si="4"/>
        <v>-5.7661677068668525E-13</v>
      </c>
    </row>
    <row r="14" spans="2:27" x14ac:dyDescent="0.2">
      <c r="B14" s="123" t="s">
        <v>4</v>
      </c>
      <c r="C14" s="156">
        <v>400</v>
      </c>
      <c r="D14" s="4">
        <f t="shared" si="5"/>
        <v>329.62755691286992</v>
      </c>
      <c r="E14" s="4">
        <f t="shared" si="6"/>
        <v>100.00000000000007</v>
      </c>
      <c r="F14" s="47">
        <f t="shared" si="7"/>
        <v>6.3496042078727974</v>
      </c>
      <c r="H14" s="107" t="s">
        <v>4</v>
      </c>
      <c r="I14" s="97">
        <v>2</v>
      </c>
      <c r="J14" s="4">
        <f t="shared" si="8"/>
        <v>1318.5102276514797</v>
      </c>
      <c r="K14" s="75">
        <f t="shared" si="11"/>
        <v>-1.9550008653872355</v>
      </c>
      <c r="L14" s="4">
        <f t="shared" si="12"/>
        <v>-7.820003461549712</v>
      </c>
      <c r="M14" s="47">
        <f t="shared" si="9"/>
        <v>700.00000000000034</v>
      </c>
      <c r="P14" s="107" t="str">
        <f t="shared" si="0"/>
        <v>E</v>
      </c>
      <c r="Q14" s="4">
        <f t="shared" si="10"/>
        <v>329.62755691286998</v>
      </c>
      <c r="R14" s="4">
        <f t="shared" si="1"/>
        <v>-3.8441118045779024E-13</v>
      </c>
      <c r="S14" s="81" t="str">
        <f t="shared" si="2"/>
        <v>E</v>
      </c>
      <c r="T14" s="4">
        <f t="shared" si="3"/>
        <v>329.62755691286998</v>
      </c>
      <c r="U14" s="47">
        <f t="shared" si="4"/>
        <v>-3.8441118045779024E-13</v>
      </c>
    </row>
    <row r="15" spans="2:27" x14ac:dyDescent="0.2">
      <c r="B15" s="123" t="s">
        <v>5</v>
      </c>
      <c r="C15" s="156">
        <v>500</v>
      </c>
      <c r="D15" s="4">
        <f t="shared" si="5"/>
        <v>349.22823143300388</v>
      </c>
      <c r="E15" s="4">
        <f t="shared" si="6"/>
        <v>100.00000000000007</v>
      </c>
      <c r="F15" s="47">
        <f t="shared" si="7"/>
        <v>5.9932283075067261</v>
      </c>
      <c r="H15" s="107" t="s">
        <v>8</v>
      </c>
      <c r="I15" s="97">
        <v>2</v>
      </c>
      <c r="J15" s="4">
        <f t="shared" si="8"/>
        <v>1975.5332050244963</v>
      </c>
      <c r="K15" s="75">
        <f t="shared" si="11"/>
        <v>-1.955000865387428</v>
      </c>
      <c r="L15" s="4">
        <f t="shared" si="12"/>
        <v>-9.7750043269371396</v>
      </c>
      <c r="M15" s="47">
        <f t="shared" si="9"/>
        <v>700</v>
      </c>
      <c r="P15" s="107" t="str">
        <f t="shared" si="0"/>
        <v>F</v>
      </c>
      <c r="Q15" s="4">
        <f t="shared" si="10"/>
        <v>349.22823143300394</v>
      </c>
      <c r="R15" s="4">
        <f t="shared" si="1"/>
        <v>-1.9220559022889507E-13</v>
      </c>
      <c r="S15" s="81" t="str">
        <f t="shared" si="2"/>
        <v>B</v>
      </c>
      <c r="T15" s="4">
        <f t="shared" si="3"/>
        <v>493.88330125612424</v>
      </c>
      <c r="U15" s="47">
        <f t="shared" si="4"/>
        <v>-5.7661677068668525E-13</v>
      </c>
    </row>
    <row r="16" spans="2:27" x14ac:dyDescent="0.2">
      <c r="B16" s="123" t="s">
        <v>70</v>
      </c>
      <c r="C16" s="156">
        <v>600</v>
      </c>
      <c r="D16" s="4">
        <f t="shared" si="5"/>
        <v>369.9944227116344</v>
      </c>
      <c r="E16" s="4">
        <f t="shared" si="6"/>
        <v>100.00000000000007</v>
      </c>
      <c r="F16" s="47">
        <f t="shared" si="7"/>
        <v>5.6568542494923797</v>
      </c>
      <c r="H16" s="107" t="s">
        <v>70</v>
      </c>
      <c r="I16" s="97">
        <v>3</v>
      </c>
      <c r="J16" s="4">
        <f t="shared" si="8"/>
        <v>2959.9553816930752</v>
      </c>
      <c r="K16" s="75">
        <f t="shared" si="11"/>
        <v>-1.955000865387428</v>
      </c>
      <c r="L16" s="4">
        <f t="shared" si="12"/>
        <v>-11.730005192324567</v>
      </c>
      <c r="M16" s="47">
        <f t="shared" si="9"/>
        <v>700</v>
      </c>
      <c r="P16" s="107" t="str">
        <f t="shared" si="0"/>
        <v>F#</v>
      </c>
      <c r="Q16" s="4">
        <f t="shared" si="10"/>
        <v>369.99442271163446</v>
      </c>
      <c r="R16" s="4">
        <f t="shared" si="1"/>
        <v>-1.9220559022889507E-13</v>
      </c>
      <c r="S16" s="81" t="str">
        <f t="shared" si="2"/>
        <v>F#</v>
      </c>
      <c r="T16" s="4">
        <f t="shared" si="3"/>
        <v>369.99442271163446</v>
      </c>
      <c r="U16" s="47">
        <f t="shared" si="4"/>
        <v>-1.9220559022889507E-13</v>
      </c>
    </row>
    <row r="17" spans="2:26" x14ac:dyDescent="0.2">
      <c r="B17" s="123" t="s">
        <v>6</v>
      </c>
      <c r="C17" s="156">
        <v>700</v>
      </c>
      <c r="D17" s="4">
        <f t="shared" si="5"/>
        <v>391.99543598174927</v>
      </c>
      <c r="E17" s="4">
        <f t="shared" si="6"/>
        <v>99.99999999999973</v>
      </c>
      <c r="F17" s="47">
        <f t="shared" si="7"/>
        <v>5.3393594166801375</v>
      </c>
      <c r="H17" s="107" t="s">
        <v>74</v>
      </c>
      <c r="I17" s="97">
        <v>4</v>
      </c>
      <c r="J17" s="4">
        <f t="shared" si="8"/>
        <v>4434.9220956299532</v>
      </c>
      <c r="K17" s="75">
        <f t="shared" si="11"/>
        <v>-1.9550008653876203</v>
      </c>
      <c r="L17" s="4">
        <f t="shared" si="12"/>
        <v>-13.685006057712187</v>
      </c>
      <c r="M17" s="47">
        <f t="shared" si="9"/>
        <v>699.99999999999977</v>
      </c>
      <c r="P17" s="107" t="str">
        <f t="shared" si="0"/>
        <v>G</v>
      </c>
      <c r="Q17" s="4">
        <f t="shared" si="10"/>
        <v>391.99543598174938</v>
      </c>
      <c r="R17" s="4">
        <f t="shared" si="1"/>
        <v>-5.7661677068668525E-13</v>
      </c>
      <c r="S17" s="81" t="str">
        <f t="shared" si="2"/>
        <v>C#</v>
      </c>
      <c r="T17" s="4">
        <f t="shared" si="3"/>
        <v>277.18263097687208</v>
      </c>
      <c r="U17" s="47">
        <f t="shared" si="4"/>
        <v>0</v>
      </c>
    </row>
    <row r="18" spans="2:26" x14ac:dyDescent="0.2">
      <c r="B18" s="123" t="s">
        <v>72</v>
      </c>
      <c r="C18" s="156">
        <v>800</v>
      </c>
      <c r="D18" s="4">
        <f t="shared" si="5"/>
        <v>415.30469757994507</v>
      </c>
      <c r="E18" s="4">
        <f t="shared" si="6"/>
        <v>99.99999999999973</v>
      </c>
      <c r="F18" s="47">
        <f t="shared" si="7"/>
        <v>5.0396841995794937</v>
      </c>
      <c r="H18" s="107" t="s">
        <v>72</v>
      </c>
      <c r="I18" s="97">
        <v>4</v>
      </c>
      <c r="J18" s="4">
        <f t="shared" si="8"/>
        <v>6644.8751612791211</v>
      </c>
      <c r="K18" s="75">
        <f t="shared" si="11"/>
        <v>-1.955000865387428</v>
      </c>
      <c r="L18" s="4">
        <f t="shared" si="12"/>
        <v>-15.640006923099614</v>
      </c>
      <c r="M18" s="47">
        <f t="shared" si="9"/>
        <v>699.99999999999977</v>
      </c>
      <c r="P18" s="107" t="str">
        <f t="shared" si="0"/>
        <v>G#</v>
      </c>
      <c r="Q18" s="4">
        <f t="shared" si="10"/>
        <v>415.30469757994524</v>
      </c>
      <c r="R18" s="4">
        <f t="shared" si="1"/>
        <v>-7.6882236091558047E-13</v>
      </c>
      <c r="S18" s="81" t="str">
        <f t="shared" si="2"/>
        <v>G#</v>
      </c>
      <c r="T18" s="4">
        <f t="shared" si="3"/>
        <v>415.30469757994524</v>
      </c>
      <c r="U18" s="47">
        <f t="shared" si="4"/>
        <v>-7.6882236091558047E-13</v>
      </c>
    </row>
    <row r="19" spans="2:26" x14ac:dyDescent="0.2">
      <c r="B19" s="123" t="s">
        <v>7</v>
      </c>
      <c r="C19" s="156">
        <v>900</v>
      </c>
      <c r="D19" s="4">
        <f t="shared" si="5"/>
        <v>439.99999999999994</v>
      </c>
      <c r="E19" s="4">
        <f t="shared" si="6"/>
        <v>100.00000000000007</v>
      </c>
      <c r="F19" s="47">
        <f t="shared" si="7"/>
        <v>4.756828460010885</v>
      </c>
      <c r="H19" s="107" t="s">
        <v>76</v>
      </c>
      <c r="I19" s="97">
        <v>5</v>
      </c>
      <c r="J19" s="4">
        <f t="shared" si="8"/>
        <v>9956.0634791065877</v>
      </c>
      <c r="K19" s="75">
        <f t="shared" si="11"/>
        <v>-1.955000865387428</v>
      </c>
      <c r="L19" s="4">
        <f t="shared" si="12"/>
        <v>-17.595007788487042</v>
      </c>
      <c r="M19" s="47">
        <f t="shared" si="9"/>
        <v>700</v>
      </c>
      <c r="P19" s="107" t="str">
        <f t="shared" si="0"/>
        <v>A</v>
      </c>
      <c r="Q19" s="4">
        <f t="shared" si="10"/>
        <v>440.00000000000011</v>
      </c>
      <c r="R19" s="4">
        <f t="shared" si="1"/>
        <v>-5.7661677068668525E-13</v>
      </c>
      <c r="S19" s="81" t="str">
        <f t="shared" si="2"/>
        <v>D#</v>
      </c>
      <c r="T19" s="4">
        <f t="shared" si="3"/>
        <v>311.12698372208092</v>
      </c>
      <c r="U19" s="47">
        <f t="shared" si="4"/>
        <v>-3.8441118045779024E-13</v>
      </c>
    </row>
    <row r="20" spans="2:26" x14ac:dyDescent="0.2">
      <c r="B20" s="123" t="s">
        <v>73</v>
      </c>
      <c r="C20" s="156">
        <v>1000</v>
      </c>
      <c r="D20" s="4">
        <f t="shared" si="5"/>
        <v>466.16376151808987</v>
      </c>
      <c r="E20" s="4">
        <f t="shared" si="6"/>
        <v>100.00000000000007</v>
      </c>
      <c r="F20" s="47">
        <f t="shared" si="7"/>
        <v>4.4898481932374921</v>
      </c>
      <c r="H20" s="107" t="s">
        <v>73</v>
      </c>
      <c r="I20" s="97">
        <v>5</v>
      </c>
      <c r="J20" s="4">
        <f t="shared" si="8"/>
        <v>14917.240368578876</v>
      </c>
      <c r="K20" s="75">
        <f t="shared" si="11"/>
        <v>-1.9550008653872355</v>
      </c>
      <c r="L20" s="4">
        <f t="shared" si="12"/>
        <v>-19.550008653874276</v>
      </c>
      <c r="M20" s="47">
        <f t="shared" si="9"/>
        <v>700</v>
      </c>
      <c r="P20" s="107" t="str">
        <f t="shared" si="0"/>
        <v>A#</v>
      </c>
      <c r="Q20" s="4">
        <f t="shared" si="10"/>
        <v>466.16376151809004</v>
      </c>
      <c r="R20" s="4">
        <f t="shared" si="1"/>
        <v>-5.7661677068668525E-13</v>
      </c>
      <c r="S20" s="81" t="str">
        <f t="shared" si="2"/>
        <v>A#</v>
      </c>
      <c r="T20" s="4">
        <f t="shared" si="3"/>
        <v>466.16376151809004</v>
      </c>
      <c r="U20" s="47">
        <f t="shared" si="4"/>
        <v>-5.7661677068668525E-13</v>
      </c>
    </row>
    <row r="21" spans="2:26" x14ac:dyDescent="0.2">
      <c r="B21" s="123" t="s">
        <v>8</v>
      </c>
      <c r="C21" s="156">
        <v>1100</v>
      </c>
      <c r="D21" s="4">
        <f t="shared" si="5"/>
        <v>493.88330125612407</v>
      </c>
      <c r="E21" s="4">
        <f t="shared" si="6"/>
        <v>100.00000000000007</v>
      </c>
      <c r="F21" s="47">
        <f t="shared" si="7"/>
        <v>4.2378523774371812</v>
      </c>
      <c r="H21" s="107" t="s">
        <v>5</v>
      </c>
      <c r="I21" s="97">
        <v>6</v>
      </c>
      <c r="J21" s="4">
        <f t="shared" si="8"/>
        <v>22350.606811712249</v>
      </c>
      <c r="K21" s="75">
        <f t="shared" si="11"/>
        <v>-1.955000865387428</v>
      </c>
      <c r="L21" s="4">
        <f t="shared" si="12"/>
        <v>-21.505009519261705</v>
      </c>
      <c r="M21" s="47">
        <f t="shared" si="9"/>
        <v>700.00000000000034</v>
      </c>
      <c r="P21" s="107" t="str">
        <f t="shared" si="0"/>
        <v>B</v>
      </c>
      <c r="Q21" s="4">
        <f t="shared" si="10"/>
        <v>493.88330125612424</v>
      </c>
      <c r="R21" s="4">
        <f t="shared" si="1"/>
        <v>-5.7661677068668525E-13</v>
      </c>
      <c r="S21" s="81" t="str">
        <f t="shared" si="2"/>
        <v>F</v>
      </c>
      <c r="T21" s="4">
        <f t="shared" si="3"/>
        <v>349.22823143300394</v>
      </c>
      <c r="U21" s="47">
        <f t="shared" si="4"/>
        <v>-1.9220559022889507E-13</v>
      </c>
    </row>
    <row r="22" spans="2:26" x14ac:dyDescent="0.2">
      <c r="B22" s="124" t="s">
        <v>78</v>
      </c>
      <c r="C22" s="157">
        <v>1200</v>
      </c>
      <c r="D22" s="53">
        <f t="shared" si="5"/>
        <v>523.25113060119725</v>
      </c>
      <c r="E22" s="53">
        <f t="shared" si="6"/>
        <v>100.00000000000007</v>
      </c>
      <c r="F22" s="48">
        <f t="shared" si="7"/>
        <v>4</v>
      </c>
      <c r="H22" s="108" t="s">
        <v>78</v>
      </c>
      <c r="I22" s="98">
        <v>6</v>
      </c>
      <c r="J22" s="53">
        <f t="shared" si="8"/>
        <v>33488.072358476624</v>
      </c>
      <c r="K22" s="88">
        <f t="shared" si="11"/>
        <v>-1.9550008653876203</v>
      </c>
      <c r="L22" s="53">
        <f t="shared" si="12"/>
        <v>-23.460010384649326</v>
      </c>
      <c r="M22" s="48">
        <f t="shared" si="9"/>
        <v>700</v>
      </c>
      <c r="P22" s="108" t="str">
        <f t="shared" si="0"/>
        <v>c oct.</v>
      </c>
      <c r="Q22" s="53">
        <f t="shared" si="10"/>
        <v>523.25113060119747</v>
      </c>
      <c r="R22" s="53">
        <f t="shared" si="1"/>
        <v>-7.6882236091558047E-13</v>
      </c>
      <c r="S22" s="151" t="str">
        <f t="shared" si="2"/>
        <v>c oct.</v>
      </c>
      <c r="T22" s="53">
        <f t="shared" si="3"/>
        <v>523.25113060119747</v>
      </c>
      <c r="U22" s="48">
        <f t="shared" si="4"/>
        <v>-7.6882236091558047E-13</v>
      </c>
    </row>
    <row r="23" spans="2:26" x14ac:dyDescent="0.2">
      <c r="B23" s="86"/>
      <c r="H23" s="18"/>
      <c r="P23" s="18"/>
      <c r="S23" s="18"/>
    </row>
    <row r="24" spans="2:26" x14ac:dyDescent="0.2">
      <c r="B24" s="86"/>
      <c r="H24" s="18"/>
      <c r="P24" s="18"/>
      <c r="S24" s="18"/>
    </row>
    <row r="25" spans="2:26" ht="18" x14ac:dyDescent="0.2">
      <c r="B25" s="86"/>
      <c r="H25" s="18"/>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32" x14ac:dyDescent="0.2">
      <c r="B27" s="83" t="s">
        <v>130</v>
      </c>
      <c r="C27" s="84" t="s">
        <v>131</v>
      </c>
      <c r="D27" s="84" t="s">
        <v>132</v>
      </c>
      <c r="E27" s="84" t="str" cm="1">
        <f t="array" aca="1" ref="E27" ca="1">_xlfn.CONCAT(_xlfn.TEXTAFTER(CELL("filename",A2),"]")," Interval in cents")</f>
        <v>Equal Interval in cents</v>
      </c>
      <c r="F27" s="84" t="s">
        <v>18</v>
      </c>
      <c r="G27" s="52" t="str">
        <f>_xlfn.CONCAT("diff ",$F$2)</f>
        <v>diff 1/1 Cents</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07" t="s">
        <v>2</v>
      </c>
      <c r="C28" s="81" t="s">
        <v>4</v>
      </c>
      <c r="D28" s="97">
        <v>1</v>
      </c>
      <c r="E28" s="4">
        <f t="shared" ref="E28:E39" si="13">LOG(D28*VLOOKUP(C28,Master_Frequencies,2,FALSE)/VLOOKUP(B28,Master_Frequencies,2,FALSE),2)*1200</f>
        <v>400.00000000000006</v>
      </c>
      <c r="F28" s="4">
        <f t="shared" ref="F28:F39" si="14">VLOOKUP(B28,Master_Frequencies,2,FALSE)*5/4</f>
        <v>327.03195662574831</v>
      </c>
      <c r="G28" s="47">
        <f t="shared" ref="G28:G39" si="15">IF($D$2="Cents",LOG(D28*VLOOKUP(C28,Master_Frequencies,2,FALSE)/F28,2)*1200*$D$3,LOG(D28*VLOOKUP(C28,Master_Frequencies,2,FALSE)/F28,$F$3))</f>
        <v>13.686286135165219</v>
      </c>
      <c r="I28" s="107" t="s">
        <v>2</v>
      </c>
      <c r="J28" s="81" t="s">
        <v>6</v>
      </c>
      <c r="K28" s="97">
        <v>1</v>
      </c>
      <c r="L28" s="191">
        <f t="shared" ref="L28:L39" si="16">K28*VLOOKUP(J28,Master_Frequencies,2,FALSE)/VLOOKUP(I28,Master_Frequencies,2,FALSE)</f>
        <v>1.4983070768766815</v>
      </c>
      <c r="M28" s="81" t="s">
        <v>2</v>
      </c>
      <c r="N28" s="81" t="s">
        <v>4</v>
      </c>
      <c r="O28" s="191">
        <f t="shared" ref="O28:O39" si="17">D28*VLOOKUP(N28,Master_Frequencies,2,FALSE)/VLOOKUP(M28,Master_Frequencies,2,FALSE)</f>
        <v>1.2599210498948732</v>
      </c>
      <c r="Q28" s="99">
        <v>1</v>
      </c>
      <c r="R28" s="18">
        <f>$D$10*Q28</f>
        <v>261.62556530059862</v>
      </c>
      <c r="S28" s="97">
        <v>0</v>
      </c>
      <c r="T28" s="4">
        <f>R28/POWER(2,S28)</f>
        <v>261.62556530059862</v>
      </c>
      <c r="U28" s="18" t="str" cm="1">
        <f t="array" ref="U28">_xlfn.XLOOKUP(0,ABS($C$44:$C$56-T28),$B$44:$B$56,,1)</f>
        <v>C</v>
      </c>
      <c r="V28" s="47">
        <f>LOG(T28/VLOOKUP(U28,$B$10:$D$22,3,FALSE),2)*1200</f>
        <v>0</v>
      </c>
      <c r="X28" s="85" t="s">
        <v>2</v>
      </c>
      <c r="Y28" s="4">
        <f t="shared" ref="Y28:Y40" si="18">VLOOKUP(X28,Master_Frequencies,2,FALSE)/POWER(2,$Z$26)</f>
        <v>65.406391325149656</v>
      </c>
      <c r="Z28" s="47">
        <f t="shared" ref="Z28:Z40" si="19">VLOOKUP(X28,Master_Frequencies,2,FALSE)*POWER(2,$Z$26)</f>
        <v>1046.5022612023945</v>
      </c>
    </row>
    <row r="29" spans="2:26" x14ac:dyDescent="0.2">
      <c r="B29" s="107" t="s">
        <v>74</v>
      </c>
      <c r="C29" s="81" t="s">
        <v>5</v>
      </c>
      <c r="D29" s="97">
        <v>1</v>
      </c>
      <c r="E29" s="4">
        <f t="shared" si="13"/>
        <v>400.00000000000006</v>
      </c>
      <c r="F29" s="4">
        <f t="shared" si="14"/>
        <v>346.47828872109011</v>
      </c>
      <c r="G29" s="47">
        <f t="shared" si="15"/>
        <v>13.686286135165219</v>
      </c>
      <c r="I29" s="107" t="s">
        <v>74</v>
      </c>
      <c r="J29" s="81" t="s">
        <v>72</v>
      </c>
      <c r="K29" s="97">
        <v>1</v>
      </c>
      <c r="L29" s="191">
        <f t="shared" si="16"/>
        <v>1.4983070768766813</v>
      </c>
      <c r="M29" s="81" t="s">
        <v>74</v>
      </c>
      <c r="N29" s="81" t="s">
        <v>5</v>
      </c>
      <c r="O29" s="191">
        <f t="shared" si="17"/>
        <v>1.2599210498948732</v>
      </c>
      <c r="Q29" s="99">
        <v>2</v>
      </c>
      <c r="R29" s="18">
        <f t="shared" ref="R29:R40" si="20">$D$10*Q29</f>
        <v>523.25113060119725</v>
      </c>
      <c r="S29" s="97">
        <v>0</v>
      </c>
      <c r="T29" s="4">
        <f t="shared" ref="T29:T40" si="21">R29/POWER(2,S29)</f>
        <v>523.25113060119725</v>
      </c>
      <c r="U29" s="18" t="str" cm="1">
        <f t="array" ref="U29">_xlfn.XLOOKUP(0,ABS($C$44:$C$56-T29),$B$44:$B$56,,1)</f>
        <v>c oct.</v>
      </c>
      <c r="V29" s="47">
        <f t="shared" ref="V29:V40" si="22">LOG(T29/VLOOKUP(U29,$B$10:$D$22,3,FALSE),2)*1200</f>
        <v>0</v>
      </c>
      <c r="X29" s="85" t="s">
        <v>74</v>
      </c>
      <c r="Y29" s="4">
        <f t="shared" si="18"/>
        <v>69.295657744218019</v>
      </c>
      <c r="Z29" s="47">
        <f t="shared" si="19"/>
        <v>1108.7305239074883</v>
      </c>
    </row>
    <row r="30" spans="2:26" x14ac:dyDescent="0.2">
      <c r="B30" s="107" t="s">
        <v>3</v>
      </c>
      <c r="C30" s="81" t="s">
        <v>70</v>
      </c>
      <c r="D30" s="97">
        <v>1</v>
      </c>
      <c r="E30" s="4">
        <f t="shared" si="13"/>
        <v>400.00000000000006</v>
      </c>
      <c r="F30" s="4">
        <f t="shared" si="14"/>
        <v>367.08095989675945</v>
      </c>
      <c r="G30" s="47">
        <f t="shared" si="15"/>
        <v>13.686286135165219</v>
      </c>
      <c r="I30" s="107" t="s">
        <v>3</v>
      </c>
      <c r="J30" s="81" t="s">
        <v>7</v>
      </c>
      <c r="K30" s="97">
        <v>1</v>
      </c>
      <c r="L30" s="191">
        <f t="shared" si="16"/>
        <v>1.4983070768766813</v>
      </c>
      <c r="M30" s="81" t="s">
        <v>3</v>
      </c>
      <c r="N30" s="81" t="s">
        <v>70</v>
      </c>
      <c r="O30" s="191">
        <f t="shared" si="17"/>
        <v>1.2599210498948732</v>
      </c>
      <c r="Q30" s="99">
        <v>3</v>
      </c>
      <c r="R30" s="18">
        <f t="shared" si="20"/>
        <v>784.87669590179587</v>
      </c>
      <c r="S30" s="97">
        <v>1</v>
      </c>
      <c r="T30" s="4">
        <f t="shared" si="21"/>
        <v>392.43834795089793</v>
      </c>
      <c r="U30" s="18" t="str" cm="1">
        <f t="array" ref="U30">_xlfn.XLOOKUP(0,ABS($C$44:$C$56-T30),$B$44:$B$56,,1)</f>
        <v>G</v>
      </c>
      <c r="V30" s="47">
        <f t="shared" si="22"/>
        <v>1.9550008653876136</v>
      </c>
      <c r="X30" s="85" t="s">
        <v>3</v>
      </c>
      <c r="Y30" s="4">
        <f t="shared" si="18"/>
        <v>73.416191979351893</v>
      </c>
      <c r="Z30" s="47">
        <f t="shared" si="19"/>
        <v>1174.6590716696303</v>
      </c>
    </row>
    <row r="31" spans="2:26" x14ac:dyDescent="0.2">
      <c r="B31" s="107" t="s">
        <v>76</v>
      </c>
      <c r="C31" s="81" t="s">
        <v>6</v>
      </c>
      <c r="D31" s="97">
        <v>1</v>
      </c>
      <c r="E31" s="4">
        <f t="shared" si="13"/>
        <v>400.00000000000006</v>
      </c>
      <c r="F31" s="4">
        <f t="shared" si="14"/>
        <v>388.9087296526011</v>
      </c>
      <c r="G31" s="47">
        <f t="shared" si="15"/>
        <v>13.686286135165219</v>
      </c>
      <c r="I31" s="107" t="s">
        <v>76</v>
      </c>
      <c r="J31" s="81" t="s">
        <v>73</v>
      </c>
      <c r="K31" s="97">
        <v>1</v>
      </c>
      <c r="L31" s="191">
        <f t="shared" si="16"/>
        <v>1.4983070768766815</v>
      </c>
      <c r="M31" s="81" t="s">
        <v>76</v>
      </c>
      <c r="N31" s="81" t="s">
        <v>6</v>
      </c>
      <c r="O31" s="191">
        <f t="shared" si="17"/>
        <v>1.2599210498948732</v>
      </c>
      <c r="Q31" s="99">
        <v>4</v>
      </c>
      <c r="R31" s="18">
        <f t="shared" si="20"/>
        <v>1046.5022612023945</v>
      </c>
      <c r="S31" s="97">
        <v>1</v>
      </c>
      <c r="T31" s="4">
        <f t="shared" si="21"/>
        <v>523.25113060119725</v>
      </c>
      <c r="U31" s="18" t="str" cm="1">
        <f t="array" ref="U31">_xlfn.XLOOKUP(0,ABS($C$44:$C$56-T31),$B$44:$B$56,,1)</f>
        <v>c oct.</v>
      </c>
      <c r="V31" s="47">
        <f t="shared" si="22"/>
        <v>0</v>
      </c>
      <c r="X31" s="85" t="s">
        <v>76</v>
      </c>
      <c r="Y31" s="4">
        <f t="shared" si="18"/>
        <v>77.781745930520216</v>
      </c>
      <c r="Z31" s="47">
        <f t="shared" si="19"/>
        <v>1244.5079348883235</v>
      </c>
    </row>
    <row r="32" spans="2:26" x14ac:dyDescent="0.2">
      <c r="B32" s="107" t="s">
        <v>4</v>
      </c>
      <c r="C32" s="81" t="s">
        <v>72</v>
      </c>
      <c r="D32" s="97">
        <v>1</v>
      </c>
      <c r="E32" s="4">
        <f t="shared" si="13"/>
        <v>399.99999999999972</v>
      </c>
      <c r="F32" s="4">
        <f t="shared" si="14"/>
        <v>412.03444614108741</v>
      </c>
      <c r="G32" s="47">
        <f t="shared" si="15"/>
        <v>13.686286135164837</v>
      </c>
      <c r="I32" s="107" t="s">
        <v>4</v>
      </c>
      <c r="J32" s="81" t="s">
        <v>8</v>
      </c>
      <c r="K32" s="97">
        <v>1</v>
      </c>
      <c r="L32" s="191">
        <f t="shared" si="16"/>
        <v>1.4983070768766815</v>
      </c>
      <c r="M32" s="81" t="s">
        <v>4</v>
      </c>
      <c r="N32" s="81" t="s">
        <v>72</v>
      </c>
      <c r="O32" s="191">
        <f t="shared" si="17"/>
        <v>1.259921049894873</v>
      </c>
      <c r="Q32" s="99">
        <v>5</v>
      </c>
      <c r="R32" s="18">
        <f t="shared" si="20"/>
        <v>1308.1278265029932</v>
      </c>
      <c r="S32" s="97">
        <v>2</v>
      </c>
      <c r="T32" s="4">
        <f t="shared" si="21"/>
        <v>327.03195662574831</v>
      </c>
      <c r="U32" s="18" t="str" cm="1">
        <f t="array" ref="U32">_xlfn.XLOOKUP(0,ABS($C$44:$C$56-T32),$B$44:$B$56,,1)</f>
        <v>E</v>
      </c>
      <c r="V32" s="47">
        <f t="shared" si="22"/>
        <v>-13.686286135165114</v>
      </c>
      <c r="X32" s="85" t="s">
        <v>4</v>
      </c>
      <c r="Y32" s="4">
        <f t="shared" si="18"/>
        <v>82.40688922821748</v>
      </c>
      <c r="Z32" s="47">
        <f t="shared" si="19"/>
        <v>1318.5102276514797</v>
      </c>
    </row>
    <row r="33" spans="2:26" x14ac:dyDescent="0.2">
      <c r="B33" s="107" t="s">
        <v>5</v>
      </c>
      <c r="C33" s="81" t="s">
        <v>7</v>
      </c>
      <c r="D33" s="97">
        <v>1</v>
      </c>
      <c r="E33" s="4">
        <f t="shared" si="13"/>
        <v>399.99999999999972</v>
      </c>
      <c r="F33" s="4">
        <f t="shared" si="14"/>
        <v>436.53528929125486</v>
      </c>
      <c r="G33" s="47">
        <f t="shared" si="15"/>
        <v>13.686286135164837</v>
      </c>
      <c r="I33" s="107" t="s">
        <v>5</v>
      </c>
      <c r="J33" s="81" t="s">
        <v>78</v>
      </c>
      <c r="K33" s="97">
        <v>1</v>
      </c>
      <c r="L33" s="191">
        <f t="shared" si="16"/>
        <v>1.4983070768766815</v>
      </c>
      <c r="M33" s="81" t="s">
        <v>5</v>
      </c>
      <c r="N33" s="81" t="s">
        <v>7</v>
      </c>
      <c r="O33" s="191">
        <f t="shared" si="17"/>
        <v>1.259921049894873</v>
      </c>
      <c r="Q33" s="99">
        <v>6</v>
      </c>
      <c r="R33" s="18">
        <f t="shared" si="20"/>
        <v>1569.7533918035917</v>
      </c>
      <c r="S33" s="97">
        <v>2</v>
      </c>
      <c r="T33" s="4">
        <f t="shared" si="21"/>
        <v>392.43834795089793</v>
      </c>
      <c r="U33" s="18" t="str" cm="1">
        <f t="array" ref="U33">_xlfn.XLOOKUP(0,ABS($C$44:$C$56-T33),$B$44:$B$56,,1)</f>
        <v>G</v>
      </c>
      <c r="V33" s="47">
        <f t="shared" si="22"/>
        <v>1.9550008653876136</v>
      </c>
      <c r="X33" s="85" t="s">
        <v>5</v>
      </c>
      <c r="Y33" s="4">
        <f t="shared" si="18"/>
        <v>87.307057858250971</v>
      </c>
      <c r="Z33" s="47">
        <f t="shared" si="19"/>
        <v>1396.9129257320155</v>
      </c>
    </row>
    <row r="34" spans="2:26" x14ac:dyDescent="0.2">
      <c r="B34" s="107" t="s">
        <v>70</v>
      </c>
      <c r="C34" s="81" t="s">
        <v>73</v>
      </c>
      <c r="D34" s="97">
        <v>1</v>
      </c>
      <c r="E34" s="4">
        <f t="shared" si="13"/>
        <v>399.99999999999972</v>
      </c>
      <c r="F34" s="4">
        <f t="shared" si="14"/>
        <v>462.49302838954299</v>
      </c>
      <c r="G34" s="47">
        <f t="shared" si="15"/>
        <v>13.686286135165219</v>
      </c>
      <c r="I34" s="107" t="s">
        <v>70</v>
      </c>
      <c r="J34" s="81" t="s">
        <v>74</v>
      </c>
      <c r="K34" s="97">
        <v>2</v>
      </c>
      <c r="L34" s="191">
        <f t="shared" si="16"/>
        <v>1.4983070768766813</v>
      </c>
      <c r="M34" s="81" t="s">
        <v>70</v>
      </c>
      <c r="N34" s="81" t="s">
        <v>73</v>
      </c>
      <c r="O34" s="191">
        <f t="shared" si="17"/>
        <v>1.259921049894873</v>
      </c>
      <c r="Q34" s="99">
        <v>7</v>
      </c>
      <c r="R34" s="18">
        <f t="shared" si="20"/>
        <v>1831.3789571041902</v>
      </c>
      <c r="S34" s="97">
        <v>2</v>
      </c>
      <c r="T34" s="4">
        <f t="shared" si="21"/>
        <v>457.84473927604756</v>
      </c>
      <c r="U34" s="18" t="str" cm="1">
        <f t="array" ref="U34">_xlfn.XLOOKUP(0,ABS($C$44:$C$56-T34),$B$44:$B$56,,1)</f>
        <v>A#</v>
      </c>
      <c r="V34" s="47">
        <f t="shared" si="22"/>
        <v>-31.174093530875016</v>
      </c>
      <c r="X34" s="85" t="s">
        <v>70</v>
      </c>
      <c r="Y34" s="4">
        <f t="shared" si="18"/>
        <v>92.4986056779086</v>
      </c>
      <c r="Z34" s="47">
        <f t="shared" si="19"/>
        <v>1479.9776908465376</v>
      </c>
    </row>
    <row r="35" spans="2:26" x14ac:dyDescent="0.2">
      <c r="B35" s="107" t="s">
        <v>6</v>
      </c>
      <c r="C35" s="81" t="s">
        <v>8</v>
      </c>
      <c r="D35" s="97">
        <v>1</v>
      </c>
      <c r="E35" s="4">
        <f t="shared" si="13"/>
        <v>400.00000000000006</v>
      </c>
      <c r="F35" s="4">
        <f t="shared" si="14"/>
        <v>489.9942949771866</v>
      </c>
      <c r="G35" s="47">
        <f t="shared" si="15"/>
        <v>13.686286135165219</v>
      </c>
      <c r="I35" s="107" t="s">
        <v>6</v>
      </c>
      <c r="J35" s="81" t="s">
        <v>3</v>
      </c>
      <c r="K35" s="97">
        <v>2</v>
      </c>
      <c r="L35" s="191">
        <f t="shared" si="16"/>
        <v>1.4983070768766817</v>
      </c>
      <c r="M35" s="81" t="s">
        <v>6</v>
      </c>
      <c r="N35" s="81" t="s">
        <v>8</v>
      </c>
      <c r="O35" s="191">
        <f t="shared" si="17"/>
        <v>1.2599210498948732</v>
      </c>
      <c r="Q35" s="99">
        <v>8</v>
      </c>
      <c r="R35" s="18">
        <f t="shared" si="20"/>
        <v>2093.004522404789</v>
      </c>
      <c r="S35" s="97">
        <v>3</v>
      </c>
      <c r="T35" s="4">
        <f t="shared" si="21"/>
        <v>261.62556530059862</v>
      </c>
      <c r="U35" s="18" t="str" cm="1">
        <f t="array" ref="U35">_xlfn.XLOOKUP(0,ABS($C$44:$C$56-T35),$B$44:$B$56,,1)</f>
        <v>C</v>
      </c>
      <c r="V35" s="47">
        <f t="shared" si="22"/>
        <v>0</v>
      </c>
      <c r="X35" s="85" t="s">
        <v>6</v>
      </c>
      <c r="Y35" s="4">
        <f t="shared" si="18"/>
        <v>97.998858995437317</v>
      </c>
      <c r="Z35" s="47">
        <f t="shared" si="19"/>
        <v>1567.9817439269971</v>
      </c>
    </row>
    <row r="36" spans="2:26" x14ac:dyDescent="0.2">
      <c r="B36" s="107" t="s">
        <v>72</v>
      </c>
      <c r="C36" s="81" t="s">
        <v>78</v>
      </c>
      <c r="D36" s="97">
        <v>1</v>
      </c>
      <c r="E36" s="4">
        <f t="shared" si="13"/>
        <v>400.0000000000004</v>
      </c>
      <c r="F36" s="4">
        <f t="shared" si="14"/>
        <v>519.13087197493132</v>
      </c>
      <c r="G36" s="47">
        <f t="shared" si="15"/>
        <v>13.6862861351656</v>
      </c>
      <c r="I36" s="107" t="s">
        <v>72</v>
      </c>
      <c r="J36" s="81" t="s">
        <v>76</v>
      </c>
      <c r="K36" s="97">
        <v>2</v>
      </c>
      <c r="L36" s="191">
        <f t="shared" si="16"/>
        <v>1.4983070768766815</v>
      </c>
      <c r="M36" s="81" t="s">
        <v>72</v>
      </c>
      <c r="N36" s="81" t="s">
        <v>78</v>
      </c>
      <c r="O36" s="191">
        <f t="shared" si="17"/>
        <v>1.2599210498948734</v>
      </c>
      <c r="Q36" s="99">
        <v>9</v>
      </c>
      <c r="R36" s="18">
        <f t="shared" si="20"/>
        <v>2354.6300877053877</v>
      </c>
      <c r="S36" s="97">
        <v>3</v>
      </c>
      <c r="T36" s="4">
        <f t="shared" si="21"/>
        <v>294.32876096317347</v>
      </c>
      <c r="U36" s="18" t="str" cm="1">
        <f t="array" ref="U36">_xlfn.XLOOKUP(0,ABS($C$44:$C$56-T36),$B$44:$B$56,,1)</f>
        <v>D</v>
      </c>
      <c r="V36" s="47">
        <f t="shared" si="22"/>
        <v>3.9100017307747521</v>
      </c>
      <c r="X36" s="85" t="s">
        <v>72</v>
      </c>
      <c r="Y36" s="4">
        <f t="shared" si="18"/>
        <v>103.82617439498627</v>
      </c>
      <c r="Z36" s="47">
        <f t="shared" si="19"/>
        <v>1661.2187903197803</v>
      </c>
    </row>
    <row r="37" spans="2:26" x14ac:dyDescent="0.2">
      <c r="B37" s="107" t="s">
        <v>7</v>
      </c>
      <c r="C37" s="81" t="s">
        <v>74</v>
      </c>
      <c r="D37" s="97">
        <v>2</v>
      </c>
      <c r="E37" s="4">
        <f t="shared" si="13"/>
        <v>400.00000000000006</v>
      </c>
      <c r="F37" s="4">
        <f t="shared" si="14"/>
        <v>549.99999999999989</v>
      </c>
      <c r="G37" s="47">
        <f t="shared" si="15"/>
        <v>13.6862861351656</v>
      </c>
      <c r="I37" s="107" t="s">
        <v>7</v>
      </c>
      <c r="J37" s="81" t="s">
        <v>4</v>
      </c>
      <c r="K37" s="97">
        <v>2</v>
      </c>
      <c r="L37" s="191">
        <f t="shared" si="16"/>
        <v>1.4983070768766817</v>
      </c>
      <c r="M37" s="81" t="s">
        <v>7</v>
      </c>
      <c r="N37" s="81" t="s">
        <v>74</v>
      </c>
      <c r="O37" s="191">
        <f t="shared" si="17"/>
        <v>1.2599210498948732</v>
      </c>
      <c r="Q37" s="99">
        <v>10</v>
      </c>
      <c r="R37" s="18">
        <f t="shared" si="20"/>
        <v>2616.2556530059865</v>
      </c>
      <c r="S37" s="97">
        <v>3</v>
      </c>
      <c r="T37" s="4">
        <f t="shared" si="21"/>
        <v>327.03195662574831</v>
      </c>
      <c r="U37" s="18" t="str" cm="1">
        <f t="array" ref="U37">_xlfn.XLOOKUP(0,ABS($C$44:$C$56-T37),$B$44:$B$56,,1)</f>
        <v>E</v>
      </c>
      <c r="V37" s="47">
        <f t="shared" si="22"/>
        <v>-13.686286135165114</v>
      </c>
      <c r="X37" s="85" t="s">
        <v>7</v>
      </c>
      <c r="Y37" s="4">
        <f t="shared" si="18"/>
        <v>109.99999999999999</v>
      </c>
      <c r="Z37" s="47">
        <f t="shared" si="19"/>
        <v>1759.9999999999998</v>
      </c>
    </row>
    <row r="38" spans="2:26" x14ac:dyDescent="0.2">
      <c r="B38" s="107" t="s">
        <v>73</v>
      </c>
      <c r="C38" s="81" t="s">
        <v>3</v>
      </c>
      <c r="D38" s="97">
        <v>2</v>
      </c>
      <c r="E38" s="4">
        <f t="shared" si="13"/>
        <v>400.0000000000004</v>
      </c>
      <c r="F38" s="4">
        <f t="shared" si="14"/>
        <v>582.70470189761238</v>
      </c>
      <c r="G38" s="47">
        <f t="shared" si="15"/>
        <v>13.686286135165219</v>
      </c>
      <c r="I38" s="107" t="s">
        <v>73</v>
      </c>
      <c r="J38" s="81" t="s">
        <v>5</v>
      </c>
      <c r="K38" s="97">
        <v>2</v>
      </c>
      <c r="L38" s="191">
        <f t="shared" si="16"/>
        <v>1.4983070768766817</v>
      </c>
      <c r="M38" s="81" t="s">
        <v>73</v>
      </c>
      <c r="N38" s="81" t="s">
        <v>3</v>
      </c>
      <c r="O38" s="191">
        <f t="shared" si="17"/>
        <v>1.2599210498948734</v>
      </c>
      <c r="Q38" s="99">
        <v>11</v>
      </c>
      <c r="R38" s="18">
        <f t="shared" si="20"/>
        <v>2877.8812183065847</v>
      </c>
      <c r="S38" s="97">
        <v>3</v>
      </c>
      <c r="T38" s="4">
        <f t="shared" si="21"/>
        <v>359.73515228832309</v>
      </c>
      <c r="U38" s="18" t="str" cm="1">
        <f t="array" ref="U38">_xlfn.XLOOKUP(0,ABS($C$44:$C$56-T38),$B$44:$B$56,,1)</f>
        <v>F#</v>
      </c>
      <c r="V38" s="47">
        <f t="shared" si="22"/>
        <v>-48.682057635243353</v>
      </c>
      <c r="X38" s="85" t="s">
        <v>73</v>
      </c>
      <c r="Y38" s="4">
        <f t="shared" si="18"/>
        <v>116.54094037952247</v>
      </c>
      <c r="Z38" s="47">
        <f t="shared" si="19"/>
        <v>1864.6550460723595</v>
      </c>
    </row>
    <row r="39" spans="2:26" x14ac:dyDescent="0.2">
      <c r="B39" s="108" t="s">
        <v>8</v>
      </c>
      <c r="C39" s="151" t="s">
        <v>76</v>
      </c>
      <c r="D39" s="98">
        <v>2</v>
      </c>
      <c r="E39" s="53">
        <f t="shared" si="13"/>
        <v>400.00000000000006</v>
      </c>
      <c r="F39" s="53">
        <f t="shared" si="14"/>
        <v>617.35412657015513</v>
      </c>
      <c r="G39" s="48">
        <f t="shared" si="15"/>
        <v>13.686286135164837</v>
      </c>
      <c r="I39" s="108" t="s">
        <v>8</v>
      </c>
      <c r="J39" s="151" t="s">
        <v>70</v>
      </c>
      <c r="K39" s="98">
        <v>2</v>
      </c>
      <c r="L39" s="192">
        <f t="shared" si="16"/>
        <v>1.4983070768766815</v>
      </c>
      <c r="M39" s="151" t="s">
        <v>8</v>
      </c>
      <c r="N39" s="151" t="s">
        <v>76</v>
      </c>
      <c r="O39" s="192">
        <f t="shared" si="17"/>
        <v>1.2599210498948732</v>
      </c>
      <c r="Q39" s="99">
        <v>12</v>
      </c>
      <c r="R39" s="18">
        <f t="shared" si="20"/>
        <v>3139.5067836071835</v>
      </c>
      <c r="S39" s="97">
        <v>3</v>
      </c>
      <c r="T39" s="4">
        <f t="shared" si="21"/>
        <v>392.43834795089793</v>
      </c>
      <c r="U39" s="18" t="str" cm="1">
        <f t="array" ref="U39">_xlfn.XLOOKUP(0,ABS($C$44:$C$56-T39),$B$44:$B$56,,1)</f>
        <v>G</v>
      </c>
      <c r="V39" s="47">
        <f t="shared" si="22"/>
        <v>1.9550008653876136</v>
      </c>
      <c r="X39" s="85" t="s">
        <v>8</v>
      </c>
      <c r="Y39" s="4">
        <f t="shared" si="18"/>
        <v>123.47082531403102</v>
      </c>
      <c r="Z39" s="47">
        <f t="shared" si="19"/>
        <v>1975.5332050244963</v>
      </c>
    </row>
    <row r="40" spans="2:26" x14ac:dyDescent="0.2">
      <c r="Q40" s="100">
        <v>13</v>
      </c>
      <c r="R40" s="50">
        <f t="shared" si="20"/>
        <v>3401.1323489077822</v>
      </c>
      <c r="S40" s="98">
        <v>3</v>
      </c>
      <c r="T40" s="53">
        <f t="shared" si="21"/>
        <v>425.14154361347278</v>
      </c>
      <c r="U40" s="50" t="str" cm="1">
        <f t="array" ref="U40">_xlfn.XLOOKUP(0,ABS($C$44:$C$56-T40),$B$44:$B$56,,1)</f>
        <v>G#</v>
      </c>
      <c r="V40" s="48">
        <f t="shared" si="22"/>
        <v>40.527661769311031</v>
      </c>
      <c r="X40" s="87" t="s">
        <v>78</v>
      </c>
      <c r="Y40" s="53">
        <f t="shared" si="18"/>
        <v>130.81278265029931</v>
      </c>
      <c r="Z40" s="48">
        <f t="shared" si="19"/>
        <v>2093.004522404789</v>
      </c>
    </row>
    <row r="41" spans="2:26" ht="16" thickBot="1" x14ac:dyDescent="0.25"/>
    <row r="42" spans="2:26" ht="17" customHeight="1" thickTop="1" x14ac:dyDescent="0.2">
      <c r="B42" s="308" t="s">
        <v>138</v>
      </c>
      <c r="C42" s="309"/>
    </row>
    <row r="43" spans="2:26" ht="32" x14ac:dyDescent="0.2">
      <c r="B43" s="90" t="s">
        <v>14</v>
      </c>
      <c r="C43" s="91" t="s">
        <v>15</v>
      </c>
    </row>
    <row r="44" spans="2:26" x14ac:dyDescent="0.2">
      <c r="B44" s="92" t="s">
        <v>2</v>
      </c>
      <c r="C44" s="93">
        <f>VLOOKUP(B44,$B$10:$H$22,3,FALSE)</f>
        <v>261.62556530059862</v>
      </c>
    </row>
    <row r="45" spans="2:26" x14ac:dyDescent="0.2">
      <c r="B45" s="92" t="s">
        <v>74</v>
      </c>
      <c r="C45" s="93">
        <f t="shared" ref="C45:C56" si="23">VLOOKUP(B45,$B$10:$H$22,3,FALSE)</f>
        <v>277.18263097687208</v>
      </c>
    </row>
    <row r="46" spans="2:26" x14ac:dyDescent="0.2">
      <c r="B46" s="92" t="s">
        <v>3</v>
      </c>
      <c r="C46" s="93">
        <f t="shared" si="23"/>
        <v>293.66476791740757</v>
      </c>
    </row>
    <row r="47" spans="2:26" x14ac:dyDescent="0.2">
      <c r="B47" s="92" t="s">
        <v>76</v>
      </c>
      <c r="C47" s="93">
        <f t="shared" si="23"/>
        <v>311.12698372208087</v>
      </c>
    </row>
    <row r="48" spans="2:26" x14ac:dyDescent="0.2">
      <c r="B48" s="92" t="s">
        <v>4</v>
      </c>
      <c r="C48" s="93">
        <f t="shared" si="23"/>
        <v>329.62755691286992</v>
      </c>
    </row>
    <row r="49" spans="2:3" x14ac:dyDescent="0.2">
      <c r="B49" s="92" t="s">
        <v>5</v>
      </c>
      <c r="C49" s="93">
        <f t="shared" si="23"/>
        <v>349.22823143300388</v>
      </c>
    </row>
    <row r="50" spans="2:3" x14ac:dyDescent="0.2">
      <c r="B50" s="92" t="s">
        <v>70</v>
      </c>
      <c r="C50" s="93">
        <f t="shared" si="23"/>
        <v>369.9944227116344</v>
      </c>
    </row>
    <row r="51" spans="2:3" x14ac:dyDescent="0.2">
      <c r="B51" s="92" t="s">
        <v>6</v>
      </c>
      <c r="C51" s="93">
        <f t="shared" si="23"/>
        <v>391.99543598174927</v>
      </c>
    </row>
    <row r="52" spans="2:3" x14ac:dyDescent="0.2">
      <c r="B52" s="92" t="s">
        <v>72</v>
      </c>
      <c r="C52" s="93">
        <f t="shared" si="23"/>
        <v>415.30469757994507</v>
      </c>
    </row>
    <row r="53" spans="2:3" x14ac:dyDescent="0.2">
      <c r="B53" s="92" t="s">
        <v>7</v>
      </c>
      <c r="C53" s="93">
        <f t="shared" si="23"/>
        <v>439.99999999999994</v>
      </c>
    </row>
    <row r="54" spans="2:3" x14ac:dyDescent="0.2">
      <c r="B54" s="92" t="s">
        <v>73</v>
      </c>
      <c r="C54" s="93">
        <f t="shared" si="23"/>
        <v>466.16376151808987</v>
      </c>
    </row>
    <row r="55" spans="2:3" x14ac:dyDescent="0.2">
      <c r="B55" s="92" t="s">
        <v>8</v>
      </c>
      <c r="C55" s="93">
        <f t="shared" si="23"/>
        <v>493.88330125612407</v>
      </c>
    </row>
    <row r="56" spans="2:3" ht="16" thickBot="1" x14ac:dyDescent="0.25">
      <c r="B56" s="94" t="s">
        <v>78</v>
      </c>
      <c r="C56" s="95">
        <f t="shared" si="23"/>
        <v>523.25113060119725</v>
      </c>
    </row>
    <row r="57" spans="2:3" ht="16" thickTop="1" x14ac:dyDescent="0.2"/>
  </sheetData>
  <sheetProtection sheet="1" scenarios="1" formatCells="0"/>
  <mergeCells count="9">
    <mergeCell ref="B1:G1"/>
    <mergeCell ref="X25:Z25"/>
    <mergeCell ref="B42:C42"/>
    <mergeCell ref="B8:F8"/>
    <mergeCell ref="H8:M8"/>
    <mergeCell ref="P8:U8"/>
    <mergeCell ref="I26:O26"/>
    <mergeCell ref="Q26:V26"/>
    <mergeCell ref="B26:D26"/>
  </mergeCells>
  <conditionalFormatting sqref="A1">
    <cfRule type="expression" dxfId="83" priority="1">
      <formula>CELL("protect",A1)=0</formula>
    </cfRule>
  </conditionalFormatting>
  <conditionalFormatting sqref="A1:XFD1048576">
    <cfRule type="expression" dxfId="82" priority="2">
      <formula>_xlfn.ISFORMULA(A1)</formula>
    </cfRule>
  </conditionalFormatting>
  <hyperlinks>
    <hyperlink ref="B5" location="Overview!A1" display="Back to Overview" xr:uid="{33EBE901-01A9-2943-911F-C61FC403B347}"/>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showInputMessage="1" showErrorMessage="1" xr:uid="{B66682F9-F014-7A42-9CED-4596ECCAEA10}">
          <x14:formula1>
            <xm:f>'Commas &amp; Cents'!$AD$1:$AD$3</xm:f>
          </x14:formula1>
          <xm:sqref>D2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7FAD0-F069-D049-BCEE-6F4CB4487DEF}">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556</v>
      </c>
      <c r="C1" s="289"/>
      <c r="D1" s="289"/>
      <c r="E1" s="289"/>
      <c r="F1" s="289"/>
      <c r="G1" s="289"/>
      <c r="P1" s="4" t="s">
        <v>478</v>
      </c>
    </row>
    <row r="2" spans="2:23" s="70" customFormat="1" ht="48" x14ac:dyDescent="0.2">
      <c r="D2" s="154" t="s">
        <v>84</v>
      </c>
      <c r="E2" s="72" t="str">
        <f>D2</f>
        <v>Pythagorean Comma</v>
      </c>
      <c r="F2" s="72" t="str">
        <f>_xlfn.CONCAT("1/",D3," ",D2)</f>
        <v>1/5 Pythagorean Comma</v>
      </c>
      <c r="G2" s="102"/>
      <c r="H2" s="103" t="s">
        <v>143</v>
      </c>
      <c r="I2" s="161">
        <v>440</v>
      </c>
      <c r="J2" s="103" t="str">
        <f>_xlfn.CONCAT("C for A=", I2,":")</f>
        <v>C for A=440:</v>
      </c>
      <c r="K2" s="70">
        <f>I2*2*8/27*POWER($F$3,$D$12-$D$9)</f>
        <v>262.86936642617428</v>
      </c>
      <c r="L2" s="103"/>
      <c r="U2" s="103"/>
      <c r="V2" s="103"/>
      <c r="W2" s="103"/>
    </row>
    <row r="3" spans="2:23" ht="16" x14ac:dyDescent="0.2">
      <c r="B3" s="246"/>
      <c r="C3" s="74" t="s">
        <v>125</v>
      </c>
      <c r="D3" s="155">
        <v>5</v>
      </c>
      <c r="E3" s="1">
        <f>IF(D2="Pythagorean Comma",524288/531441,IF(D2="Syntonic Comma",80/81,IF(D2="Cents",1/POWER(2,1/1200),"Not in List")))</f>
        <v>0.98654036854514426</v>
      </c>
      <c r="F3" s="132">
        <f>POWER(E3,1/D3)</f>
        <v>0.997293462618844</v>
      </c>
      <c r="U3" s="74"/>
      <c r="V3" s="74"/>
      <c r="W3" s="74"/>
    </row>
    <row r="4" spans="2:23" ht="16" x14ac:dyDescent="0.2">
      <c r="B4" s="246"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245">
        <f>K2</f>
        <v>262.86936642617428</v>
      </c>
      <c r="G9" s="97">
        <v>0</v>
      </c>
      <c r="H9" s="188">
        <f t="shared" ref="H9:H21" si="0">E9/POWER(2,G9)</f>
        <v>262.86936642617428</v>
      </c>
      <c r="J9" s="85" t="s">
        <v>2</v>
      </c>
      <c r="K9" s="4">
        <f t="shared" ref="K9:K21" si="1">VLOOKUP(J9,Master_Frequencies,2,FALSE)</f>
        <v>262.86936642617428</v>
      </c>
      <c r="L9" s="4">
        <f t="shared" ref="L9:L21" si="2">LOG(K9/K$9,2)*1200</f>
        <v>0</v>
      </c>
      <c r="N9" s="158">
        <v>3600</v>
      </c>
      <c r="P9" s="123" t="str">
        <f>J9</f>
        <v>C</v>
      </c>
      <c r="Q9" s="4">
        <f>E9</f>
        <v>262.86936642617428</v>
      </c>
      <c r="R9" s="4">
        <f>LOG(K9/Q9,2)*1200</f>
        <v>0</v>
      </c>
      <c r="S9" s="145" t="str">
        <f t="shared" ref="S9:S21" si="3">B9</f>
        <v>C</v>
      </c>
      <c r="T9" s="4">
        <f t="shared" ref="T9:T21" si="4">VLOOKUP(S9,Master_Frequencies,2,FALSE)</f>
        <v>262.86936642617428</v>
      </c>
      <c r="U9" s="47">
        <f t="shared" ref="U9:U21" si="5">VLOOKUP(S9,$P$9:$R$21,3,FALSE)</f>
        <v>0</v>
      </c>
    </row>
    <row r="10" spans="2:23" x14ac:dyDescent="0.2">
      <c r="B10" s="107" t="s">
        <v>6</v>
      </c>
      <c r="C10" s="185">
        <v>-1</v>
      </c>
      <c r="D10" s="4">
        <f>D9+C10</f>
        <v>-1</v>
      </c>
      <c r="E10" s="4">
        <f t="shared" ref="E10:E21" si="6">IF(C10&lt;0,(E9*3/2)*POWER($F$3,ABS(C10)),(E9*3/2)*POWER(1/$F$3,ABS(C10)))</f>
        <v>393.23685098937153</v>
      </c>
      <c r="F10" s="4">
        <f t="shared" ref="F10:F21" si="7">LOG(E10/E9,2)*1200</f>
        <v>697.26299878845759</v>
      </c>
      <c r="G10" s="97">
        <v>0</v>
      </c>
      <c r="H10" s="188">
        <f t="shared" si="0"/>
        <v>393.23685098937153</v>
      </c>
      <c r="J10" s="85" t="s">
        <v>74</v>
      </c>
      <c r="K10" s="4">
        <f t="shared" si="1"/>
        <v>277.68389849793436</v>
      </c>
      <c r="L10" s="4">
        <f t="shared" si="2"/>
        <v>94.916997749992618</v>
      </c>
      <c r="M10" s="4">
        <f t="shared" ref="M10:M21" si="8">LOG(K10/K9,2)*1200</f>
        <v>94.916997749992618</v>
      </c>
      <c r="N10" s="47">
        <f t="shared" ref="N10:N21" si="9">N$9*K$9/K10</f>
        <v>3407.9387542928312</v>
      </c>
      <c r="P10" s="123" t="str">
        <f t="shared" ref="P10:P21" si="10">J10</f>
        <v>C#</v>
      </c>
      <c r="Q10" s="4">
        <f t="shared" ref="Q10:Q21" si="11">Q9*POWER($Q$9*2/$Q$9,1/12)</f>
        <v>278.50039236614208</v>
      </c>
      <c r="R10" s="4">
        <f t="shared" ref="R10:R21" si="12">LOG(K10/Q10,2)*1200</f>
        <v>-5.0830022500075858</v>
      </c>
      <c r="S10" s="145" t="str">
        <f t="shared" si="3"/>
        <v>G</v>
      </c>
      <c r="T10" s="4">
        <f t="shared" si="4"/>
        <v>393.23685098937153</v>
      </c>
      <c r="U10" s="47">
        <f t="shared" si="5"/>
        <v>-2.7370012115429714</v>
      </c>
    </row>
    <row r="11" spans="2:23" x14ac:dyDescent="0.2">
      <c r="B11" s="107" t="s">
        <v>3</v>
      </c>
      <c r="C11" s="185">
        <v>-1</v>
      </c>
      <c r="D11" s="4">
        <f t="shared" ref="D11:D21" si="13">D10+C11</f>
        <v>-2</v>
      </c>
      <c r="E11" s="4">
        <f t="shared" si="6"/>
        <v>588.25881112878108</v>
      </c>
      <c r="F11" s="4">
        <f t="shared" si="7"/>
        <v>697.26299878845759</v>
      </c>
      <c r="G11" s="97">
        <v>1</v>
      </c>
      <c r="H11" s="188">
        <f t="shared" si="0"/>
        <v>294.12940556439054</v>
      </c>
      <c r="J11" s="85" t="s">
        <v>3</v>
      </c>
      <c r="K11" s="4">
        <f t="shared" si="1"/>
        <v>294.12940556439054</v>
      </c>
      <c r="L11" s="4">
        <f t="shared" si="2"/>
        <v>194.52599757691516</v>
      </c>
      <c r="M11" s="4">
        <f t="shared" si="8"/>
        <v>99.6089998269224</v>
      </c>
      <c r="N11" s="47">
        <f t="shared" si="9"/>
        <v>3217.3924171857675</v>
      </c>
      <c r="P11" s="123" t="str">
        <f t="shared" si="10"/>
        <v>D</v>
      </c>
      <c r="Q11" s="4">
        <f t="shared" si="11"/>
        <v>295.06088747651074</v>
      </c>
      <c r="R11" s="4">
        <f t="shared" si="12"/>
        <v>-5.4740024230851878</v>
      </c>
      <c r="S11" s="145" t="str">
        <f t="shared" si="3"/>
        <v>D</v>
      </c>
      <c r="T11" s="4">
        <f t="shared" si="4"/>
        <v>294.12940556439054</v>
      </c>
      <c r="U11" s="47">
        <f t="shared" si="5"/>
        <v>-5.4740024230851878</v>
      </c>
    </row>
    <row r="12" spans="2:23" x14ac:dyDescent="0.2">
      <c r="B12" s="107" t="s">
        <v>7</v>
      </c>
      <c r="C12" s="185">
        <v>-1</v>
      </c>
      <c r="D12" s="4">
        <f t="shared" si="13"/>
        <v>-3</v>
      </c>
      <c r="E12" s="4">
        <f t="shared" si="6"/>
        <v>880</v>
      </c>
      <c r="F12" s="4">
        <f t="shared" si="7"/>
        <v>697.26299878845794</v>
      </c>
      <c r="G12" s="97">
        <v>1</v>
      </c>
      <c r="H12" s="188">
        <f t="shared" si="0"/>
        <v>440</v>
      </c>
      <c r="J12" s="85" t="s">
        <v>76</v>
      </c>
      <c r="K12" s="4">
        <f t="shared" si="1"/>
        <v>311.54887872731769</v>
      </c>
      <c r="L12" s="4">
        <f t="shared" si="2"/>
        <v>294.13499740383799</v>
      </c>
      <c r="M12" s="4">
        <f t="shared" si="8"/>
        <v>99.608999826922741</v>
      </c>
      <c r="N12" s="47">
        <f t="shared" si="9"/>
        <v>3037.4999999999995</v>
      </c>
      <c r="P12" s="123" t="str">
        <f t="shared" si="10"/>
        <v>D#</v>
      </c>
      <c r="Q12" s="4">
        <f t="shared" si="11"/>
        <v>312.60612087026391</v>
      </c>
      <c r="R12" s="4">
        <f t="shared" si="12"/>
        <v>-5.8650025961624666</v>
      </c>
      <c r="S12" s="145" t="str">
        <f t="shared" si="3"/>
        <v>A</v>
      </c>
      <c r="T12" s="4">
        <f t="shared" si="4"/>
        <v>440</v>
      </c>
      <c r="U12" s="47">
        <f t="shared" si="5"/>
        <v>-8.2110036346280708</v>
      </c>
    </row>
    <row r="13" spans="2:23" x14ac:dyDescent="0.2">
      <c r="B13" s="107" t="s">
        <v>4</v>
      </c>
      <c r="C13" s="185">
        <v>0</v>
      </c>
      <c r="D13" s="4">
        <f t="shared" si="13"/>
        <v>-3</v>
      </c>
      <c r="E13" s="4">
        <f t="shared" si="6"/>
        <v>1320</v>
      </c>
      <c r="F13" s="4">
        <f t="shared" si="7"/>
        <v>701.95500086538743</v>
      </c>
      <c r="G13" s="97">
        <v>2</v>
      </c>
      <c r="H13" s="188">
        <f t="shared" si="0"/>
        <v>330</v>
      </c>
      <c r="J13" s="85" t="s">
        <v>4</v>
      </c>
      <c r="K13" s="4">
        <f t="shared" si="1"/>
        <v>330</v>
      </c>
      <c r="L13" s="4">
        <f t="shared" si="2"/>
        <v>393.7439972307601</v>
      </c>
      <c r="M13" s="4">
        <f t="shared" si="8"/>
        <v>99.6089998269224</v>
      </c>
      <c r="N13" s="47">
        <f t="shared" si="9"/>
        <v>2867.665815558265</v>
      </c>
      <c r="P13" s="123" t="str">
        <f t="shared" si="10"/>
        <v>E</v>
      </c>
      <c r="Q13" s="4">
        <f t="shared" si="11"/>
        <v>331.19464813286567</v>
      </c>
      <c r="R13" s="4">
        <f t="shared" si="12"/>
        <v>-6.2560027692399389</v>
      </c>
      <c r="S13" s="145" t="str">
        <f t="shared" si="3"/>
        <v>E</v>
      </c>
      <c r="T13" s="4">
        <f t="shared" si="4"/>
        <v>330</v>
      </c>
      <c r="U13" s="47">
        <f t="shared" si="5"/>
        <v>-6.2560027692399389</v>
      </c>
    </row>
    <row r="14" spans="2:23" x14ac:dyDescent="0.2">
      <c r="B14" s="107" t="s">
        <v>8</v>
      </c>
      <c r="C14" s="185">
        <v>-1</v>
      </c>
      <c r="D14" s="4">
        <f t="shared" si="13"/>
        <v>-4</v>
      </c>
      <c r="E14" s="4">
        <f t="shared" si="6"/>
        <v>1974.6410559853111</v>
      </c>
      <c r="F14" s="4">
        <f t="shared" si="7"/>
        <v>697.26299878845759</v>
      </c>
      <c r="G14" s="97">
        <v>2</v>
      </c>
      <c r="H14" s="188">
        <f t="shared" si="0"/>
        <v>493.66026399632779</v>
      </c>
      <c r="J14" s="85" t="s">
        <v>5</v>
      </c>
      <c r="K14" s="4">
        <f t="shared" si="1"/>
        <v>350.49248856823237</v>
      </c>
      <c r="L14" s="4">
        <f t="shared" si="2"/>
        <v>498.04499913461245</v>
      </c>
      <c r="M14" s="4">
        <f t="shared" si="8"/>
        <v>104.30100190385235</v>
      </c>
      <c r="N14" s="47">
        <f t="shared" si="9"/>
        <v>2700</v>
      </c>
      <c r="P14" s="123" t="str">
        <f t="shared" si="10"/>
        <v>F</v>
      </c>
      <c r="Q14" s="4">
        <f t="shared" si="11"/>
        <v>350.88850674608386</v>
      </c>
      <c r="R14" s="4">
        <f t="shared" si="12"/>
        <v>-1.9550008653877775</v>
      </c>
      <c r="S14" s="145" t="str">
        <f t="shared" si="3"/>
        <v>B</v>
      </c>
      <c r="T14" s="4">
        <f t="shared" si="4"/>
        <v>493.66026399632779</v>
      </c>
      <c r="U14" s="47">
        <f t="shared" si="5"/>
        <v>-8.9930039807829854</v>
      </c>
    </row>
    <row r="15" spans="2:23" x14ac:dyDescent="0.2">
      <c r="B15" s="107" t="s">
        <v>70</v>
      </c>
      <c r="C15" s="185">
        <v>0</v>
      </c>
      <c r="D15" s="4">
        <f t="shared" si="13"/>
        <v>-4</v>
      </c>
      <c r="E15" s="4">
        <f t="shared" si="6"/>
        <v>2961.9615839779667</v>
      </c>
      <c r="F15" s="4">
        <f t="shared" si="7"/>
        <v>701.95500086538743</v>
      </c>
      <c r="G15" s="97">
        <v>3</v>
      </c>
      <c r="H15" s="188">
        <f t="shared" si="0"/>
        <v>370.24519799724584</v>
      </c>
      <c r="J15" s="85" t="s">
        <v>70</v>
      </c>
      <c r="K15" s="4">
        <f t="shared" si="1"/>
        <v>370.24519799724584</v>
      </c>
      <c r="L15" s="4">
        <f t="shared" si="2"/>
        <v>592.96199688460536</v>
      </c>
      <c r="M15" s="4">
        <f t="shared" si="8"/>
        <v>94.916997749992618</v>
      </c>
      <c r="N15" s="47">
        <f t="shared" si="9"/>
        <v>2555.954065719623</v>
      </c>
      <c r="P15" s="123" t="str">
        <f t="shared" si="10"/>
        <v>F#</v>
      </c>
      <c r="Q15" s="4">
        <f t="shared" si="11"/>
        <v>371.75342313231846</v>
      </c>
      <c r="R15" s="4">
        <f t="shared" si="12"/>
        <v>-7.0380031153949947</v>
      </c>
      <c r="S15" s="145" t="str">
        <f t="shared" si="3"/>
        <v>F#</v>
      </c>
      <c r="T15" s="4">
        <f t="shared" si="4"/>
        <v>370.24519799724584</v>
      </c>
      <c r="U15" s="47">
        <f t="shared" si="5"/>
        <v>-7.0380031153949947</v>
      </c>
    </row>
    <row r="16" spans="2:23" x14ac:dyDescent="0.2">
      <c r="B16" s="107" t="s">
        <v>74</v>
      </c>
      <c r="C16" s="185">
        <v>0</v>
      </c>
      <c r="D16" s="4">
        <f t="shared" si="13"/>
        <v>-4</v>
      </c>
      <c r="E16" s="4">
        <f t="shared" si="6"/>
        <v>4442.9423759669498</v>
      </c>
      <c r="F16" s="4">
        <f t="shared" si="7"/>
        <v>701.95500086538743</v>
      </c>
      <c r="G16" s="97">
        <v>4</v>
      </c>
      <c r="H16" s="188">
        <f t="shared" si="0"/>
        <v>277.68389849793436</v>
      </c>
      <c r="J16" s="85" t="s">
        <v>6</v>
      </c>
      <c r="K16" s="4">
        <f t="shared" si="1"/>
        <v>393.23685098937153</v>
      </c>
      <c r="L16" s="4">
        <f t="shared" si="2"/>
        <v>697.26299878845759</v>
      </c>
      <c r="M16" s="4">
        <f t="shared" si="8"/>
        <v>104.30100190385235</v>
      </c>
      <c r="N16" s="47">
        <f t="shared" si="9"/>
        <v>2406.5133182541044</v>
      </c>
      <c r="P16" s="123" t="str">
        <f t="shared" si="10"/>
        <v>G</v>
      </c>
      <c r="Q16" s="4">
        <f t="shared" si="11"/>
        <v>393.85903201042657</v>
      </c>
      <c r="R16" s="4">
        <f t="shared" si="12"/>
        <v>-2.7370012115429714</v>
      </c>
      <c r="S16" s="145" t="str">
        <f t="shared" si="3"/>
        <v>C#</v>
      </c>
      <c r="T16" s="4">
        <f t="shared" si="4"/>
        <v>277.68389849793436</v>
      </c>
      <c r="U16" s="47">
        <f t="shared" si="5"/>
        <v>-5.0830022500075858</v>
      </c>
    </row>
    <row r="17" spans="2:26" x14ac:dyDescent="0.2">
      <c r="B17" s="107" t="s">
        <v>72</v>
      </c>
      <c r="C17" s="185">
        <v>0</v>
      </c>
      <c r="D17" s="4">
        <f t="shared" si="13"/>
        <v>-4</v>
      </c>
      <c r="E17" s="4">
        <f t="shared" si="6"/>
        <v>6664.4135639504248</v>
      </c>
      <c r="F17" s="4">
        <f t="shared" si="7"/>
        <v>701.95500086538743</v>
      </c>
      <c r="G17" s="97">
        <v>4</v>
      </c>
      <c r="H17" s="188">
        <f t="shared" si="0"/>
        <v>416.52584774690155</v>
      </c>
      <c r="J17" s="85" t="s">
        <v>72</v>
      </c>
      <c r="K17" s="4">
        <f t="shared" si="1"/>
        <v>416.52584774690155</v>
      </c>
      <c r="L17" s="4">
        <f t="shared" si="2"/>
        <v>796.87199861538011</v>
      </c>
      <c r="M17" s="4">
        <f t="shared" si="8"/>
        <v>99.6089998269224</v>
      </c>
      <c r="N17" s="47">
        <f t="shared" si="9"/>
        <v>2271.959169528554</v>
      </c>
      <c r="P17" s="123" t="str">
        <f t="shared" si="10"/>
        <v>G#</v>
      </c>
      <c r="Q17" s="4">
        <f t="shared" si="11"/>
        <v>417.27910879512331</v>
      </c>
      <c r="R17" s="4">
        <f t="shared" si="12"/>
        <v>-3.1280013846205721</v>
      </c>
      <c r="S17" s="145" t="str">
        <f t="shared" si="3"/>
        <v>G#</v>
      </c>
      <c r="T17" s="4">
        <f t="shared" si="4"/>
        <v>416.52584774690155</v>
      </c>
      <c r="U17" s="47">
        <f t="shared" si="5"/>
        <v>-3.1280013846205721</v>
      </c>
    </row>
    <row r="18" spans="2:26" x14ac:dyDescent="0.2">
      <c r="B18" s="107" t="s">
        <v>76</v>
      </c>
      <c r="C18" s="185">
        <v>-1</v>
      </c>
      <c r="D18" s="4">
        <f t="shared" si="13"/>
        <v>-5</v>
      </c>
      <c r="E18" s="4">
        <f t="shared" si="6"/>
        <v>9969.5641192741659</v>
      </c>
      <c r="F18" s="4">
        <f t="shared" si="7"/>
        <v>697.26299878845794</v>
      </c>
      <c r="G18" s="97">
        <v>5</v>
      </c>
      <c r="H18" s="188">
        <f t="shared" si="0"/>
        <v>311.54887872731769</v>
      </c>
      <c r="J18" s="85" t="s">
        <v>7</v>
      </c>
      <c r="K18" s="4">
        <f t="shared" si="1"/>
        <v>440</v>
      </c>
      <c r="L18" s="4">
        <f t="shared" si="2"/>
        <v>891.78899636537278</v>
      </c>
      <c r="M18" s="4">
        <f t="shared" si="8"/>
        <v>94.916997749992618</v>
      </c>
      <c r="N18" s="47">
        <f t="shared" si="9"/>
        <v>2150.7493616686984</v>
      </c>
      <c r="P18" s="123" t="str">
        <f t="shared" si="10"/>
        <v>A</v>
      </c>
      <c r="Q18" s="4">
        <f t="shared" si="11"/>
        <v>442.09181581557038</v>
      </c>
      <c r="R18" s="4">
        <f t="shared" si="12"/>
        <v>-8.2110036346280708</v>
      </c>
      <c r="S18" s="145" t="str">
        <f t="shared" si="3"/>
        <v>D#</v>
      </c>
      <c r="T18" s="4">
        <f t="shared" si="4"/>
        <v>311.54887872731769</v>
      </c>
      <c r="U18" s="47">
        <f t="shared" si="5"/>
        <v>-5.8650025961624666</v>
      </c>
    </row>
    <row r="19" spans="2:26" x14ac:dyDescent="0.2">
      <c r="B19" s="107" t="s">
        <v>73</v>
      </c>
      <c r="C19" s="185">
        <v>0</v>
      </c>
      <c r="D19" s="4">
        <f t="shared" si="13"/>
        <v>-5</v>
      </c>
      <c r="E19" s="4">
        <f t="shared" si="6"/>
        <v>14954.346178911248</v>
      </c>
      <c r="F19" s="4">
        <f t="shared" si="7"/>
        <v>701.95500086538743</v>
      </c>
      <c r="G19" s="97">
        <v>5</v>
      </c>
      <c r="H19" s="188">
        <f t="shared" si="0"/>
        <v>467.3233180909765</v>
      </c>
      <c r="J19" s="85" t="s">
        <v>73</v>
      </c>
      <c r="K19" s="4">
        <f t="shared" si="1"/>
        <v>467.3233180909765</v>
      </c>
      <c r="L19" s="4">
        <f t="shared" si="2"/>
        <v>996.08999826922513</v>
      </c>
      <c r="M19" s="4">
        <f t="shared" si="8"/>
        <v>104.30100190385235</v>
      </c>
      <c r="N19" s="47">
        <f t="shared" si="9"/>
        <v>2025</v>
      </c>
      <c r="P19" s="123" t="str">
        <f t="shared" si="10"/>
        <v>A#</v>
      </c>
      <c r="Q19" s="4">
        <f t="shared" si="11"/>
        <v>468.37996317488387</v>
      </c>
      <c r="R19" s="4">
        <f t="shared" si="12"/>
        <v>-3.910001730775829</v>
      </c>
      <c r="S19" s="145" t="str">
        <f t="shared" si="3"/>
        <v>A#</v>
      </c>
      <c r="T19" s="4">
        <f t="shared" si="4"/>
        <v>467.3233180909765</v>
      </c>
      <c r="U19" s="47">
        <f t="shared" si="5"/>
        <v>-3.910001730775829</v>
      </c>
    </row>
    <row r="20" spans="2:26" x14ac:dyDescent="0.2">
      <c r="B20" s="107" t="s">
        <v>5</v>
      </c>
      <c r="C20" s="185">
        <v>0</v>
      </c>
      <c r="D20" s="4">
        <f t="shared" si="13"/>
        <v>-5</v>
      </c>
      <c r="E20" s="4">
        <f t="shared" si="6"/>
        <v>22431.519268366872</v>
      </c>
      <c r="F20" s="4">
        <f t="shared" si="7"/>
        <v>701.95500086538743</v>
      </c>
      <c r="G20" s="97">
        <v>6</v>
      </c>
      <c r="H20" s="188">
        <f t="shared" si="0"/>
        <v>350.49248856823237</v>
      </c>
      <c r="J20" s="85" t="s">
        <v>8</v>
      </c>
      <c r="K20" s="4">
        <f t="shared" si="1"/>
        <v>493.66026399632779</v>
      </c>
      <c r="L20" s="4">
        <f t="shared" si="2"/>
        <v>1091.0069960192179</v>
      </c>
      <c r="M20" s="4">
        <f t="shared" si="8"/>
        <v>94.916997749992618</v>
      </c>
      <c r="N20" s="47">
        <f t="shared" si="9"/>
        <v>1916.9655492897173</v>
      </c>
      <c r="P20" s="123" t="str">
        <f t="shared" si="10"/>
        <v>B</v>
      </c>
      <c r="Q20" s="4">
        <f t="shared" si="11"/>
        <v>496.23128512115522</v>
      </c>
      <c r="R20" s="4">
        <f t="shared" si="12"/>
        <v>-8.9930039807829854</v>
      </c>
      <c r="S20" s="145" t="str">
        <f t="shared" si="3"/>
        <v>F</v>
      </c>
      <c r="T20" s="4">
        <f t="shared" si="4"/>
        <v>350.49248856823237</v>
      </c>
      <c r="U20" s="47">
        <f t="shared" si="5"/>
        <v>-1.9550008653877775</v>
      </c>
    </row>
    <row r="21" spans="2:26" x14ac:dyDescent="0.2">
      <c r="B21" s="108" t="s">
        <v>78</v>
      </c>
      <c r="C21" s="186">
        <v>0</v>
      </c>
      <c r="D21" s="53">
        <f t="shared" si="13"/>
        <v>-5</v>
      </c>
      <c r="E21" s="53">
        <f t="shared" si="6"/>
        <v>33647.278902550308</v>
      </c>
      <c r="F21" s="53">
        <f t="shared" si="7"/>
        <v>701.95500086538743</v>
      </c>
      <c r="G21" s="98">
        <v>6</v>
      </c>
      <c r="H21" s="48">
        <f t="shared" si="0"/>
        <v>525.73873285234856</v>
      </c>
      <c r="J21" s="87" t="s">
        <v>78</v>
      </c>
      <c r="K21" s="53">
        <f t="shared" si="1"/>
        <v>525.73873285234856</v>
      </c>
      <c r="L21" s="53">
        <f t="shared" si="2"/>
        <v>1200</v>
      </c>
      <c r="M21" s="53">
        <f t="shared" si="8"/>
        <v>108.99300398078211</v>
      </c>
      <c r="N21" s="48">
        <f t="shared" si="9"/>
        <v>1800</v>
      </c>
      <c r="P21" s="108" t="str">
        <f t="shared" si="10"/>
        <v>c oct.</v>
      </c>
      <c r="Q21" s="53">
        <f t="shared" si="11"/>
        <v>525.7387328523489</v>
      </c>
      <c r="R21" s="53">
        <f t="shared" si="12"/>
        <v>-1.1532335413733707E-12</v>
      </c>
      <c r="S21" s="151" t="str">
        <f t="shared" si="3"/>
        <v>c oct.</v>
      </c>
      <c r="T21" s="53">
        <f t="shared" si="4"/>
        <v>525.73873285234856</v>
      </c>
      <c r="U21" s="48">
        <f t="shared" si="5"/>
        <v>-1.1532335413733707E-12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Grote 5th Interval in cents</v>
      </c>
      <c r="F26" s="84" t="s">
        <v>18</v>
      </c>
      <c r="G26" s="52" t="str">
        <f>_xlfn.CONCAT("diff ",$F$2)</f>
        <v>diff 1/5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393.7439972307601</v>
      </c>
      <c r="F27" s="4">
        <f t="shared" ref="F27" si="15">VLOOKUP(B27,Master_Frequencies,2,FALSE)*5/4</f>
        <v>328.58670803271787</v>
      </c>
      <c r="G27" s="47">
        <f t="shared" ref="G27" si="16">IF($D$2="Cents",LOG(VLOOKUP(C27,Master_Frequencies,2,FALSE)/F27,2)*1200*$F$3,LOG(D27*VLOOKUP(C27,Master_Frequencies,2,FALSE)/F27,$F$3))</f>
        <v>-1.5836061544941087</v>
      </c>
      <c r="I27" s="123" t="s">
        <v>2</v>
      </c>
      <c r="J27" s="145" t="s">
        <v>6</v>
      </c>
      <c r="K27" s="97">
        <v>1</v>
      </c>
      <c r="L27" s="191">
        <f t="shared" ref="L27" si="17">K27*VLOOKUP(J27,Master_Frequencies,2,FALSE)/VLOOKUP(I27,Master_Frequencies,2,FALSE)</f>
        <v>1.4959401939282659</v>
      </c>
      <c r="M27" s="145" t="s">
        <v>2</v>
      </c>
      <c r="N27" s="145" t="s">
        <v>4</v>
      </c>
      <c r="O27" s="191">
        <f t="shared" ref="O27" si="18">D27*VLOOKUP(N27,Master_Frequencies,2,FALSE)/VLOOKUP(M27,Master_Frequencies,2,FALSE)</f>
        <v>1.2553764042059996</v>
      </c>
      <c r="Q27" s="99">
        <v>1</v>
      </c>
      <c r="R27" s="18">
        <f>$E$9*Q27</f>
        <v>262.86936642617428</v>
      </c>
      <c r="S27" s="97">
        <v>0</v>
      </c>
      <c r="T27" s="4">
        <f>R27/POWER(2,S27)</f>
        <v>262.86936642617428</v>
      </c>
      <c r="U27" s="18" t="str" cm="1">
        <f t="array" ref="U27">_xlfn.XLOOKUP(0,ABS($C$44:$C$56-T27),$B$44:$B$56,,1)</f>
        <v>C</v>
      </c>
      <c r="V27" s="47">
        <f t="shared" ref="V27" si="19">LOG(T27/VLOOKUP(U27,Master_Frequencies,2,FALSE),2)*1200</f>
        <v>0</v>
      </c>
      <c r="X27" s="85" t="s">
        <v>2</v>
      </c>
      <c r="Y27" s="4">
        <f t="shared" ref="Y27" si="20">VLOOKUP(X27,Master_Frequencies,2,FALSE)/POWER(2,$Z$25)</f>
        <v>131.43468321308714</v>
      </c>
      <c r="Z27" s="47">
        <f t="shared" ref="Z27" si="21">VLOOKUP(X27,Master_Frequencies,2,FALSE)*POWER(2,$Z$25)</f>
        <v>525.73873285234856</v>
      </c>
    </row>
    <row r="28" spans="2:26" x14ac:dyDescent="0.2">
      <c r="B28" s="123" t="s">
        <v>74</v>
      </c>
      <c r="C28" s="145" t="s">
        <v>5</v>
      </c>
      <c r="D28" s="97">
        <v>1</v>
      </c>
      <c r="E28" s="4">
        <f t="shared" ref="E28" si="22">LOG(D28*VLOOKUP(C28,Master_Frequencies,2,FALSE)/VLOOKUP(B28,Master_Frequencies,2,FALSE),2)*1200</f>
        <v>403.12800138461984</v>
      </c>
      <c r="F28" s="4">
        <f t="shared" ref="F28" si="23">VLOOKUP(B28,Master_Frequencies,2,FALSE)*5/4</f>
        <v>347.10487312241798</v>
      </c>
      <c r="G28" s="47">
        <f t="shared" ref="G28" si="24">IF($D$2="Cents",LOG(VLOOKUP(C28,Master_Frequencies,2,FALSE)/F28,2)*1200*$F$3,LOG(D28*VLOOKUP(C28,Master_Frequencies,2,FALSE)/F28,$F$3))</f>
        <v>-3.5836061544941615</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1.2621995386269744</v>
      </c>
      <c r="Q28" s="99">
        <v>2</v>
      </c>
      <c r="R28" s="18">
        <f t="shared" ref="R28:R39" si="27">$E$9*Q28</f>
        <v>525.73873285234856</v>
      </c>
      <c r="S28" s="97">
        <v>0</v>
      </c>
      <c r="T28" s="4">
        <f t="shared" ref="T28:T39" si="28">R28/POWER(2,S28)</f>
        <v>525.73873285234856</v>
      </c>
      <c r="U28" s="18" t="str" cm="1">
        <f t="array" ref="U28">_xlfn.XLOOKUP(0,ABS($C$44:$C$56-T28),$B$44:$B$56,,1)</f>
        <v>c oct.</v>
      </c>
      <c r="V28" s="47">
        <f t="shared" ref="V28" si="29">LOG(T28/VLOOKUP(U28,Master_Frequencies,2,FALSE),2)*1200</f>
        <v>0</v>
      </c>
      <c r="X28" s="85" t="s">
        <v>74</v>
      </c>
      <c r="Y28" s="4">
        <f t="shared" ref="Y28" si="30">VLOOKUP(X28,Master_Frequencies,2,FALSE)/POWER(2,$Z$25)</f>
        <v>138.84194924896718</v>
      </c>
      <c r="Z28" s="47">
        <f t="shared" ref="Z28" si="31">VLOOKUP(X28,Master_Frequencies,2,FALSE)*POWER(2,$Z$25)</f>
        <v>555.36779699586873</v>
      </c>
    </row>
    <row r="29" spans="2:26" x14ac:dyDescent="0.2">
      <c r="B29" s="123" t="s">
        <v>3</v>
      </c>
      <c r="C29" s="145" t="s">
        <v>70</v>
      </c>
      <c r="D29" s="97">
        <v>1</v>
      </c>
      <c r="E29" s="4">
        <f t="shared" ref="E29" si="32">LOG(D29*VLOOKUP(C29,Master_Frequencies,2,FALSE)/VLOOKUP(B29,Master_Frequencies,2,FALSE),2)*1200</f>
        <v>398.43599930769017</v>
      </c>
      <c r="F29" s="4">
        <f t="shared" ref="F29" si="33">VLOOKUP(B29,Master_Frequencies,2,FALSE)*5/4</f>
        <v>367.66175695548816</v>
      </c>
      <c r="G29" s="47">
        <f t="shared" ref="G29" si="34">IF($D$2="Cents",LOG(VLOOKUP(C29,Master_Frequencies,2,FALSE)/F29,2)*1200*$F$3,LOG(D29*VLOOKUP(C29,Master_Frequencies,2,FALSE)/F29,$F$3))</f>
        <v>-2.5836061544942441</v>
      </c>
      <c r="I29" s="123" t="s">
        <v>3</v>
      </c>
      <c r="J29" s="145" t="s">
        <v>7</v>
      </c>
      <c r="K29" s="97">
        <v>1</v>
      </c>
      <c r="L29" s="191">
        <f t="shared" ref="L29" si="35">K29*VLOOKUP(J29,Master_Frequencies,2,FALSE)/VLOOKUP(I29,Master_Frequencies,2,FALSE)</f>
        <v>1.4959401939282662</v>
      </c>
      <c r="M29" s="145" t="s">
        <v>3</v>
      </c>
      <c r="N29" s="145" t="s">
        <v>70</v>
      </c>
      <c r="O29" s="191">
        <f t="shared" ref="O29" si="36">D29*VLOOKUP(N29,Master_Frequencies,2,FALSE)/VLOOKUP(M29,Master_Frequencies,2,FALSE)</f>
        <v>1.2587833483932027</v>
      </c>
      <c r="Q29" s="99">
        <v>3</v>
      </c>
      <c r="R29" s="18">
        <f t="shared" si="27"/>
        <v>788.60809927852279</v>
      </c>
      <c r="S29" s="97">
        <v>1</v>
      </c>
      <c r="T29" s="4">
        <f t="shared" si="28"/>
        <v>394.30404963926139</v>
      </c>
      <c r="U29" s="18" t="str" cm="1">
        <f t="array" ref="U29">_xlfn.XLOOKUP(0,ABS($C$44:$C$56-T29),$B$44:$B$56,,1)</f>
        <v>G</v>
      </c>
      <c r="V29" s="47">
        <f t="shared" ref="V29" si="37">LOG(T29/VLOOKUP(U29,Master_Frequencies,2,FALSE),2)*1200</f>
        <v>4.6920020769296409</v>
      </c>
      <c r="X29" s="85" t="s">
        <v>3</v>
      </c>
      <c r="Y29" s="4">
        <f t="shared" ref="Y29" si="38">VLOOKUP(X29,Master_Frequencies,2,FALSE)/POWER(2,$Z$25)</f>
        <v>147.06470278219527</v>
      </c>
      <c r="Z29" s="47">
        <f t="shared" ref="Z29" si="39">VLOOKUP(X29,Master_Frequencies,2,FALSE)*POWER(2,$Z$25)</f>
        <v>588.25881112878108</v>
      </c>
    </row>
    <row r="30" spans="2:26" x14ac:dyDescent="0.2">
      <c r="B30" s="123" t="s">
        <v>76</v>
      </c>
      <c r="C30" s="145" t="s">
        <v>6</v>
      </c>
      <c r="D30" s="97">
        <v>1</v>
      </c>
      <c r="E30" s="4">
        <f t="shared" ref="E30" si="40">LOG(D30*VLOOKUP(C30,Master_Frequencies,2,FALSE)/VLOOKUP(B30,Master_Frequencies,2,FALSE),2)*1200</f>
        <v>403.12800138461955</v>
      </c>
      <c r="F30" s="4">
        <f t="shared" ref="F30" si="41">VLOOKUP(B30,Master_Frequencies,2,FALSE)*5/4</f>
        <v>389.43609840914712</v>
      </c>
      <c r="G30" s="47">
        <f t="shared" ref="G30" si="42">IF($D$2="Cents",LOG(VLOOKUP(C30,Master_Frequencies,2,FALSE)/F30,2)*1200*$F$3,LOG(D30*VLOOKUP(C30,Master_Frequencies,2,FALSE)/F30,$F$3))</f>
        <v>-3.5836061544940807</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1.2621995386269742</v>
      </c>
      <c r="Q30" s="99">
        <v>4</v>
      </c>
      <c r="R30" s="18">
        <f t="shared" si="27"/>
        <v>1051.4774657046971</v>
      </c>
      <c r="S30" s="97">
        <v>1</v>
      </c>
      <c r="T30" s="4">
        <f t="shared" si="28"/>
        <v>525.73873285234856</v>
      </c>
      <c r="U30" s="18" t="str" cm="1">
        <f t="array" ref="U30">_xlfn.XLOOKUP(0,ABS($C$44:$C$56-T30),$B$44:$B$56,,1)</f>
        <v>c oct.</v>
      </c>
      <c r="V30" s="47">
        <f t="shared" ref="V30" si="45">LOG(T30/VLOOKUP(U30,Master_Frequencies,2,FALSE),2)*1200</f>
        <v>0</v>
      </c>
      <c r="X30" s="85" t="s">
        <v>76</v>
      </c>
      <c r="Y30" s="4">
        <f t="shared" ref="Y30" si="46">VLOOKUP(X30,Master_Frequencies,2,FALSE)/POWER(2,$Z$25)</f>
        <v>155.77443936365884</v>
      </c>
      <c r="Z30" s="47">
        <f t="shared" ref="Z30" si="47">VLOOKUP(X30,Master_Frequencies,2,FALSE)*POWER(2,$Z$25)</f>
        <v>623.09775745463537</v>
      </c>
    </row>
    <row r="31" spans="2:26" x14ac:dyDescent="0.2">
      <c r="B31" s="123" t="s">
        <v>4</v>
      </c>
      <c r="C31" s="145" t="s">
        <v>72</v>
      </c>
      <c r="D31" s="97">
        <v>1</v>
      </c>
      <c r="E31" s="4">
        <f t="shared" ref="E31" si="48">LOG(D31*VLOOKUP(C31,Master_Frequencies,2,FALSE)/VLOOKUP(B31,Master_Frequencies,2,FALSE),2)*1200</f>
        <v>403.12800138461984</v>
      </c>
      <c r="F31" s="4">
        <f t="shared" ref="F31" si="49">VLOOKUP(B31,Master_Frequencies,2,FALSE)*5/4</f>
        <v>412.5</v>
      </c>
      <c r="G31" s="47">
        <f t="shared" ref="G31" si="50">IF($D$2="Cents",LOG(VLOOKUP(C31,Master_Frequencies,2,FALSE)/F31,2)*1200*$F$3,LOG(D31*VLOOKUP(C31,Master_Frequencies,2,FALSE)/F31,$F$3))</f>
        <v>-3.5836061544941615</v>
      </c>
      <c r="I31" s="123" t="s">
        <v>4</v>
      </c>
      <c r="J31" s="145" t="s">
        <v>8</v>
      </c>
      <c r="K31" s="97">
        <v>1</v>
      </c>
      <c r="L31" s="191">
        <f t="shared" ref="L31" si="51">K31*VLOOKUP(J31,Master_Frequencies,2,FALSE)/VLOOKUP(I31,Master_Frequencies,2,FALSE)</f>
        <v>1.4959401939282659</v>
      </c>
      <c r="M31" s="145" t="s">
        <v>4</v>
      </c>
      <c r="N31" s="145" t="s">
        <v>72</v>
      </c>
      <c r="O31" s="191">
        <f t="shared" ref="O31" si="52">D31*VLOOKUP(N31,Master_Frequencies,2,FALSE)/VLOOKUP(M31,Master_Frequencies,2,FALSE)</f>
        <v>1.2621995386269744</v>
      </c>
      <c r="Q31" s="99">
        <v>5</v>
      </c>
      <c r="R31" s="18">
        <f t="shared" si="27"/>
        <v>1314.3468321308715</v>
      </c>
      <c r="S31" s="97">
        <v>2</v>
      </c>
      <c r="T31" s="4">
        <f t="shared" si="28"/>
        <v>328.58670803271787</v>
      </c>
      <c r="U31" s="18" t="str" cm="1">
        <f t="array" ref="U31">_xlfn.XLOOKUP(0,ABS($C$44:$C$56-T31),$B$44:$B$56,,1)</f>
        <v>E</v>
      </c>
      <c r="V31" s="47">
        <f t="shared" ref="V31" si="53">LOG(T31/VLOOKUP(U31,Master_Frequencies,2,FALSE),2)*1200</f>
        <v>-7.4302833659252556</v>
      </c>
      <c r="X31" s="85" t="s">
        <v>4</v>
      </c>
      <c r="Y31" s="4">
        <f t="shared" ref="Y31" si="54">VLOOKUP(X31,Master_Frequencies,2,FALSE)/POWER(2,$Z$25)</f>
        <v>165</v>
      </c>
      <c r="Z31" s="47">
        <f t="shared" ref="Z31" si="55">VLOOKUP(X31,Master_Frequencies,2,FALSE)*POWER(2,$Z$25)</f>
        <v>660</v>
      </c>
    </row>
    <row r="32" spans="2:26" x14ac:dyDescent="0.2">
      <c r="B32" s="123" t="s">
        <v>5</v>
      </c>
      <c r="C32" s="145" t="s">
        <v>7</v>
      </c>
      <c r="D32" s="97">
        <v>1</v>
      </c>
      <c r="E32" s="4">
        <f t="shared" ref="E32" si="56">LOG(D32*VLOOKUP(C32,Master_Frequencies,2,FALSE)/VLOOKUP(B32,Master_Frequencies,2,FALSE),2)*1200</f>
        <v>393.7439972307601</v>
      </c>
      <c r="F32" s="4">
        <f t="shared" ref="F32" si="57">VLOOKUP(B32,Master_Frequencies,2,FALSE)*5/4</f>
        <v>438.11561071029047</v>
      </c>
      <c r="G32" s="47">
        <f t="shared" ref="G32" si="58">IF($D$2="Cents",LOG(VLOOKUP(C32,Master_Frequencies,2,FALSE)/F32,2)*1200*$F$3,LOG(D32*VLOOKUP(C32,Master_Frequencies,2,FALSE)/F32,$F$3))</f>
        <v>-1.5836061544941904</v>
      </c>
      <c r="I32" s="123" t="s">
        <v>5</v>
      </c>
      <c r="J32" s="145" t="s">
        <v>78</v>
      </c>
      <c r="K32" s="97">
        <v>1</v>
      </c>
      <c r="L32" s="191">
        <f t="shared" ref="L32" si="59">K32*VLOOKUP(J32,Master_Frequencies,2,FALSE)/VLOOKUP(I32,Master_Frequencies,2,FALSE)</f>
        <v>1.5</v>
      </c>
      <c r="M32" s="145" t="s">
        <v>5</v>
      </c>
      <c r="N32" s="145" t="s">
        <v>7</v>
      </c>
      <c r="O32" s="191">
        <f t="shared" ref="O32" si="60">D32*VLOOKUP(N32,Master_Frequencies,2,FALSE)/VLOOKUP(M32,Master_Frequencies,2,FALSE)</f>
        <v>1.2553764042059996</v>
      </c>
      <c r="Q32" s="99">
        <v>6</v>
      </c>
      <c r="R32" s="18">
        <f t="shared" si="27"/>
        <v>1577.2161985570456</v>
      </c>
      <c r="S32" s="97">
        <v>2</v>
      </c>
      <c r="T32" s="4">
        <f t="shared" si="28"/>
        <v>394.30404963926139</v>
      </c>
      <c r="U32" s="18" t="str" cm="1">
        <f t="array" ref="U32">_xlfn.XLOOKUP(0,ABS($C$44:$C$56-T32),$B$44:$B$56,,1)</f>
        <v>G</v>
      </c>
      <c r="V32" s="47">
        <f t="shared" ref="V32" si="61">LOG(T32/VLOOKUP(U32,Master_Frequencies,2,FALSE),2)*1200</f>
        <v>4.6920020769296409</v>
      </c>
      <c r="X32" s="85" t="s">
        <v>5</v>
      </c>
      <c r="Y32" s="4">
        <f t="shared" ref="Y32" si="62">VLOOKUP(X32,Master_Frequencies,2,FALSE)/POWER(2,$Z$25)</f>
        <v>175.24624428411619</v>
      </c>
      <c r="Z32" s="47">
        <f t="shared" ref="Z32" si="63">VLOOKUP(X32,Master_Frequencies,2,FALSE)*POWER(2,$Z$25)</f>
        <v>700.98497713646475</v>
      </c>
    </row>
    <row r="33" spans="2:26" x14ac:dyDescent="0.2">
      <c r="B33" s="123" t="s">
        <v>70</v>
      </c>
      <c r="C33" s="145" t="s">
        <v>73</v>
      </c>
      <c r="D33" s="97">
        <v>1</v>
      </c>
      <c r="E33" s="4">
        <f t="shared" ref="E33" si="64">LOG(D33*VLOOKUP(C33,Master_Frequencies,2,FALSE)/VLOOKUP(B33,Master_Frequencies,2,FALSE),2)*1200</f>
        <v>403.12800138461984</v>
      </c>
      <c r="F33" s="4">
        <f t="shared" ref="F33" si="65">VLOOKUP(B33,Master_Frequencies,2,FALSE)*5/4</f>
        <v>462.80649749655731</v>
      </c>
      <c r="G33" s="47">
        <f t="shared" ref="G33" si="66">IF($D$2="Cents",LOG(VLOOKUP(C33,Master_Frequencies,2,FALSE)/F33,2)*1200*$F$3,LOG(D33*VLOOKUP(C33,Master_Frequencies,2,FALSE)/F33,$F$3))</f>
        <v>-3.5836061544941615</v>
      </c>
      <c r="I33" s="123" t="s">
        <v>70</v>
      </c>
      <c r="J33" s="145" t="s">
        <v>74</v>
      </c>
      <c r="K33" s="97">
        <v>2</v>
      </c>
      <c r="L33" s="191">
        <f t="shared" ref="L33" si="67">K33*VLOOKUP(J33,Master_Frequencies,2,FALSE)/VLOOKUP(I33,Master_Frequencies,2,FALSE)</f>
        <v>1.5</v>
      </c>
      <c r="M33" s="145" t="s">
        <v>70</v>
      </c>
      <c r="N33" s="145" t="s">
        <v>73</v>
      </c>
      <c r="O33" s="191">
        <f t="shared" ref="O33" si="68">D33*VLOOKUP(N33,Master_Frequencies,2,FALSE)/VLOOKUP(M33,Master_Frequencies,2,FALSE)</f>
        <v>1.2621995386269744</v>
      </c>
      <c r="Q33" s="99">
        <v>7</v>
      </c>
      <c r="R33" s="18">
        <f t="shared" si="27"/>
        <v>1840.0855649832199</v>
      </c>
      <c r="S33" s="97">
        <v>2</v>
      </c>
      <c r="T33" s="4">
        <f t="shared" si="28"/>
        <v>460.02139124580498</v>
      </c>
      <c r="U33" s="18" t="str" cm="1">
        <f t="array" ref="U33">_xlfn.XLOOKUP(0,ABS($C$44:$C$56-T33),$B$44:$B$56,,1)</f>
        <v>A#</v>
      </c>
      <c r="V33" s="47">
        <f t="shared" ref="V33" si="69">LOG(T33/VLOOKUP(U33,Master_Frequencies,2,FALSE),2)*1200</f>
        <v>-27.264091800100235</v>
      </c>
      <c r="X33" s="85" t="s">
        <v>70</v>
      </c>
      <c r="Y33" s="4">
        <f t="shared" ref="Y33" si="70">VLOOKUP(X33,Master_Frequencies,2,FALSE)/POWER(2,$Z$25)</f>
        <v>185.12259899862292</v>
      </c>
      <c r="Z33" s="47">
        <f t="shared" ref="Z33" si="71">VLOOKUP(X33,Master_Frequencies,2,FALSE)*POWER(2,$Z$25)</f>
        <v>740.49039599449168</v>
      </c>
    </row>
    <row r="34" spans="2:26" x14ac:dyDescent="0.2">
      <c r="B34" s="123" t="s">
        <v>6</v>
      </c>
      <c r="C34" s="145" t="s">
        <v>8</v>
      </c>
      <c r="D34" s="97">
        <v>1</v>
      </c>
      <c r="E34" s="4">
        <f t="shared" ref="E34" si="72">LOG(D34*VLOOKUP(C34,Master_Frequencies,2,FALSE)/VLOOKUP(B34,Master_Frequencies,2,FALSE),2)*1200</f>
        <v>393.74399723076044</v>
      </c>
      <c r="F34" s="4">
        <f t="shared" ref="F34" si="73">VLOOKUP(B34,Master_Frequencies,2,FALSE)*5/4</f>
        <v>491.54606373671442</v>
      </c>
      <c r="G34" s="47">
        <f t="shared" ref="G34" si="74">IF($D$2="Cents",LOG(VLOOKUP(C34,Master_Frequencies,2,FALSE)/F34,2)*1200*$F$3,LOG(D34*VLOOKUP(C34,Master_Frequencies,2,FALSE)/F34,$F$3))</f>
        <v>-1.5836061544941904</v>
      </c>
      <c r="I34" s="123" t="s">
        <v>6</v>
      </c>
      <c r="J34" s="145" t="s">
        <v>3</v>
      </c>
      <c r="K34" s="97">
        <v>2</v>
      </c>
      <c r="L34" s="191">
        <f t="shared" ref="L34" si="75">K34*VLOOKUP(J34,Master_Frequencies,2,FALSE)/VLOOKUP(I34,Master_Frequencies,2,FALSE)</f>
        <v>1.4959401939282659</v>
      </c>
      <c r="M34" s="145" t="s">
        <v>6</v>
      </c>
      <c r="N34" s="145" t="s">
        <v>8</v>
      </c>
      <c r="O34" s="191">
        <f t="shared" ref="O34" si="76">D34*VLOOKUP(N34,Master_Frequencies,2,FALSE)/VLOOKUP(M34,Master_Frequencies,2,FALSE)</f>
        <v>1.2553764042059998</v>
      </c>
      <c r="Q34" s="99">
        <v>8</v>
      </c>
      <c r="R34" s="18">
        <f t="shared" si="27"/>
        <v>2102.9549314093942</v>
      </c>
      <c r="S34" s="97">
        <v>3</v>
      </c>
      <c r="T34" s="4">
        <f t="shared" si="28"/>
        <v>262.86936642617428</v>
      </c>
      <c r="U34" s="18" t="str" cm="1">
        <f t="array" ref="U34">_xlfn.XLOOKUP(0,ABS($C$44:$C$56-T34),$B$44:$B$56,,1)</f>
        <v>C</v>
      </c>
      <c r="V34" s="47">
        <f t="shared" ref="V34" si="77">LOG(T34/VLOOKUP(U34,Master_Frequencies,2,FALSE),2)*1200</f>
        <v>0</v>
      </c>
      <c r="X34" s="85" t="s">
        <v>6</v>
      </c>
      <c r="Y34" s="4">
        <f t="shared" ref="Y34" si="78">VLOOKUP(X34,Master_Frequencies,2,FALSE)/POWER(2,$Z$25)</f>
        <v>196.61842549468577</v>
      </c>
      <c r="Z34" s="47">
        <f t="shared" ref="Z34" si="79">VLOOKUP(X34,Master_Frequencies,2,FALSE)*POWER(2,$Z$25)</f>
        <v>786.47370197874307</v>
      </c>
    </row>
    <row r="35" spans="2:26" x14ac:dyDescent="0.2">
      <c r="B35" s="123" t="s">
        <v>72</v>
      </c>
      <c r="C35" s="145" t="s">
        <v>78</v>
      </c>
      <c r="D35" s="97">
        <v>1</v>
      </c>
      <c r="E35" s="4">
        <f t="shared" ref="E35" si="80">LOG(D35*VLOOKUP(C35,Master_Frequencies,2,FALSE)/VLOOKUP(B35,Master_Frequencies,2,FALSE),2)*1200</f>
        <v>403.12800138461984</v>
      </c>
      <c r="F35" s="4">
        <f t="shared" ref="F35" si="81">VLOOKUP(B35,Master_Frequencies,2,FALSE)*5/4</f>
        <v>520.65730968362698</v>
      </c>
      <c r="G35" s="47">
        <f t="shared" ref="G35" si="82">IF($D$2="Cents",LOG(VLOOKUP(C35,Master_Frequencies,2,FALSE)/F35,2)*1200*$F$3,LOG(D35*VLOOKUP(C35,Master_Frequencies,2,FALSE)/F35,$F$3))</f>
        <v>-3.5836061544941615</v>
      </c>
      <c r="I35" s="123" t="s">
        <v>72</v>
      </c>
      <c r="J35" s="145" t="s">
        <v>76</v>
      </c>
      <c r="K35" s="97">
        <v>2</v>
      </c>
      <c r="L35" s="191">
        <f t="shared" ref="L35" si="83">K35*VLOOKUP(J35,Master_Frequencies,2,FALSE)/VLOOKUP(I35,Master_Frequencies,2,FALSE)</f>
        <v>1.4959401939282662</v>
      </c>
      <c r="M35" s="145" t="s">
        <v>72</v>
      </c>
      <c r="N35" s="145" t="s">
        <v>78</v>
      </c>
      <c r="O35" s="191">
        <f t="shared" ref="O35" si="84">D35*VLOOKUP(N35,Master_Frequencies,2,FALSE)/VLOOKUP(M35,Master_Frequencies,2,FALSE)</f>
        <v>1.2621995386269744</v>
      </c>
      <c r="Q35" s="99">
        <v>9</v>
      </c>
      <c r="R35" s="18">
        <f t="shared" si="27"/>
        <v>2365.8242978355684</v>
      </c>
      <c r="S35" s="97">
        <v>3</v>
      </c>
      <c r="T35" s="4">
        <f t="shared" si="28"/>
        <v>295.72803722944604</v>
      </c>
      <c r="U35" s="18" t="str" cm="1">
        <f t="array" ref="U35">_xlfn.XLOOKUP(0,ABS($C$44:$C$56-T35),$B$44:$B$56,,1)</f>
        <v>D</v>
      </c>
      <c r="V35" s="47">
        <f t="shared" ref="V35" si="85">LOG(T35/VLOOKUP(U35,Master_Frequencies,2,FALSE),2)*1200</f>
        <v>9.3840041538595287</v>
      </c>
      <c r="X35" s="85" t="s">
        <v>72</v>
      </c>
      <c r="Y35" s="4">
        <f t="shared" ref="Y35" si="86">VLOOKUP(X35,Master_Frequencies,2,FALSE)/POWER(2,$Z$25)</f>
        <v>208.26292387345077</v>
      </c>
      <c r="Z35" s="47">
        <f t="shared" ref="Z35" si="87">VLOOKUP(X35,Master_Frequencies,2,FALSE)*POWER(2,$Z$25)</f>
        <v>833.05169549380309</v>
      </c>
    </row>
    <row r="36" spans="2:26" x14ac:dyDescent="0.2">
      <c r="B36" s="123" t="s">
        <v>7</v>
      </c>
      <c r="C36" s="145" t="s">
        <v>74</v>
      </c>
      <c r="D36" s="97">
        <v>2</v>
      </c>
      <c r="E36" s="4">
        <f t="shared" ref="E36" si="88">LOG(D36*VLOOKUP(C36,Master_Frequencies,2,FALSE)/VLOOKUP(B36,Master_Frequencies,2,FALSE),2)*1200</f>
        <v>403.12800138461984</v>
      </c>
      <c r="F36" s="4">
        <f t="shared" ref="F36" si="89">VLOOKUP(B36,Master_Frequencies,2,FALSE)*5/4</f>
        <v>550</v>
      </c>
      <c r="G36" s="47">
        <f t="shared" ref="G36" si="90">IF($D$2="Cents",LOG(VLOOKUP(C36,Master_Frequencies,2,FALSE)/F36,2)*1200*$F$3,LOG(D36*VLOOKUP(C36,Master_Frequencies,2,FALSE)/F36,$F$3))</f>
        <v>-3.5836061544941615</v>
      </c>
      <c r="I36" s="123" t="s">
        <v>7</v>
      </c>
      <c r="J36" s="145" t="s">
        <v>4</v>
      </c>
      <c r="K36" s="97">
        <v>2</v>
      </c>
      <c r="L36" s="191">
        <f t="shared" ref="L36" si="91">K36*VLOOKUP(J36,Master_Frequencies,2,FALSE)/VLOOKUP(I36,Master_Frequencies,2,FALSE)</f>
        <v>1.5</v>
      </c>
      <c r="M36" s="145" t="s">
        <v>7</v>
      </c>
      <c r="N36" s="145" t="s">
        <v>74</v>
      </c>
      <c r="O36" s="191">
        <f t="shared" ref="O36" si="92">D36*VLOOKUP(N36,Master_Frequencies,2,FALSE)/VLOOKUP(M36,Master_Frequencies,2,FALSE)</f>
        <v>1.2621995386269744</v>
      </c>
      <c r="Q36" s="99">
        <v>10</v>
      </c>
      <c r="R36" s="18">
        <f t="shared" si="27"/>
        <v>2628.6936642617429</v>
      </c>
      <c r="S36" s="97">
        <v>3</v>
      </c>
      <c r="T36" s="4">
        <f t="shared" si="28"/>
        <v>328.58670803271787</v>
      </c>
      <c r="U36" s="18" t="str" cm="1">
        <f t="array" ref="U36">_xlfn.XLOOKUP(0,ABS($C$44:$C$56-T36),$B$44:$B$56,,1)</f>
        <v>E</v>
      </c>
      <c r="V36" s="47">
        <f t="shared" ref="V36" si="93">LOG(T36/VLOOKUP(U36,Master_Frequencies,2,FALSE),2)*1200</f>
        <v>-7.4302833659252556</v>
      </c>
      <c r="X36" s="85" t="s">
        <v>7</v>
      </c>
      <c r="Y36" s="4">
        <f t="shared" ref="Y36" si="94">VLOOKUP(X36,Master_Frequencies,2,FALSE)/POWER(2,$Z$25)</f>
        <v>220</v>
      </c>
      <c r="Z36" s="47">
        <f t="shared" ref="Z36" si="95">VLOOKUP(X36,Master_Frequencies,2,FALSE)*POWER(2,$Z$25)</f>
        <v>880</v>
      </c>
    </row>
    <row r="37" spans="2:26" x14ac:dyDescent="0.2">
      <c r="B37" s="123" t="s">
        <v>73</v>
      </c>
      <c r="C37" s="145" t="s">
        <v>3</v>
      </c>
      <c r="D37" s="97">
        <v>2</v>
      </c>
      <c r="E37" s="4">
        <f t="shared" ref="E37" si="96">LOG(D37*VLOOKUP(C37,Master_Frequencies,2,FALSE)/VLOOKUP(B37,Master_Frequencies,2,FALSE),2)*1200</f>
        <v>398.43599930768994</v>
      </c>
      <c r="F37" s="4">
        <f t="shared" ref="F37" si="97">VLOOKUP(B37,Master_Frequencies,2,FALSE)*5/4</f>
        <v>584.15414761372062</v>
      </c>
      <c r="G37" s="47">
        <f t="shared" ref="G37" si="98">IF($D$2="Cents",LOG(VLOOKUP(C37,Master_Frequencies,2,FALSE)/F37,2)*1200*$F$3,LOG(D37*VLOOKUP(C37,Master_Frequencies,2,FALSE)/F37,$F$3))</f>
        <v>-2.5836061544941629</v>
      </c>
      <c r="I37" s="123" t="s">
        <v>73</v>
      </c>
      <c r="J37" s="145" t="s">
        <v>5</v>
      </c>
      <c r="K37" s="97">
        <v>2</v>
      </c>
      <c r="L37" s="191">
        <f t="shared" ref="L37" si="99">K37*VLOOKUP(J37,Master_Frequencies,2,FALSE)/VLOOKUP(I37,Master_Frequencies,2,FALSE)</f>
        <v>1.5</v>
      </c>
      <c r="M37" s="145" t="s">
        <v>73</v>
      </c>
      <c r="N37" s="145" t="s">
        <v>3</v>
      </c>
      <c r="O37" s="191">
        <f t="shared" ref="O37" si="100">D37*VLOOKUP(N37,Master_Frequencies,2,FALSE)/VLOOKUP(M37,Master_Frequencies,2,FALSE)</f>
        <v>1.2587833483932025</v>
      </c>
      <c r="Q37" s="99">
        <v>11</v>
      </c>
      <c r="R37" s="18">
        <f t="shared" si="27"/>
        <v>2891.563030687917</v>
      </c>
      <c r="S37" s="97">
        <v>3</v>
      </c>
      <c r="T37" s="4">
        <f t="shared" si="28"/>
        <v>361.44537883598963</v>
      </c>
      <c r="U37" s="18" t="str" cm="1">
        <f t="array" ref="U37">_xlfn.XLOOKUP(0,ABS($C$44:$C$56-T37),$B$44:$B$56,,1)</f>
        <v>F#</v>
      </c>
      <c r="V37" s="47">
        <f t="shared" ref="V37" si="101">LOG(T37/VLOOKUP(U37,Master_Frequencies,2,FALSE),2)*1200</f>
        <v>-41.644054519848638</v>
      </c>
      <c r="X37" s="85" t="s">
        <v>73</v>
      </c>
      <c r="Y37" s="4">
        <f t="shared" ref="Y37" si="102">VLOOKUP(X37,Master_Frequencies,2,FALSE)/POWER(2,$Z$25)</f>
        <v>233.66165904548825</v>
      </c>
      <c r="Z37" s="47">
        <f t="shared" ref="Z37" si="103">VLOOKUP(X37,Master_Frequencies,2,FALSE)*POWER(2,$Z$25)</f>
        <v>934.646636181953</v>
      </c>
    </row>
    <row r="38" spans="2:26" x14ac:dyDescent="0.2">
      <c r="B38" s="124" t="s">
        <v>8</v>
      </c>
      <c r="C38" s="153" t="s">
        <v>76</v>
      </c>
      <c r="D38" s="98">
        <v>2</v>
      </c>
      <c r="E38" s="53">
        <f t="shared" ref="E38" si="104">LOG(D38*VLOOKUP(C38,Master_Frequencies,2,FALSE)/VLOOKUP(B38,Master_Frequencies,2,FALSE),2)*1200</f>
        <v>403.12800138461984</v>
      </c>
      <c r="F38" s="53">
        <f t="shared" ref="F38" si="105">VLOOKUP(B38,Master_Frequencies,2,FALSE)*5/4</f>
        <v>617.07532999540967</v>
      </c>
      <c r="G38" s="48">
        <f t="shared" ref="G38" si="106">IF($D$2="Cents",LOG(VLOOKUP(C38,Master_Frequencies,2,FALSE)/F38,2)*1200*$F$3,LOG(D38*VLOOKUP(C38,Master_Frequencies,2,FALSE)/F38,$F$3))</f>
        <v>-3.5836061544942428</v>
      </c>
      <c r="I38" s="124" t="s">
        <v>8</v>
      </c>
      <c r="J38" s="153" t="s">
        <v>70</v>
      </c>
      <c r="K38" s="98">
        <v>2</v>
      </c>
      <c r="L38" s="192">
        <f t="shared" ref="L38" si="107">K38*VLOOKUP(J38,Master_Frequencies,2,FALSE)/VLOOKUP(I38,Master_Frequencies,2,FALSE)</f>
        <v>1.5</v>
      </c>
      <c r="M38" s="153" t="s">
        <v>8</v>
      </c>
      <c r="N38" s="153" t="s">
        <v>76</v>
      </c>
      <c r="O38" s="192">
        <f t="shared" ref="O38" si="108">D38*VLOOKUP(N38,Master_Frequencies,2,FALSE)/VLOOKUP(M38,Master_Frequencies,2,FALSE)</f>
        <v>1.2621995386269744</v>
      </c>
      <c r="Q38" s="99">
        <v>12</v>
      </c>
      <c r="R38" s="18">
        <f t="shared" si="27"/>
        <v>3154.4323971140911</v>
      </c>
      <c r="S38" s="97">
        <v>3</v>
      </c>
      <c r="T38" s="4">
        <f t="shared" si="28"/>
        <v>394.30404963926139</v>
      </c>
      <c r="U38" s="18" t="str" cm="1">
        <f t="array" ref="U38">_xlfn.XLOOKUP(0,ABS($C$44:$C$56-T38),$B$44:$B$56,,1)</f>
        <v>G</v>
      </c>
      <c r="V38" s="47">
        <f t="shared" ref="V38" si="109">LOG(T38/VLOOKUP(U38,Master_Frequencies,2,FALSE),2)*1200</f>
        <v>4.6920020769296409</v>
      </c>
      <c r="X38" s="85" t="s">
        <v>8</v>
      </c>
      <c r="Y38" s="4">
        <f t="shared" ref="Y38" si="110">VLOOKUP(X38,Master_Frequencies,2,FALSE)/POWER(2,$Z$25)</f>
        <v>246.83013199816389</v>
      </c>
      <c r="Z38" s="47">
        <f t="shared" ref="Z38" si="111">VLOOKUP(X38,Master_Frequencies,2,FALSE)*POWER(2,$Z$25)</f>
        <v>987.32052799265557</v>
      </c>
    </row>
    <row r="39" spans="2:26" x14ac:dyDescent="0.2">
      <c r="Q39" s="100">
        <v>13</v>
      </c>
      <c r="R39" s="50">
        <f t="shared" si="27"/>
        <v>3417.3017635402657</v>
      </c>
      <c r="S39" s="98">
        <v>3</v>
      </c>
      <c r="T39" s="53">
        <f t="shared" si="28"/>
        <v>427.16272044253321</v>
      </c>
      <c r="U39" s="50" t="str" cm="1">
        <f t="array" ref="U39">_xlfn.XLOOKUP(0,ABS($C$44:$C$56-T39),$B$44:$B$56,,1)</f>
        <v>G#</v>
      </c>
      <c r="V39" s="48">
        <f t="shared" ref="V39" si="112">LOG(T39/VLOOKUP(U39,Master_Frequencies,2,FALSE),2)*1200</f>
        <v>43.655663153930519</v>
      </c>
      <c r="X39" s="87" t="s">
        <v>78</v>
      </c>
      <c r="Y39" s="53">
        <f t="shared" ref="Y39" si="113">VLOOKUP(X39,Master_Frequencies,2,FALSE)/POWER(2,$Z$25)</f>
        <v>262.86936642617428</v>
      </c>
      <c r="Z39" s="48">
        <f t="shared" ref="Z39" si="114">VLOOKUP(X39,Master_Frequencies,2,FALSE)*POWER(2,$Z$25)</f>
        <v>1051.4774657046971</v>
      </c>
    </row>
    <row r="40" spans="2:26" ht="16" x14ac:dyDescent="0.2">
      <c r="B40" s="247" t="s">
        <v>63</v>
      </c>
    </row>
    <row r="41" spans="2:26" ht="17" thickBot="1" x14ac:dyDescent="0.25">
      <c r="B41" s="247"/>
    </row>
    <row r="42" spans="2:26" ht="16" thickTop="1" x14ac:dyDescent="0.2">
      <c r="B42" s="308" t="s">
        <v>138</v>
      </c>
      <c r="C42" s="309"/>
    </row>
    <row r="43" spans="2:26" ht="32" x14ac:dyDescent="0.2">
      <c r="B43" s="90" t="s">
        <v>14</v>
      </c>
      <c r="C43" s="91" t="s">
        <v>15</v>
      </c>
    </row>
    <row r="44" spans="2:26" x14ac:dyDescent="0.2">
      <c r="B44" s="92" t="s">
        <v>2</v>
      </c>
      <c r="C44" s="93">
        <f>VLOOKUP(B44,$B$9:$H$21,7,FALSE)</f>
        <v>262.86936642617428</v>
      </c>
    </row>
    <row r="45" spans="2:26" x14ac:dyDescent="0.2">
      <c r="B45" s="92" t="s">
        <v>74</v>
      </c>
      <c r="C45" s="93">
        <f t="shared" ref="C45:C56" si="115">VLOOKUP(B45,$B$9:$H$21,7,FALSE)</f>
        <v>277.68389849793436</v>
      </c>
    </row>
    <row r="46" spans="2:26" x14ac:dyDescent="0.2">
      <c r="B46" s="92" t="s">
        <v>3</v>
      </c>
      <c r="C46" s="93">
        <f t="shared" si="115"/>
        <v>294.12940556439054</v>
      </c>
    </row>
    <row r="47" spans="2:26" x14ac:dyDescent="0.2">
      <c r="B47" s="92" t="s">
        <v>76</v>
      </c>
      <c r="C47" s="93">
        <f t="shared" si="115"/>
        <v>311.54887872731769</v>
      </c>
    </row>
    <row r="48" spans="2:26" x14ac:dyDescent="0.2">
      <c r="B48" s="92" t="s">
        <v>4</v>
      </c>
      <c r="C48" s="93">
        <f t="shared" si="115"/>
        <v>330</v>
      </c>
    </row>
    <row r="49" spans="2:3" x14ac:dyDescent="0.2">
      <c r="B49" s="92" t="s">
        <v>5</v>
      </c>
      <c r="C49" s="93">
        <f t="shared" si="115"/>
        <v>350.49248856823237</v>
      </c>
    </row>
    <row r="50" spans="2:3" x14ac:dyDescent="0.2">
      <c r="B50" s="92" t="s">
        <v>70</v>
      </c>
      <c r="C50" s="93">
        <f t="shared" si="115"/>
        <v>370.24519799724584</v>
      </c>
    </row>
    <row r="51" spans="2:3" x14ac:dyDescent="0.2">
      <c r="B51" s="92" t="s">
        <v>6</v>
      </c>
      <c r="C51" s="93">
        <f t="shared" si="115"/>
        <v>393.23685098937153</v>
      </c>
    </row>
    <row r="52" spans="2:3" x14ac:dyDescent="0.2">
      <c r="B52" s="92" t="s">
        <v>72</v>
      </c>
      <c r="C52" s="93">
        <f t="shared" si="115"/>
        <v>416.52584774690155</v>
      </c>
    </row>
    <row r="53" spans="2:3" x14ac:dyDescent="0.2">
      <c r="B53" s="92" t="s">
        <v>7</v>
      </c>
      <c r="C53" s="93">
        <f t="shared" si="115"/>
        <v>440</v>
      </c>
    </row>
    <row r="54" spans="2:3" x14ac:dyDescent="0.2">
      <c r="B54" s="92" t="s">
        <v>73</v>
      </c>
      <c r="C54" s="93">
        <f t="shared" si="115"/>
        <v>467.3233180909765</v>
      </c>
    </row>
    <row r="55" spans="2:3" x14ac:dyDescent="0.2">
      <c r="B55" s="92" t="s">
        <v>8</v>
      </c>
      <c r="C55" s="93">
        <f t="shared" si="115"/>
        <v>493.66026399632779</v>
      </c>
    </row>
    <row r="56" spans="2:3" ht="16" thickBot="1" x14ac:dyDescent="0.25">
      <c r="B56" s="94" t="s">
        <v>78</v>
      </c>
      <c r="C56" s="95">
        <f t="shared" si="115"/>
        <v>525.73873285234856</v>
      </c>
    </row>
    <row r="57" spans="2:3" ht="16" thickTop="1" x14ac:dyDescent="0.2"/>
  </sheetData>
  <sheetProtection sheet="1" scenarios="1" formatCells="0"/>
  <mergeCells count="9">
    <mergeCell ref="B1:G1"/>
    <mergeCell ref="B7:H7"/>
    <mergeCell ref="J7:N7"/>
    <mergeCell ref="P7:U7"/>
    <mergeCell ref="X24:Z24"/>
    <mergeCell ref="B25:D25"/>
    <mergeCell ref="I25:O25"/>
    <mergeCell ref="Q25:V25"/>
    <mergeCell ref="B42:C42"/>
  </mergeCells>
  <conditionalFormatting sqref="A1:XFD1048576">
    <cfRule type="expression" dxfId="81" priority="1">
      <formula>CELL("protect",A1)=0</formula>
    </cfRule>
    <cfRule type="expression" dxfId="80"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CCEFCAED-8E8B-1E4F-B11B-D8F26C3CC53D}">
      <formula1>Units</formula1>
    </dataValidation>
  </dataValidations>
  <hyperlinks>
    <hyperlink ref="B40" location="Overview!A1" display="Back to Overview" xr:uid="{46D5E75B-F79B-8C43-8576-856A25FBB7A3}"/>
    <hyperlink ref="B4" location="Overview!A1" display="Back to Overview" xr:uid="{9A5DEFF1-CFAB-2748-9956-F46A144290CC}"/>
  </hyperlink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0BE12-801E-0949-8A6A-44FC0878739D}">
  <sheetPr codeName="Sheet25">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549</v>
      </c>
      <c r="C1" s="289"/>
      <c r="D1" s="289"/>
      <c r="E1" s="289"/>
      <c r="F1" s="289"/>
      <c r="G1" s="289"/>
      <c r="P1" s="4" t="s">
        <v>478</v>
      </c>
    </row>
    <row r="2" spans="2:23" s="70" customFormat="1" ht="48" x14ac:dyDescent="0.2">
      <c r="D2" s="154" t="s">
        <v>84</v>
      </c>
      <c r="E2" s="72" t="str">
        <f>D2</f>
        <v>Pythagorean Comma</v>
      </c>
      <c r="F2" s="72" t="str">
        <f>_xlfn.CONCAT("1/",D3," ",D2)</f>
        <v>1/5 Pythagorean Comma</v>
      </c>
      <c r="G2" s="102"/>
      <c r="H2" s="103" t="s">
        <v>143</v>
      </c>
      <c r="I2" s="161">
        <v>440</v>
      </c>
      <c r="J2" s="103" t="str">
        <f>_xlfn.CONCAT("C for A=", I2,":")</f>
        <v>C for A=440:</v>
      </c>
      <c r="K2" s="70">
        <f>I2*2*8/27*POWER($F$3,$D$13-$D$10)</f>
        <v>262.86936642617428</v>
      </c>
      <c r="L2" s="103"/>
      <c r="U2" s="103"/>
      <c r="V2" s="103"/>
      <c r="W2" s="103"/>
    </row>
    <row r="3" spans="2:23" ht="16" x14ac:dyDescent="0.2">
      <c r="B3" s="105"/>
      <c r="C3" s="74" t="s">
        <v>125</v>
      </c>
      <c r="D3" s="155">
        <v>5</v>
      </c>
      <c r="E3" s="1">
        <f>IF(D2="Pythagorean Comma",524288/531441,IF(D2="Syntonic Comma",80/81,IF(D2="Cents",1/POWER(2,1/1200),"Not in List")))</f>
        <v>0.98654036854514426</v>
      </c>
      <c r="F3" s="132">
        <f>POWER(E3,1/D3)</f>
        <v>0.997293462618844</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07" t="s">
        <v>2</v>
      </c>
      <c r="C10" s="185">
        <v>0</v>
      </c>
      <c r="D10" s="4">
        <f>C10</f>
        <v>0</v>
      </c>
      <c r="E10" s="109">
        <f>K2</f>
        <v>262.86936642617428</v>
      </c>
      <c r="G10" s="97">
        <v>0</v>
      </c>
      <c r="H10" s="188">
        <f t="shared" ref="H10:H22" si="0">E10/POWER(2,G10)</f>
        <v>262.86936642617428</v>
      </c>
      <c r="J10" s="85" t="s">
        <v>2</v>
      </c>
      <c r="K10" s="4">
        <f t="shared" ref="K10:K22" si="1">VLOOKUP(J10,Master_Frequencies,2,FALSE)</f>
        <v>262.86936642617428</v>
      </c>
      <c r="L10" s="4">
        <f t="shared" ref="L10:L22" si="2">LOG(K10/K$10,2)*1200</f>
        <v>0</v>
      </c>
      <c r="N10" s="158">
        <v>3600</v>
      </c>
      <c r="P10" s="123" t="str">
        <f>J10</f>
        <v>C</v>
      </c>
      <c r="Q10" s="4">
        <f>E10</f>
        <v>262.86936642617428</v>
      </c>
      <c r="R10" s="4">
        <f>LOG(K10/Q10,2)*1200</f>
        <v>0</v>
      </c>
      <c r="S10" s="145" t="str">
        <f t="shared" ref="S10:S22" si="3">B10</f>
        <v>C</v>
      </c>
      <c r="T10" s="4">
        <f t="shared" ref="T10:T22" si="4">VLOOKUP(S10,Master_Frequencies,2,FALSE)</f>
        <v>262.86936642617428</v>
      </c>
      <c r="U10" s="47">
        <f t="shared" ref="U10:U22" si="5">VLOOKUP(S10,$P$10:$R$22,3,FALSE)</f>
        <v>0</v>
      </c>
    </row>
    <row r="11" spans="2:23" x14ac:dyDescent="0.2">
      <c r="B11" s="107" t="s">
        <v>6</v>
      </c>
      <c r="C11" s="185">
        <v>-1</v>
      </c>
      <c r="D11" s="4">
        <f>D10+C11</f>
        <v>-1</v>
      </c>
      <c r="E11" s="4">
        <f t="shared" ref="E11:E22" si="6">IF(C11&lt;0,(E10*3/2)*POWER($F$3,ABS(C11)),(E10*3/2)*POWER(1/$F$3,ABS(C11)))</f>
        <v>393.23685098937153</v>
      </c>
      <c r="F11" s="4">
        <f t="shared" ref="F11:F22" si="7">LOG(E11/E10,2)*1200</f>
        <v>697.26299878845759</v>
      </c>
      <c r="G11" s="97">
        <v>0</v>
      </c>
      <c r="H11" s="188">
        <f t="shared" si="0"/>
        <v>393.23685098937153</v>
      </c>
      <c r="J11" s="85" t="s">
        <v>74</v>
      </c>
      <c r="K11" s="4">
        <f t="shared" si="1"/>
        <v>276.93233664650461</v>
      </c>
      <c r="L11" s="4">
        <f t="shared" si="2"/>
        <v>90.224995673063063</v>
      </c>
      <c r="M11" s="4">
        <f t="shared" ref="M11:M22" si="8">LOG(K11/K10,2)*1200</f>
        <v>90.224995673063063</v>
      </c>
      <c r="N11" s="47">
        <f t="shared" ref="N11:N22" si="9">N$10*K$10/K11</f>
        <v>3417.1874999999995</v>
      </c>
      <c r="P11" s="123" t="str">
        <f t="shared" ref="P11:P22" si="10">J11</f>
        <v>C#</v>
      </c>
      <c r="Q11" s="4">
        <f t="shared" ref="Q11:Q22" si="11">Q10*POWER($Q$10*2/$Q$10,1/12)</f>
        <v>278.50039236614208</v>
      </c>
      <c r="R11" s="4">
        <f t="shared" ref="R11:R22" si="12">LOG(K11/Q11,2)*1200</f>
        <v>-9.7750043269371272</v>
      </c>
      <c r="S11" s="145" t="str">
        <f t="shared" si="3"/>
        <v>G</v>
      </c>
      <c r="T11" s="4">
        <f t="shared" si="4"/>
        <v>393.23685098937153</v>
      </c>
      <c r="U11" s="47">
        <f t="shared" si="5"/>
        <v>-2.7370012115429714</v>
      </c>
    </row>
    <row r="12" spans="2:23" x14ac:dyDescent="0.2">
      <c r="B12" s="107" t="s">
        <v>3</v>
      </c>
      <c r="C12" s="185">
        <v>-1</v>
      </c>
      <c r="D12" s="4">
        <f t="shared" ref="D12:D22" si="13">D11+C12</f>
        <v>-2</v>
      </c>
      <c r="E12" s="4">
        <f t="shared" si="6"/>
        <v>588.25881112878108</v>
      </c>
      <c r="F12" s="4">
        <f t="shared" si="7"/>
        <v>697.26299878845759</v>
      </c>
      <c r="G12" s="97">
        <v>1</v>
      </c>
      <c r="H12" s="188">
        <f t="shared" si="0"/>
        <v>294.12940556439054</v>
      </c>
      <c r="J12" s="85" t="s">
        <v>3</v>
      </c>
      <c r="K12" s="4">
        <f t="shared" si="1"/>
        <v>294.12940556439054</v>
      </c>
      <c r="L12" s="4">
        <f t="shared" si="2"/>
        <v>194.52599757691516</v>
      </c>
      <c r="M12" s="4">
        <f t="shared" si="8"/>
        <v>104.30100190385198</v>
      </c>
      <c r="N12" s="47">
        <f t="shared" si="9"/>
        <v>3217.3924171857675</v>
      </c>
      <c r="P12" s="123" t="str">
        <f t="shared" si="10"/>
        <v>D</v>
      </c>
      <c r="Q12" s="4">
        <f t="shared" si="11"/>
        <v>295.06088747651074</v>
      </c>
      <c r="R12" s="4">
        <f t="shared" si="12"/>
        <v>-5.4740024230851878</v>
      </c>
      <c r="S12" s="145" t="str">
        <f t="shared" si="3"/>
        <v>D</v>
      </c>
      <c r="T12" s="4">
        <f t="shared" si="4"/>
        <v>294.12940556439054</v>
      </c>
      <c r="U12" s="47">
        <f t="shared" si="5"/>
        <v>-5.4740024230851878</v>
      </c>
    </row>
    <row r="13" spans="2:23" x14ac:dyDescent="0.2">
      <c r="B13" s="107" t="s">
        <v>7</v>
      </c>
      <c r="C13" s="185">
        <v>-1</v>
      </c>
      <c r="D13" s="4">
        <f t="shared" si="13"/>
        <v>-3</v>
      </c>
      <c r="E13" s="4">
        <f t="shared" si="6"/>
        <v>880</v>
      </c>
      <c r="F13" s="4">
        <f t="shared" si="7"/>
        <v>697.26299878845794</v>
      </c>
      <c r="G13" s="97">
        <v>1</v>
      </c>
      <c r="H13" s="188">
        <f t="shared" si="0"/>
        <v>440</v>
      </c>
      <c r="J13" s="85" t="s">
        <v>76</v>
      </c>
      <c r="K13" s="4">
        <f t="shared" si="1"/>
        <v>311.54887872731769</v>
      </c>
      <c r="L13" s="4">
        <f t="shared" si="2"/>
        <v>294.13499740383799</v>
      </c>
      <c r="M13" s="4">
        <f t="shared" si="8"/>
        <v>99.608999826922741</v>
      </c>
      <c r="N13" s="47">
        <f t="shared" si="9"/>
        <v>3037.4999999999995</v>
      </c>
      <c r="P13" s="123" t="str">
        <f t="shared" si="10"/>
        <v>D#</v>
      </c>
      <c r="Q13" s="4">
        <f t="shared" si="11"/>
        <v>312.60612087026391</v>
      </c>
      <c r="R13" s="4">
        <f t="shared" si="12"/>
        <v>-5.8650025961624666</v>
      </c>
      <c r="S13" s="145" t="str">
        <f t="shared" si="3"/>
        <v>A</v>
      </c>
      <c r="T13" s="4">
        <f t="shared" si="4"/>
        <v>440</v>
      </c>
      <c r="U13" s="47">
        <f t="shared" si="5"/>
        <v>-8.2110036346280708</v>
      </c>
    </row>
    <row r="14" spans="2:23" x14ac:dyDescent="0.2">
      <c r="B14" s="107" t="s">
        <v>4</v>
      </c>
      <c r="C14" s="185">
        <v>-1</v>
      </c>
      <c r="D14" s="4">
        <f t="shared" si="13"/>
        <v>-4</v>
      </c>
      <c r="E14" s="4">
        <f t="shared" si="6"/>
        <v>1316.427370656874</v>
      </c>
      <c r="F14" s="4">
        <f t="shared" si="7"/>
        <v>697.26299878845759</v>
      </c>
      <c r="G14" s="97">
        <v>2</v>
      </c>
      <c r="H14" s="188">
        <f t="shared" si="0"/>
        <v>329.1068426642185</v>
      </c>
      <c r="J14" s="85" t="s">
        <v>4</v>
      </c>
      <c r="K14" s="4">
        <f t="shared" si="1"/>
        <v>329.1068426642185</v>
      </c>
      <c r="L14" s="4">
        <f t="shared" si="2"/>
        <v>389.05199515383032</v>
      </c>
      <c r="M14" s="4">
        <f t="shared" si="8"/>
        <v>94.916997749992618</v>
      </c>
      <c r="N14" s="47">
        <f t="shared" si="9"/>
        <v>2875.4483239345764</v>
      </c>
      <c r="P14" s="123" t="str">
        <f t="shared" si="10"/>
        <v>E</v>
      </c>
      <c r="Q14" s="4">
        <f t="shared" si="11"/>
        <v>331.19464813286567</v>
      </c>
      <c r="R14" s="4">
        <f t="shared" si="12"/>
        <v>-10.948004846169963</v>
      </c>
      <c r="S14" s="145" t="str">
        <f t="shared" si="3"/>
        <v>E</v>
      </c>
      <c r="T14" s="4">
        <f t="shared" si="4"/>
        <v>329.1068426642185</v>
      </c>
      <c r="U14" s="47">
        <f t="shared" si="5"/>
        <v>-10.948004846169963</v>
      </c>
    </row>
    <row r="15" spans="2:23" x14ac:dyDescent="0.2">
      <c r="B15" s="107" t="s">
        <v>8</v>
      </c>
      <c r="C15" s="185">
        <v>-1</v>
      </c>
      <c r="D15" s="4">
        <f t="shared" si="13"/>
        <v>-5</v>
      </c>
      <c r="E15" s="4">
        <f t="shared" si="6"/>
        <v>1969.2966161529216</v>
      </c>
      <c r="F15" s="4">
        <f t="shared" si="7"/>
        <v>697.26299878845794</v>
      </c>
      <c r="G15" s="97">
        <v>2</v>
      </c>
      <c r="H15" s="188">
        <f t="shared" si="0"/>
        <v>492.3241540382304</v>
      </c>
      <c r="J15" s="85" t="s">
        <v>5</v>
      </c>
      <c r="K15" s="4">
        <f t="shared" si="1"/>
        <v>350.49248856823237</v>
      </c>
      <c r="L15" s="4">
        <f t="shared" si="2"/>
        <v>498.04499913461245</v>
      </c>
      <c r="M15" s="4">
        <f t="shared" si="8"/>
        <v>108.99300398078211</v>
      </c>
      <c r="N15" s="47">
        <f t="shared" si="9"/>
        <v>2700</v>
      </c>
      <c r="P15" s="123" t="str">
        <f t="shared" si="10"/>
        <v>F</v>
      </c>
      <c r="Q15" s="4">
        <f t="shared" si="11"/>
        <v>350.88850674608386</v>
      </c>
      <c r="R15" s="4">
        <f t="shared" si="12"/>
        <v>-1.9550008653877775</v>
      </c>
      <c r="S15" s="145" t="str">
        <f t="shared" si="3"/>
        <v>B</v>
      </c>
      <c r="T15" s="4">
        <f t="shared" si="4"/>
        <v>492.3241540382304</v>
      </c>
      <c r="U15" s="47">
        <f t="shared" si="5"/>
        <v>-13.685006057712771</v>
      </c>
    </row>
    <row r="16" spans="2:23" x14ac:dyDescent="0.2">
      <c r="B16" s="107" t="s">
        <v>70</v>
      </c>
      <c r="C16" s="185">
        <v>0</v>
      </c>
      <c r="D16" s="4">
        <f t="shared" si="13"/>
        <v>-5</v>
      </c>
      <c r="E16" s="4">
        <f t="shared" si="6"/>
        <v>2953.9449242293822</v>
      </c>
      <c r="F16" s="4">
        <f t="shared" si="7"/>
        <v>701.95500086538721</v>
      </c>
      <c r="G16" s="97">
        <v>3</v>
      </c>
      <c r="H16" s="188">
        <f t="shared" si="0"/>
        <v>369.24311552867277</v>
      </c>
      <c r="J16" s="85" t="s">
        <v>70</v>
      </c>
      <c r="K16" s="4">
        <f t="shared" si="1"/>
        <v>369.24311552867277</v>
      </c>
      <c r="L16" s="4">
        <f t="shared" si="2"/>
        <v>588.2699948076754</v>
      </c>
      <c r="M16" s="4">
        <f t="shared" si="8"/>
        <v>90.224995673062693</v>
      </c>
      <c r="N16" s="47">
        <f t="shared" si="9"/>
        <v>2562.890625</v>
      </c>
      <c r="P16" s="123" t="str">
        <f t="shared" si="10"/>
        <v>F#</v>
      </c>
      <c r="Q16" s="4">
        <f t="shared" si="11"/>
        <v>371.75342313231846</v>
      </c>
      <c r="R16" s="4">
        <f t="shared" si="12"/>
        <v>-11.730005192324823</v>
      </c>
      <c r="S16" s="145" t="str">
        <f t="shared" si="3"/>
        <v>F#</v>
      </c>
      <c r="T16" s="4">
        <f t="shared" si="4"/>
        <v>369.24311552867277</v>
      </c>
      <c r="U16" s="47">
        <f t="shared" si="5"/>
        <v>-11.730005192324823</v>
      </c>
    </row>
    <row r="17" spans="2:26" x14ac:dyDescent="0.2">
      <c r="B17" s="107" t="s">
        <v>74</v>
      </c>
      <c r="C17" s="185">
        <v>0</v>
      </c>
      <c r="D17" s="4">
        <f t="shared" si="13"/>
        <v>-5</v>
      </c>
      <c r="E17" s="4">
        <f t="shared" si="6"/>
        <v>4430.9173863440737</v>
      </c>
      <c r="F17" s="4">
        <f t="shared" si="7"/>
        <v>701.95500086538766</v>
      </c>
      <c r="G17" s="97">
        <v>4</v>
      </c>
      <c r="H17" s="188">
        <f t="shared" si="0"/>
        <v>276.93233664650461</v>
      </c>
      <c r="J17" s="85" t="s">
        <v>6</v>
      </c>
      <c r="K17" s="4">
        <f t="shared" si="1"/>
        <v>393.23685098937153</v>
      </c>
      <c r="L17" s="4">
        <f t="shared" si="2"/>
        <v>697.26299878845759</v>
      </c>
      <c r="M17" s="4">
        <f t="shared" si="8"/>
        <v>108.99300398078211</v>
      </c>
      <c r="N17" s="47">
        <f t="shared" si="9"/>
        <v>2406.5133182541044</v>
      </c>
      <c r="P17" s="123" t="str">
        <f t="shared" si="10"/>
        <v>G</v>
      </c>
      <c r="Q17" s="4">
        <f t="shared" si="11"/>
        <v>393.85903201042657</v>
      </c>
      <c r="R17" s="4">
        <f t="shared" si="12"/>
        <v>-2.7370012115429714</v>
      </c>
      <c r="S17" s="145" t="str">
        <f t="shared" si="3"/>
        <v>C#</v>
      </c>
      <c r="T17" s="4">
        <f t="shared" si="4"/>
        <v>276.93233664650461</v>
      </c>
      <c r="U17" s="47">
        <f t="shared" si="5"/>
        <v>-9.7750043269371272</v>
      </c>
    </row>
    <row r="18" spans="2:26" x14ac:dyDescent="0.2">
      <c r="B18" s="107" t="s">
        <v>72</v>
      </c>
      <c r="C18" s="185">
        <v>0</v>
      </c>
      <c r="D18" s="4">
        <f t="shared" si="13"/>
        <v>-5</v>
      </c>
      <c r="E18" s="4">
        <f t="shared" si="6"/>
        <v>6646.3760795161106</v>
      </c>
      <c r="F18" s="4">
        <f t="shared" si="7"/>
        <v>701.95500086538743</v>
      </c>
      <c r="G18" s="97">
        <v>4</v>
      </c>
      <c r="H18" s="188">
        <f t="shared" si="0"/>
        <v>415.39850496975691</v>
      </c>
      <c r="J18" s="85" t="s">
        <v>72</v>
      </c>
      <c r="K18" s="4">
        <f t="shared" si="1"/>
        <v>415.39850496975691</v>
      </c>
      <c r="L18" s="4">
        <f t="shared" si="2"/>
        <v>792.17999653845038</v>
      </c>
      <c r="M18" s="4">
        <f t="shared" si="8"/>
        <v>94.916997749992973</v>
      </c>
      <c r="N18" s="47">
        <f t="shared" si="9"/>
        <v>2278.1249999999995</v>
      </c>
      <c r="P18" s="123" t="str">
        <f t="shared" si="10"/>
        <v>G#</v>
      </c>
      <c r="Q18" s="4">
        <f t="shared" si="11"/>
        <v>417.27910879512331</v>
      </c>
      <c r="R18" s="4">
        <f t="shared" si="12"/>
        <v>-7.8200034615502698</v>
      </c>
      <c r="S18" s="145" t="str">
        <f t="shared" si="3"/>
        <v>G#</v>
      </c>
      <c r="T18" s="4">
        <f t="shared" si="4"/>
        <v>415.39850496975691</v>
      </c>
      <c r="U18" s="47">
        <f t="shared" si="5"/>
        <v>-7.8200034615502698</v>
      </c>
    </row>
    <row r="19" spans="2:26" x14ac:dyDescent="0.2">
      <c r="B19" s="107" t="s">
        <v>76</v>
      </c>
      <c r="C19" s="185">
        <v>0</v>
      </c>
      <c r="D19" s="4">
        <f t="shared" si="13"/>
        <v>-5</v>
      </c>
      <c r="E19" s="4">
        <f t="shared" si="6"/>
        <v>9969.5641192741659</v>
      </c>
      <c r="F19" s="4">
        <f t="shared" si="7"/>
        <v>701.95500086538743</v>
      </c>
      <c r="G19" s="97">
        <v>5</v>
      </c>
      <c r="H19" s="188">
        <f t="shared" si="0"/>
        <v>311.54887872731769</v>
      </c>
      <c r="J19" s="85" t="s">
        <v>7</v>
      </c>
      <c r="K19" s="4">
        <f t="shared" si="1"/>
        <v>440</v>
      </c>
      <c r="L19" s="4">
        <f t="shared" si="2"/>
        <v>891.78899636537278</v>
      </c>
      <c r="M19" s="4">
        <f t="shared" si="8"/>
        <v>99.6089998269224</v>
      </c>
      <c r="N19" s="47">
        <f t="shared" si="9"/>
        <v>2150.7493616686984</v>
      </c>
      <c r="P19" s="123" t="str">
        <f t="shared" si="10"/>
        <v>A</v>
      </c>
      <c r="Q19" s="4">
        <f t="shared" si="11"/>
        <v>442.09181581557038</v>
      </c>
      <c r="R19" s="4">
        <f t="shared" si="12"/>
        <v>-8.2110036346280708</v>
      </c>
      <c r="S19" s="145" t="str">
        <f t="shared" si="3"/>
        <v>D#</v>
      </c>
      <c r="T19" s="4">
        <f t="shared" si="4"/>
        <v>311.54887872731769</v>
      </c>
      <c r="U19" s="47">
        <f t="shared" si="5"/>
        <v>-5.8650025961624666</v>
      </c>
    </row>
    <row r="20" spans="2:26" x14ac:dyDescent="0.2">
      <c r="B20" s="107" t="s">
        <v>73</v>
      </c>
      <c r="C20" s="185">
        <v>0</v>
      </c>
      <c r="D20" s="4">
        <f t="shared" si="13"/>
        <v>-5</v>
      </c>
      <c r="E20" s="4">
        <f t="shared" si="6"/>
        <v>14954.346178911248</v>
      </c>
      <c r="F20" s="4">
        <f t="shared" si="7"/>
        <v>701.95500086538743</v>
      </c>
      <c r="G20" s="97">
        <v>5</v>
      </c>
      <c r="H20" s="188">
        <f t="shared" si="0"/>
        <v>467.3233180909765</v>
      </c>
      <c r="J20" s="85" t="s">
        <v>73</v>
      </c>
      <c r="K20" s="4">
        <f t="shared" si="1"/>
        <v>467.3233180909765</v>
      </c>
      <c r="L20" s="4">
        <f t="shared" si="2"/>
        <v>996.08999826922513</v>
      </c>
      <c r="M20" s="4">
        <f t="shared" si="8"/>
        <v>104.30100190385235</v>
      </c>
      <c r="N20" s="47">
        <f t="shared" si="9"/>
        <v>2025</v>
      </c>
      <c r="P20" s="123" t="str">
        <f t="shared" si="10"/>
        <v>A#</v>
      </c>
      <c r="Q20" s="4">
        <f t="shared" si="11"/>
        <v>468.37996317488387</v>
      </c>
      <c r="R20" s="4">
        <f t="shared" si="12"/>
        <v>-3.910001730775829</v>
      </c>
      <c r="S20" s="145" t="str">
        <f t="shared" si="3"/>
        <v>A#</v>
      </c>
      <c r="T20" s="4">
        <f t="shared" si="4"/>
        <v>467.3233180909765</v>
      </c>
      <c r="U20" s="47">
        <f t="shared" si="5"/>
        <v>-3.910001730775829</v>
      </c>
    </row>
    <row r="21" spans="2:26" x14ac:dyDescent="0.2">
      <c r="B21" s="107" t="s">
        <v>5</v>
      </c>
      <c r="C21" s="185">
        <v>0</v>
      </c>
      <c r="D21" s="4">
        <f t="shared" si="13"/>
        <v>-5</v>
      </c>
      <c r="E21" s="4">
        <f t="shared" si="6"/>
        <v>22431.519268366872</v>
      </c>
      <c r="F21" s="4">
        <f t="shared" si="7"/>
        <v>701.95500086538743</v>
      </c>
      <c r="G21" s="97">
        <v>6</v>
      </c>
      <c r="H21" s="188">
        <f t="shared" si="0"/>
        <v>350.49248856823237</v>
      </c>
      <c r="J21" s="85" t="s">
        <v>8</v>
      </c>
      <c r="K21" s="4">
        <f t="shared" si="1"/>
        <v>492.3241540382304</v>
      </c>
      <c r="L21" s="4">
        <f t="shared" si="2"/>
        <v>1086.3149939422883</v>
      </c>
      <c r="M21" s="4">
        <f t="shared" si="8"/>
        <v>90.224995673063063</v>
      </c>
      <c r="N21" s="47">
        <f t="shared" si="9"/>
        <v>1922.1679687499998</v>
      </c>
      <c r="P21" s="123" t="str">
        <f t="shared" si="10"/>
        <v>B</v>
      </c>
      <c r="Q21" s="4">
        <f t="shared" si="11"/>
        <v>496.23128512115522</v>
      </c>
      <c r="R21" s="4">
        <f t="shared" si="12"/>
        <v>-13.685006057712771</v>
      </c>
      <c r="S21" s="145" t="str">
        <f t="shared" si="3"/>
        <v>F</v>
      </c>
      <c r="T21" s="4">
        <f t="shared" si="4"/>
        <v>350.49248856823237</v>
      </c>
      <c r="U21" s="47">
        <f t="shared" si="5"/>
        <v>-1.9550008653877775</v>
      </c>
    </row>
    <row r="22" spans="2:26" x14ac:dyDescent="0.2">
      <c r="B22" s="108" t="s">
        <v>78</v>
      </c>
      <c r="C22" s="186">
        <v>0</v>
      </c>
      <c r="D22" s="53">
        <f t="shared" si="13"/>
        <v>-5</v>
      </c>
      <c r="E22" s="53">
        <f t="shared" si="6"/>
        <v>33647.278902550308</v>
      </c>
      <c r="F22" s="53">
        <f t="shared" si="7"/>
        <v>701.95500086538743</v>
      </c>
      <c r="G22" s="98">
        <v>6</v>
      </c>
      <c r="H22" s="48">
        <f t="shared" si="0"/>
        <v>525.73873285234856</v>
      </c>
      <c r="J22" s="87" t="s">
        <v>78</v>
      </c>
      <c r="K22" s="53">
        <f t="shared" si="1"/>
        <v>525.73873285234856</v>
      </c>
      <c r="L22" s="53">
        <f t="shared" si="2"/>
        <v>1200</v>
      </c>
      <c r="M22" s="53">
        <f t="shared" si="8"/>
        <v>113.68500605771193</v>
      </c>
      <c r="N22" s="48">
        <f t="shared" si="9"/>
        <v>1800</v>
      </c>
      <c r="P22" s="108" t="str">
        <f t="shared" si="10"/>
        <v>c oct.</v>
      </c>
      <c r="Q22" s="53">
        <f t="shared" si="11"/>
        <v>525.7387328523489</v>
      </c>
      <c r="R22" s="53">
        <f t="shared" si="12"/>
        <v>-1.1532335413733707E-12</v>
      </c>
      <c r="S22" s="151" t="str">
        <f t="shared" si="3"/>
        <v>c oct.</v>
      </c>
      <c r="T22" s="53">
        <f t="shared" si="4"/>
        <v>525.73873285234856</v>
      </c>
      <c r="U22" s="48">
        <f t="shared" si="5"/>
        <v>-1.1532335413733707E-12</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1</v>
      </c>
    </row>
    <row r="27" spans="2:26" s="84" customFormat="1" ht="64" x14ac:dyDescent="0.2">
      <c r="B27" s="83" t="s">
        <v>130</v>
      </c>
      <c r="C27" s="84" t="s">
        <v>131</v>
      </c>
      <c r="D27" s="84" t="s">
        <v>132</v>
      </c>
      <c r="E27" s="84" t="str" cm="1">
        <f t="array" aca="1" ref="E27" ca="1">_xlfn.CONCAT(_xlfn.TEXTAFTER(CELL("filename",A2),"]")," Interval in cents")</f>
        <v>Altstedt, Scholsskappelle 1 Interval in cents</v>
      </c>
      <c r="F27" s="84" t="s">
        <v>18</v>
      </c>
      <c r="G27" s="52" t="str">
        <f>_xlfn.CONCAT("diff ",$F$2)</f>
        <v>diff 1/5 Pythagorean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 si="14">LOG(D28*VLOOKUP(C28,Master_Frequencies,2,FALSE)/VLOOKUP(B28,Master_Frequencies,2,FALSE),2)*1200</f>
        <v>389.05199515383032</v>
      </c>
      <c r="F28" s="4">
        <f t="shared" ref="F28" si="15">VLOOKUP(B28,Master_Frequencies,2,FALSE)*5/4</f>
        <v>328.58670803271787</v>
      </c>
      <c r="G28" s="47">
        <f t="shared" ref="G28" si="16">IF($D$2="Cents",LOG(VLOOKUP(C28,Master_Frequencies,2,FALSE)/F28,2)*1200*$F$3,LOG(D28*VLOOKUP(C28,Master_Frequencies,2,FALSE)/F28,$F$3))</f>
        <v>-0.58360615449410391</v>
      </c>
      <c r="I28" s="123" t="s">
        <v>2</v>
      </c>
      <c r="J28" s="145" t="s">
        <v>6</v>
      </c>
      <c r="K28" s="97">
        <v>1</v>
      </c>
      <c r="L28" s="191">
        <f t="shared" ref="L28:L39" si="17">K28*VLOOKUP(J28,Master_Frequencies,2,FALSE)/VLOOKUP(I28,Master_Frequencies,2,FALSE)</f>
        <v>1.4959401939282659</v>
      </c>
      <c r="M28" s="145" t="s">
        <v>2</v>
      </c>
      <c r="N28" s="145" t="s">
        <v>4</v>
      </c>
      <c r="O28" s="191">
        <f t="shared" ref="O28:O39" si="18">D28*VLOOKUP(N28,Master_Frequencies,2,FALSE)/VLOOKUP(M28,Master_Frequencies,2,FALSE)</f>
        <v>1.2519786810405948</v>
      </c>
      <c r="Q28" s="99">
        <v>1</v>
      </c>
      <c r="R28" s="18">
        <f>$E$10*Q28</f>
        <v>262.86936642617428</v>
      </c>
      <c r="S28" s="97">
        <v>0</v>
      </c>
      <c r="T28" s="4">
        <f>R28/POWER(2,S28)</f>
        <v>262.86936642617428</v>
      </c>
      <c r="U28" s="18" t="str" cm="1">
        <f t="array" ref="U28">_xlfn.XLOOKUP(0,ABS($C$45:$C$57-T28),$B$45:$B$57,,1)</f>
        <v>C</v>
      </c>
      <c r="V28" s="47">
        <f t="shared" ref="V28" si="19">LOG(T28/VLOOKUP(U28,Master_Frequencies,2,FALSE),2)*1200</f>
        <v>0</v>
      </c>
      <c r="X28" s="85" t="s">
        <v>2</v>
      </c>
      <c r="Y28" s="4">
        <f t="shared" ref="Y28:Y40" si="20">VLOOKUP(X28,Master_Frequencies,2,FALSE)/POWER(2,$Z$26)</f>
        <v>131.43468321308714</v>
      </c>
      <c r="Z28" s="47">
        <f t="shared" ref="Z28:Z40" si="21">VLOOKUP(X28,Master_Frequencies,2,FALSE)*POWER(2,$Z$26)</f>
        <v>525.73873285234856</v>
      </c>
    </row>
    <row r="29" spans="2:26" x14ac:dyDescent="0.2">
      <c r="B29" s="123" t="s">
        <v>74</v>
      </c>
      <c r="C29" s="145" t="s">
        <v>5</v>
      </c>
      <c r="D29" s="97">
        <v>1</v>
      </c>
      <c r="E29" s="4">
        <f t="shared" ref="E29" si="22">LOG(D29*VLOOKUP(C29,Master_Frequencies,2,FALSE)/VLOOKUP(B29,Master_Frequencies,2,FALSE),2)*1200</f>
        <v>407.82000346154967</v>
      </c>
      <c r="F29" s="4">
        <f t="shared" ref="F29" si="23">VLOOKUP(B29,Master_Frequencies,2,FALSE)*5/4</f>
        <v>346.16542080813076</v>
      </c>
      <c r="G29" s="47">
        <f t="shared" ref="G29" si="24">IF($D$2="Cents",LOG(VLOOKUP(C29,Master_Frequencies,2,FALSE)/F29,2)*1200*$F$3,LOG(D29*VLOOKUP(C29,Master_Frequencies,2,FALSE)/F29,$F$3))</f>
        <v>-4.5836061544941638</v>
      </c>
      <c r="I29" s="123" t="s">
        <v>74</v>
      </c>
      <c r="J29" s="145" t="s">
        <v>72</v>
      </c>
      <c r="K29" s="97">
        <v>1</v>
      </c>
      <c r="L29" s="191">
        <f t="shared" si="17"/>
        <v>1.5</v>
      </c>
      <c r="M29" s="145" t="s">
        <v>74</v>
      </c>
      <c r="N29" s="145" t="s">
        <v>5</v>
      </c>
      <c r="O29" s="191">
        <f t="shared" si="18"/>
        <v>1.265625</v>
      </c>
      <c r="Q29" s="99">
        <v>2</v>
      </c>
      <c r="R29" s="18">
        <f t="shared" ref="R29:R40" si="25">$E$10*Q29</f>
        <v>525.73873285234856</v>
      </c>
      <c r="S29" s="97">
        <v>0</v>
      </c>
      <c r="T29" s="4">
        <f t="shared" ref="T29:T40" si="26">R29/POWER(2,S29)</f>
        <v>525.73873285234856</v>
      </c>
      <c r="U29" s="18" t="str" cm="1">
        <f t="array" ref="U29">_xlfn.XLOOKUP(0,ABS($C$45:$C$57-T29),$B$45:$B$57,,1)</f>
        <v>c oct.</v>
      </c>
      <c r="V29" s="47">
        <f t="shared" ref="V29" si="27">LOG(T29/VLOOKUP(U29,Master_Frequencies,2,FALSE),2)*1200</f>
        <v>0</v>
      </c>
      <c r="X29" s="85" t="s">
        <v>74</v>
      </c>
      <c r="Y29" s="4">
        <f t="shared" si="20"/>
        <v>138.4661683232523</v>
      </c>
      <c r="Z29" s="47">
        <f t="shared" si="21"/>
        <v>553.86467329300922</v>
      </c>
    </row>
    <row r="30" spans="2:26" x14ac:dyDescent="0.2">
      <c r="B30" s="123" t="s">
        <v>3</v>
      </c>
      <c r="C30" s="145" t="s">
        <v>70</v>
      </c>
      <c r="D30" s="97">
        <v>1</v>
      </c>
      <c r="E30" s="4">
        <f t="shared" ref="E30" si="28">LOG(D30*VLOOKUP(C30,Master_Frequencies,2,FALSE)/VLOOKUP(B30,Master_Frequencies,2,FALSE),2)*1200</f>
        <v>393.74399723076044</v>
      </c>
      <c r="F30" s="4">
        <f t="shared" ref="F30" si="29">VLOOKUP(B30,Master_Frequencies,2,FALSE)*5/4</f>
        <v>367.66175695548816</v>
      </c>
      <c r="G30" s="47">
        <f t="shared" ref="G30" si="30">IF($D$2="Cents",LOG(VLOOKUP(C30,Master_Frequencies,2,FALSE)/F30,2)*1200*$F$3,LOG(D30*VLOOKUP(C30,Master_Frequencies,2,FALSE)/F30,$F$3))</f>
        <v>-1.5836061544941904</v>
      </c>
      <c r="I30" s="123" t="s">
        <v>3</v>
      </c>
      <c r="J30" s="145" t="s">
        <v>7</v>
      </c>
      <c r="K30" s="97">
        <v>1</v>
      </c>
      <c r="L30" s="191">
        <f t="shared" si="17"/>
        <v>1.4959401939282662</v>
      </c>
      <c r="M30" s="145" t="s">
        <v>3</v>
      </c>
      <c r="N30" s="145" t="s">
        <v>70</v>
      </c>
      <c r="O30" s="191">
        <f t="shared" si="18"/>
        <v>1.2553764042059998</v>
      </c>
      <c r="Q30" s="99">
        <v>3</v>
      </c>
      <c r="R30" s="18">
        <f t="shared" si="25"/>
        <v>788.60809927852279</v>
      </c>
      <c r="S30" s="97">
        <v>1</v>
      </c>
      <c r="T30" s="4">
        <f t="shared" si="26"/>
        <v>394.30404963926139</v>
      </c>
      <c r="U30" s="18" t="str" cm="1">
        <f t="array" ref="U30">_xlfn.XLOOKUP(0,ABS($C$45:$C$57-T30),$B$45:$B$57,,1)</f>
        <v>G</v>
      </c>
      <c r="V30" s="47">
        <f t="shared" ref="V30" si="31">LOG(T30/VLOOKUP(U30,Master_Frequencies,2,FALSE),2)*1200</f>
        <v>4.6920020769296409</v>
      </c>
      <c r="X30" s="85" t="s">
        <v>3</v>
      </c>
      <c r="Y30" s="4">
        <f t="shared" si="20"/>
        <v>147.06470278219527</v>
      </c>
      <c r="Z30" s="47">
        <f t="shared" si="21"/>
        <v>588.25881112878108</v>
      </c>
    </row>
    <row r="31" spans="2:26" x14ac:dyDescent="0.2">
      <c r="B31" s="123" t="s">
        <v>76</v>
      </c>
      <c r="C31" s="145" t="s">
        <v>6</v>
      </c>
      <c r="D31" s="97">
        <v>1</v>
      </c>
      <c r="E31" s="4">
        <f t="shared" ref="E31" si="32">LOG(D31*VLOOKUP(C31,Master_Frequencies,2,FALSE)/VLOOKUP(B31,Master_Frequencies,2,FALSE),2)*1200</f>
        <v>403.12800138461955</v>
      </c>
      <c r="F31" s="4">
        <f t="shared" ref="F31" si="33">VLOOKUP(B31,Master_Frequencies,2,FALSE)*5/4</f>
        <v>389.43609840914712</v>
      </c>
      <c r="G31" s="47">
        <f t="shared" ref="G31" si="34">IF($D$2="Cents",LOG(VLOOKUP(C31,Master_Frequencies,2,FALSE)/F31,2)*1200*$F$3,LOG(D31*VLOOKUP(C31,Master_Frequencies,2,FALSE)/F31,$F$3))</f>
        <v>-3.5836061544940807</v>
      </c>
      <c r="I31" s="123" t="s">
        <v>76</v>
      </c>
      <c r="J31" s="145" t="s">
        <v>73</v>
      </c>
      <c r="K31" s="97">
        <v>1</v>
      </c>
      <c r="L31" s="191">
        <f t="shared" si="17"/>
        <v>1.5</v>
      </c>
      <c r="M31" s="145" t="s">
        <v>76</v>
      </c>
      <c r="N31" s="145" t="s">
        <v>6</v>
      </c>
      <c r="O31" s="191">
        <f t="shared" si="18"/>
        <v>1.2621995386269742</v>
      </c>
      <c r="Q31" s="99">
        <v>4</v>
      </c>
      <c r="R31" s="18">
        <f t="shared" si="25"/>
        <v>1051.4774657046971</v>
      </c>
      <c r="S31" s="97">
        <v>1</v>
      </c>
      <c r="T31" s="4">
        <f t="shared" si="26"/>
        <v>525.73873285234856</v>
      </c>
      <c r="U31" s="18" t="str" cm="1">
        <f t="array" ref="U31">_xlfn.XLOOKUP(0,ABS($C$45:$C$57-T31),$B$45:$B$57,,1)</f>
        <v>c oct.</v>
      </c>
      <c r="V31" s="47">
        <f t="shared" ref="V31" si="35">LOG(T31/VLOOKUP(U31,Master_Frequencies,2,FALSE),2)*1200</f>
        <v>0</v>
      </c>
      <c r="X31" s="85" t="s">
        <v>76</v>
      </c>
      <c r="Y31" s="4">
        <f t="shared" si="20"/>
        <v>155.77443936365884</v>
      </c>
      <c r="Z31" s="47">
        <f t="shared" si="21"/>
        <v>623.09775745463537</v>
      </c>
    </row>
    <row r="32" spans="2:26" x14ac:dyDescent="0.2">
      <c r="B32" s="123" t="s">
        <v>4</v>
      </c>
      <c r="C32" s="145" t="s">
        <v>72</v>
      </c>
      <c r="D32" s="97">
        <v>1</v>
      </c>
      <c r="E32" s="4">
        <f t="shared" ref="E32" si="36">LOG(D32*VLOOKUP(C32,Master_Frequencies,2,FALSE)/VLOOKUP(B32,Master_Frequencies,2,FALSE),2)*1200</f>
        <v>403.12800138462018</v>
      </c>
      <c r="F32" s="4">
        <f t="shared" ref="F32" si="37">VLOOKUP(B32,Master_Frequencies,2,FALSE)*5/4</f>
        <v>411.38355333027312</v>
      </c>
      <c r="G32" s="47">
        <f t="shared" ref="G32" si="38">IF($D$2="Cents",LOG(VLOOKUP(C32,Master_Frequencies,2,FALSE)/F32,2)*1200*$F$3,LOG(D32*VLOOKUP(C32,Master_Frequencies,2,FALSE)/F32,$F$3))</f>
        <v>-3.5836061544942428</v>
      </c>
      <c r="I32" s="123" t="s">
        <v>4</v>
      </c>
      <c r="J32" s="145" t="s">
        <v>8</v>
      </c>
      <c r="K32" s="97">
        <v>1</v>
      </c>
      <c r="L32" s="191">
        <f t="shared" si="17"/>
        <v>1.4959401939282662</v>
      </c>
      <c r="M32" s="145" t="s">
        <v>4</v>
      </c>
      <c r="N32" s="145" t="s">
        <v>72</v>
      </c>
      <c r="O32" s="191">
        <f t="shared" si="18"/>
        <v>1.2621995386269746</v>
      </c>
      <c r="Q32" s="99">
        <v>5</v>
      </c>
      <c r="R32" s="18">
        <f t="shared" si="25"/>
        <v>1314.3468321308715</v>
      </c>
      <c r="S32" s="97">
        <v>2</v>
      </c>
      <c r="T32" s="4">
        <f t="shared" si="26"/>
        <v>328.58670803271787</v>
      </c>
      <c r="U32" s="18" t="str" cm="1">
        <f t="array" ref="U32">_xlfn.XLOOKUP(0,ABS($C$45:$C$57-T32),$B$45:$B$57,,1)</f>
        <v>E</v>
      </c>
      <c r="V32" s="47">
        <f t="shared" ref="V32" si="39">LOG(T32/VLOOKUP(U32,Master_Frequencies,2,FALSE),2)*1200</f>
        <v>-2.7382812889954904</v>
      </c>
      <c r="X32" s="85" t="s">
        <v>4</v>
      </c>
      <c r="Y32" s="4">
        <f t="shared" si="20"/>
        <v>164.55342133210925</v>
      </c>
      <c r="Z32" s="47">
        <f t="shared" si="21"/>
        <v>658.21368532843701</v>
      </c>
    </row>
    <row r="33" spans="2:26" x14ac:dyDescent="0.2">
      <c r="B33" s="123" t="s">
        <v>5</v>
      </c>
      <c r="C33" s="145" t="s">
        <v>7</v>
      </c>
      <c r="D33" s="97">
        <v>1</v>
      </c>
      <c r="E33" s="4">
        <f t="shared" ref="E33" si="40">LOG(D33*VLOOKUP(C33,Master_Frequencies,2,FALSE)/VLOOKUP(B33,Master_Frequencies,2,FALSE),2)*1200</f>
        <v>393.7439972307601</v>
      </c>
      <c r="F33" s="4">
        <f t="shared" ref="F33" si="41">VLOOKUP(B33,Master_Frequencies,2,FALSE)*5/4</f>
        <v>438.11561071029047</v>
      </c>
      <c r="G33" s="47">
        <f t="shared" ref="G33" si="42">IF($D$2="Cents",LOG(VLOOKUP(C33,Master_Frequencies,2,FALSE)/F33,2)*1200*$F$3,LOG(D33*VLOOKUP(C33,Master_Frequencies,2,FALSE)/F33,$F$3))</f>
        <v>-1.5836061544941904</v>
      </c>
      <c r="I33" s="123" t="s">
        <v>5</v>
      </c>
      <c r="J33" s="145" t="s">
        <v>78</v>
      </c>
      <c r="K33" s="97">
        <v>1</v>
      </c>
      <c r="L33" s="191">
        <f t="shared" si="17"/>
        <v>1.5</v>
      </c>
      <c r="M33" s="145" t="s">
        <v>5</v>
      </c>
      <c r="N33" s="145" t="s">
        <v>7</v>
      </c>
      <c r="O33" s="191">
        <f t="shared" si="18"/>
        <v>1.2553764042059996</v>
      </c>
      <c r="Q33" s="99">
        <v>6</v>
      </c>
      <c r="R33" s="18">
        <f t="shared" si="25"/>
        <v>1577.2161985570456</v>
      </c>
      <c r="S33" s="97">
        <v>2</v>
      </c>
      <c r="T33" s="4">
        <f t="shared" si="26"/>
        <v>394.30404963926139</v>
      </c>
      <c r="U33" s="18" t="str" cm="1">
        <f t="array" ref="U33">_xlfn.XLOOKUP(0,ABS($C$45:$C$57-T33),$B$45:$B$57,,1)</f>
        <v>G</v>
      </c>
      <c r="V33" s="47">
        <f t="shared" ref="V33" si="43">LOG(T33/VLOOKUP(U33,Master_Frequencies,2,FALSE),2)*1200</f>
        <v>4.6920020769296409</v>
      </c>
      <c r="X33" s="85" t="s">
        <v>5</v>
      </c>
      <c r="Y33" s="4">
        <f t="shared" si="20"/>
        <v>175.24624428411619</v>
      </c>
      <c r="Z33" s="47">
        <f t="shared" si="21"/>
        <v>700.98497713646475</v>
      </c>
    </row>
    <row r="34" spans="2:26" x14ac:dyDescent="0.2">
      <c r="B34" s="123" t="s">
        <v>70</v>
      </c>
      <c r="C34" s="145" t="s">
        <v>73</v>
      </c>
      <c r="D34" s="97">
        <v>1</v>
      </c>
      <c r="E34" s="4">
        <f t="shared" ref="E34" si="44">LOG(D34*VLOOKUP(C34,Master_Frequencies,2,FALSE)/VLOOKUP(B34,Master_Frequencies,2,FALSE),2)*1200</f>
        <v>407.82000346154967</v>
      </c>
      <c r="F34" s="4">
        <f t="shared" ref="F34" si="45">VLOOKUP(B34,Master_Frequencies,2,FALSE)*5/4</f>
        <v>461.55389441084094</v>
      </c>
      <c r="G34" s="47">
        <f t="shared" ref="G34" si="46">IF($D$2="Cents",LOG(VLOOKUP(C34,Master_Frequencies,2,FALSE)/F34,2)*1200*$F$3,LOG(D34*VLOOKUP(C34,Master_Frequencies,2,FALSE)/F34,$F$3))</f>
        <v>-4.5836061544942446</v>
      </c>
      <c r="I34" s="123" t="s">
        <v>70</v>
      </c>
      <c r="J34" s="145" t="s">
        <v>74</v>
      </c>
      <c r="K34" s="97">
        <v>2</v>
      </c>
      <c r="L34" s="191">
        <f t="shared" si="17"/>
        <v>1.5000000000000002</v>
      </c>
      <c r="M34" s="145" t="s">
        <v>70</v>
      </c>
      <c r="N34" s="145" t="s">
        <v>73</v>
      </c>
      <c r="O34" s="191">
        <f t="shared" si="18"/>
        <v>1.265625</v>
      </c>
      <c r="Q34" s="99">
        <v>7</v>
      </c>
      <c r="R34" s="18">
        <f t="shared" si="25"/>
        <v>1840.0855649832199</v>
      </c>
      <c r="S34" s="97">
        <v>2</v>
      </c>
      <c r="T34" s="4">
        <f t="shared" si="26"/>
        <v>460.02139124580498</v>
      </c>
      <c r="U34" s="18" t="str" cm="1">
        <f t="array" ref="U34">_xlfn.XLOOKUP(0,ABS($C$45:$C$57-T34),$B$45:$B$57,,1)</f>
        <v>A#</v>
      </c>
      <c r="V34" s="47">
        <f t="shared" ref="V34" si="47">LOG(T34/VLOOKUP(U34,Master_Frequencies,2,FALSE),2)*1200</f>
        <v>-27.264091800100235</v>
      </c>
      <c r="X34" s="85" t="s">
        <v>70</v>
      </c>
      <c r="Y34" s="4">
        <f t="shared" si="20"/>
        <v>184.62155776433639</v>
      </c>
      <c r="Z34" s="47">
        <f t="shared" si="21"/>
        <v>738.48623105734555</v>
      </c>
    </row>
    <row r="35" spans="2:26" x14ac:dyDescent="0.2">
      <c r="B35" s="123" t="s">
        <v>6</v>
      </c>
      <c r="C35" s="145" t="s">
        <v>8</v>
      </c>
      <c r="D35" s="97">
        <v>1</v>
      </c>
      <c r="E35" s="4">
        <f t="shared" ref="E35" si="48">LOG(D35*VLOOKUP(C35,Master_Frequencies,2,FALSE)/VLOOKUP(B35,Master_Frequencies,2,FALSE),2)*1200</f>
        <v>389.05199515383066</v>
      </c>
      <c r="F35" s="4">
        <f t="shared" ref="F35" si="49">VLOOKUP(B35,Master_Frequencies,2,FALSE)*5/4</f>
        <v>491.54606373671442</v>
      </c>
      <c r="G35" s="47">
        <f t="shared" ref="G35" si="50">IF($D$2="Cents",LOG(VLOOKUP(C35,Master_Frequencies,2,FALSE)/F35,2)*1200*$F$3,LOG(D35*VLOOKUP(C35,Master_Frequencies,2,FALSE)/F35,$F$3))</f>
        <v>-0.58360615449418562</v>
      </c>
      <c r="I35" s="123" t="s">
        <v>6</v>
      </c>
      <c r="J35" s="145" t="s">
        <v>3</v>
      </c>
      <c r="K35" s="97">
        <v>2</v>
      </c>
      <c r="L35" s="191">
        <f t="shared" si="17"/>
        <v>1.4959401939282659</v>
      </c>
      <c r="M35" s="145" t="s">
        <v>6</v>
      </c>
      <c r="N35" s="145" t="s">
        <v>8</v>
      </c>
      <c r="O35" s="191">
        <f t="shared" si="18"/>
        <v>1.2519786810405951</v>
      </c>
      <c r="Q35" s="99">
        <v>8</v>
      </c>
      <c r="R35" s="18">
        <f t="shared" si="25"/>
        <v>2102.9549314093942</v>
      </c>
      <c r="S35" s="97">
        <v>3</v>
      </c>
      <c r="T35" s="4">
        <f t="shared" si="26"/>
        <v>262.86936642617428</v>
      </c>
      <c r="U35" s="18" t="str" cm="1">
        <f t="array" ref="U35">_xlfn.XLOOKUP(0,ABS($C$45:$C$57-T35),$B$45:$B$57,,1)</f>
        <v>C</v>
      </c>
      <c r="V35" s="47">
        <f t="shared" ref="V35" si="51">LOG(T35/VLOOKUP(U35,Master_Frequencies,2,FALSE),2)*1200</f>
        <v>0</v>
      </c>
      <c r="X35" s="85" t="s">
        <v>6</v>
      </c>
      <c r="Y35" s="4">
        <f t="shared" si="20"/>
        <v>196.61842549468577</v>
      </c>
      <c r="Z35" s="47">
        <f t="shared" si="21"/>
        <v>786.47370197874307</v>
      </c>
    </row>
    <row r="36" spans="2:26" x14ac:dyDescent="0.2">
      <c r="B36" s="123" t="s">
        <v>72</v>
      </c>
      <c r="C36" s="145" t="s">
        <v>78</v>
      </c>
      <c r="D36" s="97">
        <v>1</v>
      </c>
      <c r="E36" s="4">
        <f t="shared" ref="E36" si="52">LOG(D36*VLOOKUP(C36,Master_Frequencies,2,FALSE)/VLOOKUP(B36,Master_Frequencies,2,FALSE),2)*1200</f>
        <v>407.82000346154967</v>
      </c>
      <c r="F36" s="4">
        <f t="shared" ref="F36" si="53">VLOOKUP(B36,Master_Frequencies,2,FALSE)*5/4</f>
        <v>519.24813121219609</v>
      </c>
      <c r="G36" s="47">
        <f t="shared" ref="G36" si="54">IF($D$2="Cents",LOG(VLOOKUP(C36,Master_Frequencies,2,FALSE)/F36,2)*1200*$F$3,LOG(D36*VLOOKUP(C36,Master_Frequencies,2,FALSE)/F36,$F$3))</f>
        <v>-4.5836061544941638</v>
      </c>
      <c r="I36" s="123" t="s">
        <v>72</v>
      </c>
      <c r="J36" s="145" t="s">
        <v>76</v>
      </c>
      <c r="K36" s="97">
        <v>2</v>
      </c>
      <c r="L36" s="191">
        <f t="shared" si="17"/>
        <v>1.5</v>
      </c>
      <c r="M36" s="145" t="s">
        <v>72</v>
      </c>
      <c r="N36" s="145" t="s">
        <v>78</v>
      </c>
      <c r="O36" s="191">
        <f t="shared" si="18"/>
        <v>1.265625</v>
      </c>
      <c r="Q36" s="99">
        <v>9</v>
      </c>
      <c r="R36" s="18">
        <f t="shared" si="25"/>
        <v>2365.8242978355684</v>
      </c>
      <c r="S36" s="97">
        <v>3</v>
      </c>
      <c r="T36" s="4">
        <f t="shared" si="26"/>
        <v>295.72803722944604</v>
      </c>
      <c r="U36" s="18" t="str" cm="1">
        <f t="array" ref="U36">_xlfn.XLOOKUP(0,ABS($C$45:$C$57-T36),$B$45:$B$57,,1)</f>
        <v>D</v>
      </c>
      <c r="V36" s="47">
        <f t="shared" ref="V36" si="55">LOG(T36/VLOOKUP(U36,Master_Frequencies,2,FALSE),2)*1200</f>
        <v>9.3840041538595287</v>
      </c>
      <c r="X36" s="85" t="s">
        <v>72</v>
      </c>
      <c r="Y36" s="4">
        <f t="shared" si="20"/>
        <v>207.69925248487846</v>
      </c>
      <c r="Z36" s="47">
        <f t="shared" si="21"/>
        <v>830.79700993951383</v>
      </c>
    </row>
    <row r="37" spans="2:26" x14ac:dyDescent="0.2">
      <c r="B37" s="123" t="s">
        <v>7</v>
      </c>
      <c r="C37" s="145" t="s">
        <v>74</v>
      </c>
      <c r="D37" s="97">
        <v>2</v>
      </c>
      <c r="E37" s="4">
        <f t="shared" ref="E37" si="56">LOG(D37*VLOOKUP(C37,Master_Frequencies,2,FALSE)/VLOOKUP(B37,Master_Frequencies,2,FALSE),2)*1200</f>
        <v>398.43599930769017</v>
      </c>
      <c r="F37" s="4">
        <f t="shared" ref="F37" si="57">VLOOKUP(B37,Master_Frequencies,2,FALSE)*5/4</f>
        <v>550</v>
      </c>
      <c r="G37" s="47">
        <f t="shared" ref="G37" si="58">IF($D$2="Cents",LOG(VLOOKUP(C37,Master_Frequencies,2,FALSE)/F37,2)*1200*$F$3,LOG(D37*VLOOKUP(C37,Master_Frequencies,2,FALSE)/F37,$F$3))</f>
        <v>-2.5836061544942441</v>
      </c>
      <c r="I37" s="123" t="s">
        <v>7</v>
      </c>
      <c r="J37" s="145" t="s">
        <v>4</v>
      </c>
      <c r="K37" s="97">
        <v>2</v>
      </c>
      <c r="L37" s="191">
        <f t="shared" si="17"/>
        <v>1.4959401939282659</v>
      </c>
      <c r="M37" s="145" t="s">
        <v>7</v>
      </c>
      <c r="N37" s="145" t="s">
        <v>74</v>
      </c>
      <c r="O37" s="191">
        <f t="shared" si="18"/>
        <v>1.2587833483932027</v>
      </c>
      <c r="Q37" s="99">
        <v>10</v>
      </c>
      <c r="R37" s="18">
        <f t="shared" si="25"/>
        <v>2628.6936642617429</v>
      </c>
      <c r="S37" s="97">
        <v>3</v>
      </c>
      <c r="T37" s="4">
        <f t="shared" si="26"/>
        <v>328.58670803271787</v>
      </c>
      <c r="U37" s="18" t="str" cm="1">
        <f t="array" ref="U37">_xlfn.XLOOKUP(0,ABS($C$45:$C$57-T37),$B$45:$B$57,,1)</f>
        <v>E</v>
      </c>
      <c r="V37" s="47">
        <f t="shared" ref="V37" si="59">LOG(T37/VLOOKUP(U37,Master_Frequencies,2,FALSE),2)*1200</f>
        <v>-2.7382812889954904</v>
      </c>
      <c r="X37" s="85" t="s">
        <v>7</v>
      </c>
      <c r="Y37" s="4">
        <f t="shared" si="20"/>
        <v>220</v>
      </c>
      <c r="Z37" s="47">
        <f t="shared" si="21"/>
        <v>880</v>
      </c>
    </row>
    <row r="38" spans="2:26" x14ac:dyDescent="0.2">
      <c r="B38" s="123" t="s">
        <v>73</v>
      </c>
      <c r="C38" s="145" t="s">
        <v>3</v>
      </c>
      <c r="D38" s="97">
        <v>2</v>
      </c>
      <c r="E38" s="4">
        <f t="shared" ref="E38" si="60">LOG(D38*VLOOKUP(C38,Master_Frequencies,2,FALSE)/VLOOKUP(B38,Master_Frequencies,2,FALSE),2)*1200</f>
        <v>398.43599930768994</v>
      </c>
      <c r="F38" s="4">
        <f t="shared" ref="F38" si="61">VLOOKUP(B38,Master_Frequencies,2,FALSE)*5/4</f>
        <v>584.15414761372062</v>
      </c>
      <c r="G38" s="47">
        <f t="shared" ref="G38" si="62">IF($D$2="Cents",LOG(VLOOKUP(C38,Master_Frequencies,2,FALSE)/F38,2)*1200*$F$3,LOG(D38*VLOOKUP(C38,Master_Frequencies,2,FALSE)/F38,$F$3))</f>
        <v>-2.5836061544941629</v>
      </c>
      <c r="I38" s="123" t="s">
        <v>73</v>
      </c>
      <c r="J38" s="145" t="s">
        <v>5</v>
      </c>
      <c r="K38" s="97">
        <v>2</v>
      </c>
      <c r="L38" s="191">
        <f t="shared" si="17"/>
        <v>1.5</v>
      </c>
      <c r="M38" s="145" t="s">
        <v>73</v>
      </c>
      <c r="N38" s="145" t="s">
        <v>3</v>
      </c>
      <c r="O38" s="191">
        <f t="shared" si="18"/>
        <v>1.2587833483932025</v>
      </c>
      <c r="Q38" s="99">
        <v>11</v>
      </c>
      <c r="R38" s="18">
        <f t="shared" si="25"/>
        <v>2891.563030687917</v>
      </c>
      <c r="S38" s="97">
        <v>3</v>
      </c>
      <c r="T38" s="4">
        <f t="shared" si="26"/>
        <v>361.44537883598963</v>
      </c>
      <c r="U38" s="18" t="str" cm="1">
        <f t="array" ref="U38">_xlfn.XLOOKUP(0,ABS($C$45:$C$57-T38),$B$45:$B$57,,1)</f>
        <v>F#</v>
      </c>
      <c r="V38" s="47">
        <f t="shared" ref="V38" si="63">LOG(T38/VLOOKUP(U38,Master_Frequencies,2,FALSE),2)*1200</f>
        <v>-36.952052442918792</v>
      </c>
      <c r="X38" s="85" t="s">
        <v>73</v>
      </c>
      <c r="Y38" s="4">
        <f t="shared" si="20"/>
        <v>233.66165904548825</v>
      </c>
      <c r="Z38" s="47">
        <f t="shared" si="21"/>
        <v>934.646636181953</v>
      </c>
    </row>
    <row r="39" spans="2:26" x14ac:dyDescent="0.2">
      <c r="B39" s="124" t="s">
        <v>8</v>
      </c>
      <c r="C39" s="153" t="s">
        <v>76</v>
      </c>
      <c r="D39" s="98">
        <v>2</v>
      </c>
      <c r="E39" s="53">
        <f t="shared" ref="E39" si="64">LOG(D39*VLOOKUP(C39,Master_Frequencies,2,FALSE)/VLOOKUP(B39,Master_Frequencies,2,FALSE),2)*1200</f>
        <v>407.82000346154967</v>
      </c>
      <c r="F39" s="53">
        <f t="shared" ref="F39" si="65">VLOOKUP(B39,Master_Frequencies,2,FALSE)*5/4</f>
        <v>615.40519254778803</v>
      </c>
      <c r="G39" s="48">
        <f t="shared" ref="G39" si="66">IF($D$2="Cents",LOG(VLOOKUP(C39,Master_Frequencies,2,FALSE)/F39,2)*1200*$F$3,LOG(D39*VLOOKUP(C39,Master_Frequencies,2,FALSE)/F39,$F$3))</f>
        <v>-4.5836061544941638</v>
      </c>
      <c r="I39" s="124" t="s">
        <v>8</v>
      </c>
      <c r="J39" s="153" t="s">
        <v>70</v>
      </c>
      <c r="K39" s="98">
        <v>2</v>
      </c>
      <c r="L39" s="192">
        <f t="shared" si="17"/>
        <v>1.4999999999999998</v>
      </c>
      <c r="M39" s="153" t="s">
        <v>8</v>
      </c>
      <c r="N39" s="153" t="s">
        <v>76</v>
      </c>
      <c r="O39" s="192">
        <f t="shared" si="18"/>
        <v>1.265625</v>
      </c>
      <c r="Q39" s="99">
        <v>12</v>
      </c>
      <c r="R39" s="18">
        <f t="shared" si="25"/>
        <v>3154.4323971140911</v>
      </c>
      <c r="S39" s="97">
        <v>3</v>
      </c>
      <c r="T39" s="4">
        <f t="shared" si="26"/>
        <v>394.30404963926139</v>
      </c>
      <c r="U39" s="18" t="str" cm="1">
        <f t="array" ref="U39">_xlfn.XLOOKUP(0,ABS($C$45:$C$57-T39),$B$45:$B$57,,1)</f>
        <v>G</v>
      </c>
      <c r="V39" s="47">
        <f t="shared" ref="V39" si="67">LOG(T39/VLOOKUP(U39,Master_Frequencies,2,FALSE),2)*1200</f>
        <v>4.6920020769296409</v>
      </c>
      <c r="X39" s="85" t="s">
        <v>8</v>
      </c>
      <c r="Y39" s="4">
        <f t="shared" si="20"/>
        <v>246.1620770191152</v>
      </c>
      <c r="Z39" s="47">
        <f t="shared" si="21"/>
        <v>984.64830807646081</v>
      </c>
    </row>
    <row r="40" spans="2:26" x14ac:dyDescent="0.2">
      <c r="Q40" s="100">
        <v>13</v>
      </c>
      <c r="R40" s="50">
        <f t="shared" si="25"/>
        <v>3417.3017635402657</v>
      </c>
      <c r="S40" s="98">
        <v>3</v>
      </c>
      <c r="T40" s="53">
        <f t="shared" si="26"/>
        <v>427.16272044253321</v>
      </c>
      <c r="U40" s="50" t="str" cm="1">
        <f t="array" ref="U40">_xlfn.XLOOKUP(0,ABS($C$45:$C$57-T40),$B$45:$B$57,,1)</f>
        <v>G#</v>
      </c>
      <c r="V40" s="48">
        <f t="shared" ref="V40" si="68">LOG(T40/VLOOKUP(U40,Master_Frequencies,2,FALSE),2)*1200</f>
        <v>48.347665230860265</v>
      </c>
      <c r="X40" s="87" t="s">
        <v>78</v>
      </c>
      <c r="Y40" s="53">
        <f t="shared" si="20"/>
        <v>262.86936642617428</v>
      </c>
      <c r="Z40" s="48">
        <f t="shared" si="21"/>
        <v>1051.4774657046971</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262.86936642617428</v>
      </c>
    </row>
    <row r="46" spans="2:26" x14ac:dyDescent="0.2">
      <c r="B46" s="92" t="s">
        <v>74</v>
      </c>
      <c r="C46" s="93">
        <f t="shared" ref="C46:C57" si="69">VLOOKUP(B46,$B$10:$H$22,7,FALSE)</f>
        <v>276.93233664650461</v>
      </c>
    </row>
    <row r="47" spans="2:26" x14ac:dyDescent="0.2">
      <c r="B47" s="92" t="s">
        <v>3</v>
      </c>
      <c r="C47" s="93">
        <f t="shared" si="69"/>
        <v>294.12940556439054</v>
      </c>
    </row>
    <row r="48" spans="2:26" x14ac:dyDescent="0.2">
      <c r="B48" s="92" t="s">
        <v>76</v>
      </c>
      <c r="C48" s="93">
        <f t="shared" si="69"/>
        <v>311.54887872731769</v>
      </c>
    </row>
    <row r="49" spans="2:3" x14ac:dyDescent="0.2">
      <c r="B49" s="92" t="s">
        <v>4</v>
      </c>
      <c r="C49" s="93">
        <f t="shared" si="69"/>
        <v>329.1068426642185</v>
      </c>
    </row>
    <row r="50" spans="2:3" x14ac:dyDescent="0.2">
      <c r="B50" s="92" t="s">
        <v>5</v>
      </c>
      <c r="C50" s="93">
        <f t="shared" si="69"/>
        <v>350.49248856823237</v>
      </c>
    </row>
    <row r="51" spans="2:3" x14ac:dyDescent="0.2">
      <c r="B51" s="92" t="s">
        <v>70</v>
      </c>
      <c r="C51" s="93">
        <f t="shared" si="69"/>
        <v>369.24311552867277</v>
      </c>
    </row>
    <row r="52" spans="2:3" x14ac:dyDescent="0.2">
      <c r="B52" s="92" t="s">
        <v>6</v>
      </c>
      <c r="C52" s="93">
        <f t="shared" si="69"/>
        <v>393.23685098937153</v>
      </c>
    </row>
    <row r="53" spans="2:3" x14ac:dyDescent="0.2">
      <c r="B53" s="92" t="s">
        <v>72</v>
      </c>
      <c r="C53" s="93">
        <f t="shared" si="69"/>
        <v>415.39850496975691</v>
      </c>
    </row>
    <row r="54" spans="2:3" x14ac:dyDescent="0.2">
      <c r="B54" s="92" t="s">
        <v>7</v>
      </c>
      <c r="C54" s="93">
        <f t="shared" si="69"/>
        <v>440</v>
      </c>
    </row>
    <row r="55" spans="2:3" x14ac:dyDescent="0.2">
      <c r="B55" s="92" t="s">
        <v>73</v>
      </c>
      <c r="C55" s="93">
        <f t="shared" si="69"/>
        <v>467.3233180909765</v>
      </c>
    </row>
    <row r="56" spans="2:3" x14ac:dyDescent="0.2">
      <c r="B56" s="92" t="s">
        <v>8</v>
      </c>
      <c r="C56" s="93">
        <f t="shared" si="69"/>
        <v>492.3241540382304</v>
      </c>
    </row>
    <row r="57" spans="2:3" ht="16" thickBot="1" x14ac:dyDescent="0.25">
      <c r="B57" s="94" t="s">
        <v>78</v>
      </c>
      <c r="C57" s="95">
        <f t="shared" si="69"/>
        <v>525.73873285234856</v>
      </c>
    </row>
    <row r="58" spans="2:3" ht="16" thickTop="1" x14ac:dyDescent="0.2"/>
  </sheetData>
  <sheetProtection sheet="1" scenarios="1" formatCells="0"/>
  <mergeCells count="9">
    <mergeCell ref="B43:C43"/>
    <mergeCell ref="X25:Z25"/>
    <mergeCell ref="B1:G1"/>
    <mergeCell ref="B8:H8"/>
    <mergeCell ref="J8:N8"/>
    <mergeCell ref="P8:U8"/>
    <mergeCell ref="I26:O26"/>
    <mergeCell ref="Q26:V26"/>
    <mergeCell ref="B26:D26"/>
  </mergeCells>
  <conditionalFormatting sqref="A1:XFD1048576">
    <cfRule type="expression" dxfId="79" priority="1">
      <formula>CELL("protect",A1)=0</formula>
    </cfRule>
    <cfRule type="expression" dxfId="78" priority="3">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77001F90-400D-6B4A-A759-6678492DA544}">
      <formula1>Units</formula1>
    </dataValidation>
  </dataValidations>
  <hyperlinks>
    <hyperlink ref="B41" location="Overview!A1" display="Back to Overview" xr:uid="{EBCA6B56-6DC4-294E-AD51-5743EA6EB7F1}"/>
    <hyperlink ref="B5" location="Overview!A1" display="Back to Overview" xr:uid="{597075F3-1711-5444-9864-F7076C60EAF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2C1E-A148-364F-B159-C722D2294197}">
  <sheetPr codeName="Sheet2">
    <tabColor theme="0" tint="-0.14999847407452621"/>
  </sheetPr>
  <dimension ref="B1:AD24"/>
  <sheetViews>
    <sheetView zoomScaleNormal="100" workbookViewId="0"/>
  </sheetViews>
  <sheetFormatPr baseColWidth="10" defaultRowHeight="16" x14ac:dyDescent="0.2"/>
  <cols>
    <col min="1" max="1" width="3.33203125" style="5" customWidth="1"/>
    <col min="2" max="2" width="10.83203125" style="5"/>
    <col min="3" max="3" width="11.33203125" style="5" customWidth="1"/>
    <col min="4" max="4" width="10.83203125" style="5"/>
    <col min="5" max="5" width="11.33203125" style="5" customWidth="1"/>
    <col min="6" max="6" width="10.83203125" style="5"/>
    <col min="7" max="7" width="11.33203125" style="5" customWidth="1"/>
    <col min="8" max="8" width="10.83203125" style="5"/>
    <col min="9" max="9" width="11.33203125" style="5" customWidth="1"/>
    <col min="10" max="17" width="10.83203125" style="5"/>
    <col min="18" max="18" width="11.33203125" style="5" customWidth="1"/>
    <col min="19" max="19" width="10.83203125" style="5"/>
    <col min="20" max="20" width="11.33203125" style="5" customWidth="1"/>
    <col min="21" max="21" width="10.83203125" style="5"/>
    <col min="22" max="22" width="11.33203125" style="5" customWidth="1"/>
    <col min="23" max="23" width="10.83203125" style="5"/>
    <col min="24" max="24" width="11.33203125" style="5" customWidth="1"/>
    <col min="25" max="29" width="10.83203125" style="5"/>
    <col min="30" max="30" width="19" style="5" customWidth="1"/>
    <col min="31" max="16384" width="10.83203125" style="5"/>
  </cols>
  <sheetData>
    <row r="1" spans="2:30" x14ac:dyDescent="0.2">
      <c r="AD1" s="19" t="s">
        <v>84</v>
      </c>
    </row>
    <row r="2" spans="2:30" ht="18" x14ac:dyDescent="0.2">
      <c r="B2" s="268" t="s">
        <v>116</v>
      </c>
      <c r="C2" s="268"/>
      <c r="D2" s="268"/>
      <c r="E2" s="268"/>
      <c r="F2" s="268"/>
      <c r="G2" s="268"/>
      <c r="H2" s="268"/>
      <c r="I2" s="268"/>
      <c r="J2" s="268"/>
      <c r="K2" s="218"/>
      <c r="L2" s="218"/>
      <c r="M2" s="218"/>
      <c r="N2" s="33"/>
      <c r="Q2" s="267" t="s">
        <v>115</v>
      </c>
      <c r="R2" s="267"/>
      <c r="S2" s="267"/>
      <c r="T2" s="267"/>
      <c r="U2" s="267"/>
      <c r="V2" s="267"/>
      <c r="W2" s="267"/>
      <c r="X2" s="267"/>
      <c r="Y2" s="267"/>
      <c r="AD2" s="19" t="s">
        <v>48</v>
      </c>
    </row>
    <row r="3" spans="2:30" x14ac:dyDescent="0.2">
      <c r="B3" s="15" t="s">
        <v>84</v>
      </c>
      <c r="C3" s="10"/>
      <c r="D3" s="34">
        <v>4</v>
      </c>
      <c r="F3" s="34">
        <v>5</v>
      </c>
      <c r="G3" s="34"/>
      <c r="H3" s="34">
        <v>6</v>
      </c>
      <c r="J3" s="34">
        <v>7</v>
      </c>
      <c r="K3" s="34"/>
      <c r="L3" s="34">
        <v>8</v>
      </c>
      <c r="M3" s="34"/>
      <c r="N3" s="34">
        <v>12</v>
      </c>
      <c r="Q3" s="15" t="s">
        <v>48</v>
      </c>
      <c r="R3" s="10"/>
      <c r="S3" s="34">
        <v>4</v>
      </c>
      <c r="T3" s="34"/>
      <c r="U3" s="34">
        <v>5</v>
      </c>
      <c r="W3" s="34">
        <v>6</v>
      </c>
      <c r="Y3" s="34">
        <v>7</v>
      </c>
      <c r="Z3" s="34"/>
      <c r="AA3" s="34">
        <v>8</v>
      </c>
      <c r="AB3" s="34"/>
      <c r="AC3" s="34">
        <v>12</v>
      </c>
      <c r="AD3" s="19" t="s">
        <v>16</v>
      </c>
    </row>
    <row r="4" spans="2:30" x14ac:dyDescent="0.2">
      <c r="B4" s="11" t="s">
        <v>123</v>
      </c>
      <c r="C4" s="12">
        <f>531441/524288</f>
        <v>1.0136432647705078</v>
      </c>
      <c r="Q4" s="11" t="s">
        <v>124</v>
      </c>
      <c r="R4" s="12">
        <f>81/80</f>
        <v>1.0125</v>
      </c>
    </row>
    <row r="5" spans="2:30" x14ac:dyDescent="0.2">
      <c r="B5" s="13" t="s">
        <v>85</v>
      </c>
      <c r="C5" s="12">
        <f>LOG(C4,2)*1200</f>
        <v>23.460010384649014</v>
      </c>
      <c r="Q5" s="13" t="s">
        <v>80</v>
      </c>
      <c r="R5" s="12">
        <f>LOG(R4,2)*1200</f>
        <v>21.50628959671478</v>
      </c>
    </row>
    <row r="6" spans="2:30" s="6" customFormat="1" x14ac:dyDescent="0.2">
      <c r="C6" s="265" t="s">
        <v>81</v>
      </c>
      <c r="D6" s="266"/>
      <c r="E6" s="265" t="s">
        <v>580</v>
      </c>
      <c r="F6" s="266"/>
      <c r="G6" s="15" t="s">
        <v>82</v>
      </c>
      <c r="H6" s="16"/>
      <c r="I6" s="265" t="s">
        <v>581</v>
      </c>
      <c r="J6" s="266"/>
      <c r="K6" s="265" t="s">
        <v>87</v>
      </c>
      <c r="L6" s="266"/>
      <c r="M6" s="265" t="s">
        <v>83</v>
      </c>
      <c r="N6" s="266"/>
      <c r="R6" s="265" t="s">
        <v>81</v>
      </c>
      <c r="S6" s="269"/>
      <c r="T6" s="265" t="s">
        <v>82</v>
      </c>
      <c r="U6" s="266"/>
      <c r="V6" s="269" t="s">
        <v>580</v>
      </c>
      <c r="W6" s="266"/>
      <c r="X6" s="265" t="s">
        <v>581</v>
      </c>
      <c r="Y6" s="266"/>
      <c r="Z6" s="265" t="s">
        <v>87</v>
      </c>
      <c r="AA6" s="266"/>
      <c r="AB6" s="265" t="s">
        <v>83</v>
      </c>
      <c r="AC6" s="266"/>
    </row>
    <row r="7" spans="2:30" x14ac:dyDescent="0.2">
      <c r="B7" s="34">
        <v>1</v>
      </c>
      <c r="C7" s="11" t="str">
        <f>_xlfn.CONCAT($B7,"/",$D$3)</f>
        <v>1/4</v>
      </c>
      <c r="D7" s="5">
        <f>$C$5*$B7/D$3</f>
        <v>5.8650025961622534</v>
      </c>
      <c r="E7" s="11" t="str">
        <f>_xlfn.CONCAT($B7,"/",$F$3)</f>
        <v>1/5</v>
      </c>
      <c r="F7" s="12">
        <f>$C$5*$B7/F$3</f>
        <v>4.6920020769298025</v>
      </c>
      <c r="G7" s="11" t="str">
        <f t="shared" ref="G7:G12" si="0">_xlfn.CONCAT($B7,"/",$H$3)</f>
        <v>1/6</v>
      </c>
      <c r="H7" s="5">
        <f t="shared" ref="H7:H12" si="1">$C$5*$B7/H$3</f>
        <v>3.9100017307748356</v>
      </c>
      <c r="I7" s="11" t="str">
        <f>_xlfn.CONCAT($B7,"/",$J$3)</f>
        <v>1/7</v>
      </c>
      <c r="J7" s="12">
        <f t="shared" ref="J7:J13" si="2">$C$5*$B7/J$3</f>
        <v>3.351430054949859</v>
      </c>
      <c r="K7" s="11" t="str">
        <f t="shared" ref="K7:K14" si="3">_xlfn.CONCAT($B7,"/",$L$3)</f>
        <v>1/8</v>
      </c>
      <c r="L7" s="5">
        <f t="shared" ref="L7:L14" si="4">$C$5*$B7/L$3</f>
        <v>2.9325012980811267</v>
      </c>
      <c r="M7" s="11" t="str">
        <f t="shared" ref="M7:M18" si="5">_xlfn.CONCAT($B7,"/",$N$3)</f>
        <v>1/12</v>
      </c>
      <c r="N7" s="12">
        <f t="shared" ref="N7:N18" si="6">$C$5*$B7/N$3</f>
        <v>1.9550008653874178</v>
      </c>
      <c r="Q7" s="34">
        <v>1</v>
      </c>
      <c r="R7" s="36" t="str">
        <f>_xlfn.CONCAT($Q7,"/",$S$3)</f>
        <v>1/4</v>
      </c>
      <c r="S7" s="5">
        <f>$R$5*$Q7/S$3</f>
        <v>5.3765723991786949</v>
      </c>
      <c r="T7" s="36" t="str">
        <f>_xlfn.CONCAT($Q7,"/",$U$3)</f>
        <v>1/5</v>
      </c>
      <c r="U7" s="12">
        <f>$R$5*$Q7/U$3</f>
        <v>4.3012579193429561</v>
      </c>
      <c r="V7" s="26" t="str">
        <f>_xlfn.CONCAT($Q7,"/",$W$3)</f>
        <v>1/6</v>
      </c>
      <c r="W7" s="12">
        <f t="shared" ref="W7:W12" si="7">$R$5*$Q7/W$3</f>
        <v>3.5843815994524633</v>
      </c>
      <c r="X7" s="36" t="str">
        <f>_xlfn.CONCAT($Q7,"/",$Y$3)</f>
        <v>1/7</v>
      </c>
      <c r="Y7" s="12">
        <f t="shared" ref="Y7:Y13" si="8">$R$5*$Q7/Y$3</f>
        <v>3.0723270852449684</v>
      </c>
      <c r="Z7" s="36" t="str">
        <f t="shared" ref="Z7:Z14" si="9">_xlfn.CONCAT($Q7,"/",$AA$3)</f>
        <v>1/8</v>
      </c>
      <c r="AA7" s="5">
        <f t="shared" ref="AA7:AA14" si="10">$R$5*$Q7/AA$3</f>
        <v>2.6882861995893474</v>
      </c>
      <c r="AB7" s="36" t="str">
        <f t="shared" ref="AB7:AB18" si="11">_xlfn.CONCAT($Q7,"/",$AC$3)</f>
        <v>1/12</v>
      </c>
      <c r="AC7" s="12">
        <f t="shared" ref="AC7:AC18" si="12">$R$5*$Q7/AC$3</f>
        <v>1.7921907997262316</v>
      </c>
    </row>
    <row r="8" spans="2:30" x14ac:dyDescent="0.2">
      <c r="B8" s="34">
        <v>2</v>
      </c>
      <c r="C8" s="11" t="str">
        <f>_xlfn.CONCAT(B8,"/",$D$3)</f>
        <v>2/4</v>
      </c>
      <c r="D8" s="5">
        <f>$C$5*$B8/D$3</f>
        <v>11.730005192324507</v>
      </c>
      <c r="E8" s="11" t="str">
        <f t="shared" ref="E8:E11" si="13">_xlfn.CONCAT($B8,"/",$F$3)</f>
        <v>2/5</v>
      </c>
      <c r="F8" s="12">
        <f>$C$5*$B8/F$3</f>
        <v>9.3840041538596051</v>
      </c>
      <c r="G8" s="11" t="str">
        <f t="shared" si="0"/>
        <v>2/6</v>
      </c>
      <c r="H8" s="5">
        <f t="shared" si="1"/>
        <v>7.8200034615496712</v>
      </c>
      <c r="I8" s="11" t="str">
        <f t="shared" ref="I8:I13" si="14">_xlfn.CONCAT($B8,"/",$J$3)</f>
        <v>2/7</v>
      </c>
      <c r="J8" s="12">
        <f t="shared" si="2"/>
        <v>6.702860109899718</v>
      </c>
      <c r="K8" s="11" t="str">
        <f t="shared" si="3"/>
        <v>2/8</v>
      </c>
      <c r="L8" s="5">
        <f t="shared" si="4"/>
        <v>5.8650025961622534</v>
      </c>
      <c r="M8" s="11" t="str">
        <f t="shared" si="5"/>
        <v>2/12</v>
      </c>
      <c r="N8" s="12">
        <f t="shared" si="6"/>
        <v>3.9100017307748356</v>
      </c>
      <c r="Q8" s="34">
        <v>2</v>
      </c>
      <c r="R8" s="36" t="str">
        <f t="shared" ref="R8:R10" si="15">_xlfn.CONCAT($Q8,"/",$S$3)</f>
        <v>2/4</v>
      </c>
      <c r="S8" s="5">
        <f>$R$5*$Q8/S$3</f>
        <v>10.75314479835739</v>
      </c>
      <c r="T8" s="36" t="str">
        <f>_xlfn.CONCAT($Q8,"/",$U$3)</f>
        <v>2/5</v>
      </c>
      <c r="U8" s="12">
        <f>$R$5*$Q8/U$3</f>
        <v>8.6025158386859122</v>
      </c>
      <c r="V8" s="26" t="str">
        <f t="shared" ref="V8:V12" si="16">_xlfn.CONCAT($Q8,"/",$W$3)</f>
        <v>2/6</v>
      </c>
      <c r="W8" s="12">
        <f t="shared" si="7"/>
        <v>7.1687631989049265</v>
      </c>
      <c r="X8" s="36" t="str">
        <f t="shared" ref="X8:X13" si="17">_xlfn.CONCAT($Q8,"/",$Y$3)</f>
        <v>2/7</v>
      </c>
      <c r="Y8" s="12">
        <f t="shared" si="8"/>
        <v>6.1446541704899369</v>
      </c>
      <c r="Z8" s="36" t="str">
        <f t="shared" si="9"/>
        <v>2/8</v>
      </c>
      <c r="AA8" s="5">
        <f t="shared" si="10"/>
        <v>5.3765723991786949</v>
      </c>
      <c r="AB8" s="36" t="str">
        <f t="shared" si="11"/>
        <v>2/12</v>
      </c>
      <c r="AC8" s="12">
        <f t="shared" si="12"/>
        <v>3.5843815994524633</v>
      </c>
    </row>
    <row r="9" spans="2:30" x14ac:dyDescent="0.2">
      <c r="B9" s="34">
        <v>3</v>
      </c>
      <c r="C9" s="11" t="str">
        <f>_xlfn.CONCAT(B9,"/",$D$3)</f>
        <v>3/4</v>
      </c>
      <c r="D9" s="5">
        <f>$C$5*$B9/D$3</f>
        <v>17.595007788486761</v>
      </c>
      <c r="E9" s="11" t="str">
        <f t="shared" si="13"/>
        <v>3/5</v>
      </c>
      <c r="F9" s="12">
        <f>$C$5*$B9/F$3</f>
        <v>14.076006230789408</v>
      </c>
      <c r="G9" s="11" t="str">
        <f t="shared" si="0"/>
        <v>3/6</v>
      </c>
      <c r="H9" s="5">
        <f t="shared" si="1"/>
        <v>11.730005192324507</v>
      </c>
      <c r="I9" s="11" t="str">
        <f t="shared" si="14"/>
        <v>3/7</v>
      </c>
      <c r="J9" s="12">
        <f t="shared" si="2"/>
        <v>10.054290164849577</v>
      </c>
      <c r="K9" s="11" t="str">
        <f t="shared" si="3"/>
        <v>3/8</v>
      </c>
      <c r="L9" s="5">
        <f t="shared" si="4"/>
        <v>8.7975038942433805</v>
      </c>
      <c r="M9" s="11" t="str">
        <f t="shared" si="5"/>
        <v>3/12</v>
      </c>
      <c r="N9" s="12">
        <f t="shared" si="6"/>
        <v>5.8650025961622534</v>
      </c>
      <c r="Q9" s="34">
        <v>3</v>
      </c>
      <c r="R9" s="36" t="str">
        <f t="shared" si="15"/>
        <v>3/4</v>
      </c>
      <c r="S9" s="5">
        <f>$R$5*$Q9/S$3</f>
        <v>16.129717197536085</v>
      </c>
      <c r="T9" s="36" t="str">
        <f>_xlfn.CONCAT($Q9,"/",$U$3)</f>
        <v>3/5</v>
      </c>
      <c r="U9" s="12">
        <f>$R$5*$Q9/U$3</f>
        <v>12.903773758028867</v>
      </c>
      <c r="V9" s="26" t="str">
        <f t="shared" si="16"/>
        <v>3/6</v>
      </c>
      <c r="W9" s="12">
        <f t="shared" si="7"/>
        <v>10.75314479835739</v>
      </c>
      <c r="X9" s="36" t="str">
        <f t="shared" si="17"/>
        <v>3/7</v>
      </c>
      <c r="Y9" s="12">
        <f t="shared" si="8"/>
        <v>9.2169812557349058</v>
      </c>
      <c r="Z9" s="36" t="str">
        <f t="shared" si="9"/>
        <v>3/8</v>
      </c>
      <c r="AA9" s="5">
        <f t="shared" si="10"/>
        <v>8.0648585987680423</v>
      </c>
      <c r="AB9" s="36" t="str">
        <f t="shared" si="11"/>
        <v>3/12</v>
      </c>
      <c r="AC9" s="12">
        <f t="shared" si="12"/>
        <v>5.3765723991786949</v>
      </c>
    </row>
    <row r="10" spans="2:30" x14ac:dyDescent="0.2">
      <c r="B10" s="34">
        <v>4</v>
      </c>
      <c r="C10" s="13" t="str">
        <f>_xlfn.CONCAT(B10,"/",$D$3)</f>
        <v>4/4</v>
      </c>
      <c r="D10" s="17">
        <f>$C$5*$B10/D$3</f>
        <v>23.460010384649014</v>
      </c>
      <c r="E10" s="11" t="str">
        <f t="shared" si="13"/>
        <v>4/5</v>
      </c>
      <c r="F10" s="12">
        <f>$C$5*$B10/F$3</f>
        <v>18.76800830771921</v>
      </c>
      <c r="G10" s="11" t="str">
        <f t="shared" si="0"/>
        <v>4/6</v>
      </c>
      <c r="H10" s="5">
        <f t="shared" si="1"/>
        <v>15.640006923099342</v>
      </c>
      <c r="I10" s="11" t="str">
        <f t="shared" si="14"/>
        <v>4/7</v>
      </c>
      <c r="J10" s="12">
        <f t="shared" si="2"/>
        <v>13.405720219799436</v>
      </c>
      <c r="K10" s="11" t="str">
        <f t="shared" si="3"/>
        <v>4/8</v>
      </c>
      <c r="L10" s="5">
        <f t="shared" si="4"/>
        <v>11.730005192324507</v>
      </c>
      <c r="M10" s="11" t="str">
        <f t="shared" si="5"/>
        <v>4/12</v>
      </c>
      <c r="N10" s="12">
        <f t="shared" si="6"/>
        <v>7.8200034615496712</v>
      </c>
      <c r="Q10" s="34">
        <v>4</v>
      </c>
      <c r="R10" s="37" t="str">
        <f t="shared" si="15"/>
        <v>4/4</v>
      </c>
      <c r="S10" s="17">
        <f>$R$5*$Q10/S$3</f>
        <v>21.50628959671478</v>
      </c>
      <c r="T10" s="36" t="str">
        <f>_xlfn.CONCAT($Q10,"/",$U$3)</f>
        <v>4/5</v>
      </c>
      <c r="U10" s="12">
        <f>$R$5*$Q10/U$3</f>
        <v>17.205031677371824</v>
      </c>
      <c r="V10" s="26" t="str">
        <f t="shared" si="16"/>
        <v>4/6</v>
      </c>
      <c r="W10" s="12">
        <f t="shared" si="7"/>
        <v>14.337526397809853</v>
      </c>
      <c r="X10" s="36" t="str">
        <f t="shared" si="17"/>
        <v>4/7</v>
      </c>
      <c r="Y10" s="12">
        <f t="shared" si="8"/>
        <v>12.289308340979874</v>
      </c>
      <c r="Z10" s="36" t="str">
        <f t="shared" si="9"/>
        <v>4/8</v>
      </c>
      <c r="AA10" s="5">
        <f t="shared" si="10"/>
        <v>10.75314479835739</v>
      </c>
      <c r="AB10" s="36" t="str">
        <f t="shared" si="11"/>
        <v>4/12</v>
      </c>
      <c r="AC10" s="12">
        <f t="shared" si="12"/>
        <v>7.1687631989049265</v>
      </c>
    </row>
    <row r="11" spans="2:30" x14ac:dyDescent="0.2">
      <c r="B11" s="34">
        <v>5</v>
      </c>
      <c r="E11" s="13" t="str">
        <f t="shared" si="13"/>
        <v>5/5</v>
      </c>
      <c r="F11" s="14">
        <f>$C$5*$B11/F$3</f>
        <v>23.460010384649014</v>
      </c>
      <c r="G11" s="11" t="str">
        <f t="shared" si="0"/>
        <v>5/6</v>
      </c>
      <c r="H11" s="5">
        <f t="shared" si="1"/>
        <v>19.550008653874176</v>
      </c>
      <c r="I11" s="11" t="str">
        <f t="shared" si="14"/>
        <v>5/7</v>
      </c>
      <c r="J11" s="12">
        <f t="shared" si="2"/>
        <v>16.757150274749296</v>
      </c>
      <c r="K11" s="11" t="str">
        <f t="shared" si="3"/>
        <v>5/8</v>
      </c>
      <c r="L11" s="5">
        <f t="shared" si="4"/>
        <v>14.662506490405633</v>
      </c>
      <c r="M11" s="11" t="str">
        <f t="shared" si="5"/>
        <v>5/12</v>
      </c>
      <c r="N11" s="12">
        <f t="shared" si="6"/>
        <v>9.7750043269370881</v>
      </c>
      <c r="Q11" s="34">
        <v>5</v>
      </c>
      <c r="R11" s="26"/>
      <c r="T11" s="37" t="str">
        <f>_xlfn.CONCAT($Q11,"/",$U$3)</f>
        <v>5/5</v>
      </c>
      <c r="U11" s="14">
        <f>$R$5*$Q11/U$3</f>
        <v>21.50628959671478</v>
      </c>
      <c r="V11" s="26" t="str">
        <f t="shared" si="16"/>
        <v>5/6</v>
      </c>
      <c r="W11" s="12">
        <f t="shared" si="7"/>
        <v>17.921907997262316</v>
      </c>
      <c r="X11" s="36" t="str">
        <f t="shared" si="17"/>
        <v>5/7</v>
      </c>
      <c r="Y11" s="12">
        <f t="shared" si="8"/>
        <v>15.361635426224842</v>
      </c>
      <c r="Z11" s="36" t="str">
        <f t="shared" si="9"/>
        <v>5/8</v>
      </c>
      <c r="AA11" s="5">
        <f t="shared" si="10"/>
        <v>13.441430997946737</v>
      </c>
      <c r="AB11" s="36" t="str">
        <f t="shared" si="11"/>
        <v>5/12</v>
      </c>
      <c r="AC11" s="12">
        <f t="shared" si="12"/>
        <v>8.9609539986311582</v>
      </c>
    </row>
    <row r="12" spans="2:30" x14ac:dyDescent="0.2">
      <c r="B12" s="34">
        <v>6</v>
      </c>
      <c r="G12" s="13" t="str">
        <f t="shared" si="0"/>
        <v>6/6</v>
      </c>
      <c r="H12" s="17">
        <f t="shared" si="1"/>
        <v>23.460010384649014</v>
      </c>
      <c r="I12" s="11" t="str">
        <f t="shared" si="14"/>
        <v>6/7</v>
      </c>
      <c r="J12" s="12">
        <f t="shared" si="2"/>
        <v>20.108580329699155</v>
      </c>
      <c r="K12" s="11" t="str">
        <f t="shared" si="3"/>
        <v>6/8</v>
      </c>
      <c r="L12" s="5">
        <f t="shared" si="4"/>
        <v>17.595007788486761</v>
      </c>
      <c r="M12" s="11" t="str">
        <f t="shared" si="5"/>
        <v>6/12</v>
      </c>
      <c r="N12" s="12">
        <f t="shared" si="6"/>
        <v>11.730005192324507</v>
      </c>
      <c r="Q12" s="34">
        <v>6</v>
      </c>
      <c r="R12" s="26"/>
      <c r="T12" s="26"/>
      <c r="V12" s="239" t="str">
        <f t="shared" si="16"/>
        <v>6/6</v>
      </c>
      <c r="W12" s="14">
        <f t="shared" si="7"/>
        <v>21.50628959671478</v>
      </c>
      <c r="X12" s="36" t="str">
        <f t="shared" si="17"/>
        <v>6/7</v>
      </c>
      <c r="Y12" s="12">
        <f t="shared" si="8"/>
        <v>18.433962511469812</v>
      </c>
      <c r="Z12" s="36" t="str">
        <f t="shared" si="9"/>
        <v>6/8</v>
      </c>
      <c r="AA12" s="5">
        <f t="shared" si="10"/>
        <v>16.129717197536085</v>
      </c>
      <c r="AB12" s="36" t="str">
        <f t="shared" si="11"/>
        <v>6/12</v>
      </c>
      <c r="AC12" s="12">
        <f t="shared" si="12"/>
        <v>10.75314479835739</v>
      </c>
    </row>
    <row r="13" spans="2:30" x14ac:dyDescent="0.2">
      <c r="B13" s="34">
        <v>7</v>
      </c>
      <c r="I13" s="13" t="str">
        <f t="shared" si="14"/>
        <v>7/7</v>
      </c>
      <c r="J13" s="14">
        <f t="shared" si="2"/>
        <v>23.460010384649014</v>
      </c>
      <c r="K13" s="11" t="str">
        <f t="shared" si="3"/>
        <v>7/8</v>
      </c>
      <c r="L13" s="5">
        <f t="shared" si="4"/>
        <v>20.527509086567886</v>
      </c>
      <c r="M13" s="11" t="str">
        <f t="shared" si="5"/>
        <v>7/12</v>
      </c>
      <c r="N13" s="12">
        <f t="shared" si="6"/>
        <v>13.685006057711924</v>
      </c>
      <c r="Q13" s="34">
        <v>7</v>
      </c>
      <c r="R13" s="26"/>
      <c r="T13" s="26"/>
      <c r="X13" s="37" t="str">
        <f t="shared" si="17"/>
        <v>7/7</v>
      </c>
      <c r="Y13" s="14">
        <f t="shared" si="8"/>
        <v>21.506289596714776</v>
      </c>
      <c r="Z13" s="36" t="str">
        <f t="shared" si="9"/>
        <v>7/8</v>
      </c>
      <c r="AA13" s="5">
        <f t="shared" si="10"/>
        <v>18.81800339712543</v>
      </c>
      <c r="AB13" s="36" t="str">
        <f t="shared" si="11"/>
        <v>7/12</v>
      </c>
      <c r="AC13" s="12">
        <f t="shared" si="12"/>
        <v>12.54533559808362</v>
      </c>
    </row>
    <row r="14" spans="2:30" x14ac:dyDescent="0.2">
      <c r="B14" s="34">
        <v>8</v>
      </c>
      <c r="K14" s="13" t="str">
        <f t="shared" si="3"/>
        <v>8/8</v>
      </c>
      <c r="L14" s="17">
        <f t="shared" si="4"/>
        <v>23.460010384649014</v>
      </c>
      <c r="M14" s="11" t="str">
        <f t="shared" si="5"/>
        <v>8/12</v>
      </c>
      <c r="N14" s="12">
        <f t="shared" si="6"/>
        <v>15.640006923099342</v>
      </c>
      <c r="Q14" s="34">
        <v>8</v>
      </c>
      <c r="R14" s="26"/>
      <c r="T14" s="26"/>
      <c r="Z14" s="37" t="str">
        <f t="shared" si="9"/>
        <v>8/8</v>
      </c>
      <c r="AA14" s="17">
        <f t="shared" si="10"/>
        <v>21.50628959671478</v>
      </c>
      <c r="AB14" s="36" t="str">
        <f t="shared" si="11"/>
        <v>8/12</v>
      </c>
      <c r="AC14" s="12">
        <f t="shared" si="12"/>
        <v>14.337526397809853</v>
      </c>
    </row>
    <row r="15" spans="2:30" x14ac:dyDescent="0.2">
      <c r="B15" s="34">
        <v>9</v>
      </c>
      <c r="M15" s="11" t="str">
        <f t="shared" si="5"/>
        <v>9/12</v>
      </c>
      <c r="N15" s="12">
        <f t="shared" si="6"/>
        <v>17.595007788486761</v>
      </c>
      <c r="Q15" s="34">
        <v>9</v>
      </c>
      <c r="R15" s="26"/>
      <c r="T15" s="26"/>
      <c r="Z15" s="26"/>
      <c r="AB15" s="36" t="str">
        <f t="shared" si="11"/>
        <v>9/12</v>
      </c>
      <c r="AC15" s="12">
        <f t="shared" si="12"/>
        <v>16.129717197536085</v>
      </c>
    </row>
    <row r="16" spans="2:30" x14ac:dyDescent="0.2">
      <c r="B16" s="34">
        <v>10</v>
      </c>
      <c r="M16" s="11" t="str">
        <f t="shared" si="5"/>
        <v>10/12</v>
      </c>
      <c r="N16" s="12">
        <f t="shared" si="6"/>
        <v>19.550008653874176</v>
      </c>
      <c r="Q16" s="34">
        <v>10</v>
      </c>
      <c r="R16" s="26"/>
      <c r="T16" s="26"/>
      <c r="Z16" s="26"/>
      <c r="AB16" s="36" t="str">
        <f t="shared" si="11"/>
        <v>10/12</v>
      </c>
      <c r="AC16" s="12">
        <f t="shared" si="12"/>
        <v>17.921907997262316</v>
      </c>
    </row>
    <row r="17" spans="2:29" x14ac:dyDescent="0.2">
      <c r="B17" s="34">
        <v>11</v>
      </c>
      <c r="M17" s="11" t="str">
        <f t="shared" si="5"/>
        <v>11/12</v>
      </c>
      <c r="N17" s="12">
        <f t="shared" si="6"/>
        <v>21.505009519261595</v>
      </c>
      <c r="Q17" s="34">
        <v>11</v>
      </c>
      <c r="R17" s="26"/>
      <c r="T17" s="26"/>
      <c r="Z17" s="26"/>
      <c r="AB17" s="36" t="str">
        <f t="shared" si="11"/>
        <v>11/12</v>
      </c>
      <c r="AC17" s="12">
        <f t="shared" si="12"/>
        <v>19.714098796988548</v>
      </c>
    </row>
    <row r="18" spans="2:29" x14ac:dyDescent="0.2">
      <c r="B18" s="34">
        <v>12</v>
      </c>
      <c r="M18" s="13" t="str">
        <f t="shared" si="5"/>
        <v>12/12</v>
      </c>
      <c r="N18" s="14">
        <f t="shared" si="6"/>
        <v>23.460010384649014</v>
      </c>
      <c r="Q18" s="34">
        <v>12</v>
      </c>
      <c r="R18" s="26"/>
      <c r="T18" s="26"/>
      <c r="Z18" s="26"/>
      <c r="AB18" s="37" t="str">
        <f t="shared" si="11"/>
        <v>12/12</v>
      </c>
      <c r="AC18" s="14">
        <f t="shared" si="12"/>
        <v>21.50628959671478</v>
      </c>
    </row>
    <row r="19" spans="2:29" x14ac:dyDescent="0.2">
      <c r="B19" s="7"/>
      <c r="Q19" s="7"/>
    </row>
    <row r="20" spans="2:29" ht="18" x14ac:dyDescent="0.2">
      <c r="B20" s="7"/>
      <c r="O20" s="270" t="s">
        <v>117</v>
      </c>
      <c r="P20" s="271"/>
      <c r="Q20" s="272"/>
      <c r="S20" s="39"/>
      <c r="T20" s="39"/>
      <c r="U20" s="39"/>
      <c r="V20" s="39"/>
      <c r="W20" s="39"/>
      <c r="X20" s="39"/>
      <c r="Y20" s="39"/>
    </row>
    <row r="21" spans="2:29" ht="18" x14ac:dyDescent="0.2">
      <c r="B21" s="7"/>
      <c r="D21" s="267" t="s">
        <v>121</v>
      </c>
      <c r="E21" s="267"/>
      <c r="F21" s="267"/>
      <c r="G21" s="267"/>
      <c r="H21" s="267"/>
      <c r="I21" s="267"/>
      <c r="J21" s="267"/>
      <c r="K21" s="33"/>
      <c r="L21" s="33"/>
      <c r="M21" s="33"/>
      <c r="O21" s="43">
        <f>32805/32768</f>
        <v>1.001129150390625</v>
      </c>
      <c r="P21" s="27" t="s">
        <v>124</v>
      </c>
      <c r="Q21" s="35"/>
      <c r="S21" s="39"/>
      <c r="T21" s="39"/>
      <c r="U21" s="39"/>
      <c r="V21" s="39"/>
      <c r="W21" s="39"/>
      <c r="X21" s="39"/>
      <c r="Y21" s="39"/>
    </row>
    <row r="22" spans="2:29" ht="18" x14ac:dyDescent="0.2">
      <c r="O22" s="44">
        <f>1200*LOG(O21,2)</f>
        <v>1.9537207879341596</v>
      </c>
      <c r="P22" s="5" t="s">
        <v>99</v>
      </c>
      <c r="Q22" s="40"/>
      <c r="S22" s="267" t="s">
        <v>122</v>
      </c>
      <c r="T22" s="267"/>
      <c r="U22" s="267"/>
      <c r="V22" s="267"/>
      <c r="W22" s="267"/>
      <c r="X22" s="267"/>
      <c r="Y22" s="267"/>
    </row>
    <row r="23" spans="2:29" x14ac:dyDescent="0.2">
      <c r="D23" s="41">
        <f>$O$23*D3</f>
        <v>0.33311507640466703</v>
      </c>
      <c r="E23" s="42"/>
      <c r="F23" s="42">
        <f>$O$23*F3</f>
        <v>0.4163938455058338</v>
      </c>
      <c r="G23" s="42"/>
      <c r="H23" s="42">
        <f>$O$23*H3</f>
        <v>0.49967261460700052</v>
      </c>
      <c r="I23" s="42"/>
      <c r="J23" s="42">
        <f>$O$23*J3</f>
        <v>0.58295138370816735</v>
      </c>
      <c r="K23" s="42"/>
      <c r="L23" s="42">
        <f>$O$23*L3</f>
        <v>0.66623015280933406</v>
      </c>
      <c r="M23" s="42"/>
      <c r="N23" s="42">
        <f>$O$23*N3</f>
        <v>0.99934522921400104</v>
      </c>
      <c r="O23" s="2">
        <f>LOG(O21,C4)</f>
        <v>8.3278769101166758E-2</v>
      </c>
      <c r="P23" s="5" t="s">
        <v>118</v>
      </c>
      <c r="Q23" s="12"/>
    </row>
    <row r="24" spans="2:29" x14ac:dyDescent="0.2">
      <c r="B24" s="5" t="s">
        <v>63</v>
      </c>
      <c r="O24" s="45">
        <f>LOG(O21,R4)</f>
        <v>9.0844158828429541E-2</v>
      </c>
      <c r="P24" s="17" t="s">
        <v>119</v>
      </c>
      <c r="Q24" s="17"/>
      <c r="R24" s="42"/>
      <c r="S24" s="42">
        <f>$O$24*S3</f>
        <v>0.36337663531371817</v>
      </c>
      <c r="T24" s="42"/>
      <c r="U24" s="42">
        <f>$O$24*U3</f>
        <v>0.45422079414214772</v>
      </c>
      <c r="V24" s="42"/>
      <c r="W24" s="42">
        <f>$O$24*W3</f>
        <v>0.54506495297057722</v>
      </c>
      <c r="X24" s="42"/>
      <c r="Y24" s="42">
        <f>$O$24*Y3</f>
        <v>0.63590911179900678</v>
      </c>
      <c r="Z24" s="42"/>
      <c r="AA24" s="42">
        <f>$O$24*AA3</f>
        <v>0.72675327062743633</v>
      </c>
      <c r="AB24" s="42"/>
      <c r="AC24" s="38">
        <f>$O$24*AC3</f>
        <v>1.0901299059411544</v>
      </c>
    </row>
  </sheetData>
  <sheetProtection sheet="1" scenarios="1" formatCells="0"/>
  <mergeCells count="16">
    <mergeCell ref="S22:Y22"/>
    <mergeCell ref="D21:J21"/>
    <mergeCell ref="Q2:Y2"/>
    <mergeCell ref="B2:J2"/>
    <mergeCell ref="R6:S6"/>
    <mergeCell ref="T6:U6"/>
    <mergeCell ref="X6:Y6"/>
    <mergeCell ref="O20:Q20"/>
    <mergeCell ref="C6:D6"/>
    <mergeCell ref="V6:W6"/>
    <mergeCell ref="AB6:AC6"/>
    <mergeCell ref="E6:F6"/>
    <mergeCell ref="I6:J6"/>
    <mergeCell ref="M6:N6"/>
    <mergeCell ref="K6:L6"/>
    <mergeCell ref="Z6:AA6"/>
  </mergeCells>
  <conditionalFormatting sqref="A1:XFD1 A2:B2 O2:Q2 Z2:XFD5 A3:D5 K3:U5 G3:H12 A6:C6 K6 M6 O6:R6 T6 Z6 AB6 AD6:XFD6 A7:D12 K7:U18 Z7:XFD18 A13:F18 A19:XFD19 A20:O20 Z20:XFD22 A21:D21 N21:O21 A22:Q22 S22 C23:Q23 A23:A24 S23:XFD24 B24:Q24 A25:XFD1048576">
    <cfRule type="expression" dxfId="150" priority="9">
      <formula>_xlfn.ISFORMULA(A1)</formula>
    </cfRule>
  </conditionalFormatting>
  <conditionalFormatting sqref="E7:F11">
    <cfRule type="expression" dxfId="149" priority="2">
      <formula>_xlfn.ISFORMULA(E7)</formula>
    </cfRule>
  </conditionalFormatting>
  <conditionalFormatting sqref="F3">
    <cfRule type="expression" dxfId="148" priority="4">
      <formula>_xlfn.ISFORMULA(F3)</formula>
    </cfRule>
  </conditionalFormatting>
  <conditionalFormatting sqref="I7:J13">
    <cfRule type="expression" dxfId="147" priority="1">
      <formula>_xlfn.ISFORMULA(I7)</formula>
    </cfRule>
  </conditionalFormatting>
  <conditionalFormatting sqref="J3">
    <cfRule type="expression" dxfId="146" priority="3">
      <formula>_xlfn.ISFORMULA(J3)</formula>
    </cfRule>
  </conditionalFormatting>
  <conditionalFormatting sqref="V7:W12">
    <cfRule type="expression" dxfId="145" priority="8">
      <formula>_xlfn.ISFORMULA(V7)</formula>
    </cfRule>
  </conditionalFormatting>
  <conditionalFormatting sqref="W3">
    <cfRule type="expression" dxfId="144" priority="7">
      <formula>_xlfn.ISFORMULA(W3)</formula>
    </cfRule>
  </conditionalFormatting>
  <conditionalFormatting sqref="X7:Y13">
    <cfRule type="expression" dxfId="143" priority="6">
      <formula>_xlfn.ISFORMULA(X7)</formula>
    </cfRule>
  </conditionalFormatting>
  <conditionalFormatting sqref="Y3">
    <cfRule type="expression" dxfId="142" priority="5">
      <formula>_xlfn.ISFORMULA(Y3)</formula>
    </cfRule>
  </conditionalFormatting>
  <hyperlinks>
    <hyperlink ref="B24" location="Overview!A1" display="Back to Overview" xr:uid="{C72CDB29-221D-AD40-B2BE-B3FF29ECC3EA}"/>
  </hyperlinks>
  <pageMargins left="0.7" right="0.7" top="0.75" bottom="0.75" header="0.3" footer="0.3"/>
  <ignoredErrors>
    <ignoredError sqref="T7:T10" formula="1"/>
  </ignoredErrors>
  <drawing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E50F-AFB9-A541-85CD-A76BD7FEAE25}">
  <sheetPr codeName="Sheet26">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550</v>
      </c>
      <c r="C1" s="289"/>
      <c r="D1" s="289"/>
      <c r="E1" s="289"/>
      <c r="F1" s="289"/>
      <c r="G1" s="289"/>
      <c r="P1" s="4" t="s">
        <v>478</v>
      </c>
    </row>
    <row r="2" spans="2:23" s="70" customFormat="1" ht="48" x14ac:dyDescent="0.2">
      <c r="D2" s="154" t="s">
        <v>84</v>
      </c>
      <c r="E2" s="72" t="str">
        <f>D2</f>
        <v>Pythagorean Comma</v>
      </c>
      <c r="F2" s="72" t="str">
        <f>_xlfn.CONCAT("1/",D3," ",D2)</f>
        <v>1/5 Pythagorean Comma</v>
      </c>
      <c r="G2" s="102"/>
      <c r="H2" s="103" t="s">
        <v>143</v>
      </c>
      <c r="I2" s="161">
        <v>440</v>
      </c>
      <c r="J2" s="103" t="str">
        <f>_xlfn.CONCAT("C for A=", I2,":")</f>
        <v>C for A=440:</v>
      </c>
      <c r="K2" s="70">
        <f>I2*2*8/27*POWER($F$3,$D$13-$D$10)</f>
        <v>262.86936642617428</v>
      </c>
      <c r="L2" s="103"/>
      <c r="U2" s="103"/>
      <c r="V2" s="103"/>
      <c r="W2" s="103"/>
    </row>
    <row r="3" spans="2:23" ht="16" x14ac:dyDescent="0.2">
      <c r="B3" s="105"/>
      <c r="C3" s="74" t="s">
        <v>125</v>
      </c>
      <c r="D3" s="155">
        <v>5</v>
      </c>
      <c r="E3" s="1">
        <f>IF(D2="Pythagorean Comma",524288/531441,IF(D2="Syntonic Comma",80/81,IF(D2="Cents",1/POWER(2,1/1200),"Not in List")))</f>
        <v>0.98654036854514426</v>
      </c>
      <c r="F3" s="132">
        <f>POWER(E3,1/D3)</f>
        <v>0.997293462618844</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07" t="s">
        <v>2</v>
      </c>
      <c r="C10" s="185">
        <v>0</v>
      </c>
      <c r="D10" s="4">
        <f>C10</f>
        <v>0</v>
      </c>
      <c r="E10" s="109">
        <f>K2</f>
        <v>262.86936642617428</v>
      </c>
      <c r="F10" s="189"/>
      <c r="G10" s="97">
        <v>0</v>
      </c>
      <c r="H10" s="188">
        <f t="shared" ref="H10:H22" si="0">E10/POWER(2,G10)</f>
        <v>262.86936642617428</v>
      </c>
      <c r="J10" s="85" t="s">
        <v>2</v>
      </c>
      <c r="K10" s="4">
        <f t="shared" ref="K10:K22" si="1">VLOOKUP(J10,Master_Frequencies,2,FALSE)</f>
        <v>262.86936642617428</v>
      </c>
      <c r="L10" s="4">
        <f t="shared" ref="L10:L22" si="2">LOG(K10/K$10,2)*1200</f>
        <v>0</v>
      </c>
      <c r="N10" s="158">
        <v>3600</v>
      </c>
      <c r="P10" s="123" t="str">
        <f>J10</f>
        <v>C</v>
      </c>
      <c r="Q10" s="4">
        <f>E10</f>
        <v>262.86936642617428</v>
      </c>
      <c r="R10" s="4">
        <f>LOG(K10/Q10,2)*1200</f>
        <v>0</v>
      </c>
      <c r="S10" s="145" t="str">
        <f t="shared" ref="S10:S22" si="3">B10</f>
        <v>C</v>
      </c>
      <c r="T10" s="4">
        <f t="shared" ref="T10:T22" si="4">VLOOKUP(S10,Master_Frequencies,2,FALSE)</f>
        <v>262.86936642617428</v>
      </c>
      <c r="U10" s="47">
        <f t="shared" ref="U10:U22" si="5">VLOOKUP(S10,$P$10:$R$22,3,FALSE)</f>
        <v>0</v>
      </c>
    </row>
    <row r="11" spans="2:23" x14ac:dyDescent="0.2">
      <c r="B11" s="107" t="s">
        <v>6</v>
      </c>
      <c r="C11" s="185">
        <v>-1</v>
      </c>
      <c r="D11" s="4">
        <f>D10+C11</f>
        <v>-1</v>
      </c>
      <c r="E11" s="4">
        <f t="shared" ref="E11:E22" si="6">IF(C11&lt;0,(E10*3/2)*POWER($F$3,ABS(C11)),(E10*3/2)*POWER(1/$F$3,ABS(C11)))</f>
        <v>393.23685098937153</v>
      </c>
      <c r="F11" s="189">
        <f t="shared" ref="F11:F22" si="7">LOG(E11/E10,2)*1200</f>
        <v>697.26299878845759</v>
      </c>
      <c r="G11" s="97">
        <v>0</v>
      </c>
      <c r="H11" s="188">
        <f t="shared" si="0"/>
        <v>393.23685098937153</v>
      </c>
      <c r="J11" s="85" t="s">
        <v>74</v>
      </c>
      <c r="K11" s="4">
        <f t="shared" si="1"/>
        <v>275.00004487414878</v>
      </c>
      <c r="L11" s="4">
        <f t="shared" si="2"/>
        <v>78.102992730745626</v>
      </c>
      <c r="M11" s="4">
        <f t="shared" ref="M11:M22" si="8">LOG(K11/K10,2)*1200</f>
        <v>78.102992730745626</v>
      </c>
      <c r="N11" s="47">
        <f t="shared" ref="N11:N22" si="9">N$10*K$10/K11</f>
        <v>3441.1984171395547</v>
      </c>
      <c r="P11" s="123" t="str">
        <f t="shared" ref="P11:P22" si="10">J11</f>
        <v>C#</v>
      </c>
      <c r="Q11" s="4">
        <f t="shared" ref="Q11:Q22" si="11">Q10*POWER($Q$10*2/$Q$10,1/12)</f>
        <v>278.50039236614208</v>
      </c>
      <c r="R11" s="4">
        <f t="shared" ref="R11:R22" si="12">LOG(K11/Q11,2)*1200</f>
        <v>-21.897007269254537</v>
      </c>
      <c r="S11" s="145" t="str">
        <f t="shared" si="3"/>
        <v>G</v>
      </c>
      <c r="T11" s="4">
        <f t="shared" si="4"/>
        <v>393.23685098937153</v>
      </c>
      <c r="U11" s="47">
        <f t="shared" si="5"/>
        <v>-2.7370012115429714</v>
      </c>
    </row>
    <row r="12" spans="2:23" x14ac:dyDescent="0.2">
      <c r="B12" s="107" t="s">
        <v>3</v>
      </c>
      <c r="C12" s="185">
        <v>-1</v>
      </c>
      <c r="D12" s="4">
        <f t="shared" ref="D12:D22" si="13">D11+C12</f>
        <v>-2</v>
      </c>
      <c r="E12" s="4">
        <f t="shared" si="6"/>
        <v>588.25881112878108</v>
      </c>
      <c r="F12" s="189">
        <f t="shared" si="7"/>
        <v>697.26299878845759</v>
      </c>
      <c r="G12" s="97">
        <v>1</v>
      </c>
      <c r="H12" s="188">
        <f t="shared" si="0"/>
        <v>294.12940556439054</v>
      </c>
      <c r="J12" s="85" t="s">
        <v>3</v>
      </c>
      <c r="K12" s="4">
        <f t="shared" si="1"/>
        <v>294.12940556439054</v>
      </c>
      <c r="L12" s="4">
        <f t="shared" si="2"/>
        <v>194.52599757691516</v>
      </c>
      <c r="M12" s="4">
        <f t="shared" si="8"/>
        <v>116.42300484616929</v>
      </c>
      <c r="N12" s="47">
        <f t="shared" si="9"/>
        <v>3217.3924171857675</v>
      </c>
      <c r="P12" s="123" t="str">
        <f t="shared" si="10"/>
        <v>D</v>
      </c>
      <c r="Q12" s="4">
        <f t="shared" si="11"/>
        <v>295.06088747651074</v>
      </c>
      <c r="R12" s="4">
        <f t="shared" si="12"/>
        <v>-5.4740024230851878</v>
      </c>
      <c r="S12" s="145" t="str">
        <f t="shared" si="3"/>
        <v>D</v>
      </c>
      <c r="T12" s="4">
        <f t="shared" si="4"/>
        <v>294.12940556439054</v>
      </c>
      <c r="U12" s="47">
        <f t="shared" si="5"/>
        <v>-5.4740024230851878</v>
      </c>
    </row>
    <row r="13" spans="2:23" x14ac:dyDescent="0.2">
      <c r="B13" s="107" t="s">
        <v>7</v>
      </c>
      <c r="C13" s="185">
        <v>-1</v>
      </c>
      <c r="D13" s="4">
        <f t="shared" si="13"/>
        <v>-3</v>
      </c>
      <c r="E13" s="4">
        <f t="shared" si="6"/>
        <v>880</v>
      </c>
      <c r="F13" s="189">
        <f t="shared" si="7"/>
        <v>697.26299878845794</v>
      </c>
      <c r="G13" s="97">
        <v>1</v>
      </c>
      <c r="H13" s="188">
        <f t="shared" si="0"/>
        <v>440</v>
      </c>
      <c r="J13" s="85" t="s">
        <v>76</v>
      </c>
      <c r="K13" s="4">
        <f t="shared" si="1"/>
        <v>314.58942747580795</v>
      </c>
      <c r="L13" s="4">
        <f t="shared" si="2"/>
        <v>310.94899151920168</v>
      </c>
      <c r="M13" s="4">
        <f t="shared" si="8"/>
        <v>116.42299394228657</v>
      </c>
      <c r="N13" s="47">
        <f t="shared" si="9"/>
        <v>3008.1421576286143</v>
      </c>
      <c r="P13" s="123" t="str">
        <f t="shared" si="10"/>
        <v>D#</v>
      </c>
      <c r="Q13" s="4">
        <f t="shared" si="11"/>
        <v>312.60612087026391</v>
      </c>
      <c r="R13" s="4">
        <f t="shared" si="12"/>
        <v>10.9489915192016</v>
      </c>
      <c r="S13" s="145" t="str">
        <f t="shared" si="3"/>
        <v>A</v>
      </c>
      <c r="T13" s="4">
        <f t="shared" si="4"/>
        <v>440</v>
      </c>
      <c r="U13" s="47">
        <f t="shared" si="5"/>
        <v>-8.2110036346280708</v>
      </c>
    </row>
    <row r="14" spans="2:23" x14ac:dyDescent="0.2">
      <c r="B14" s="107" t="s">
        <v>4</v>
      </c>
      <c r="C14" s="185">
        <v>-1</v>
      </c>
      <c r="D14" s="4">
        <f t="shared" si="13"/>
        <v>-4</v>
      </c>
      <c r="E14" s="4">
        <f t="shared" si="6"/>
        <v>1316.427370656874</v>
      </c>
      <c r="F14" s="189">
        <f t="shared" si="7"/>
        <v>697.26299878845759</v>
      </c>
      <c r="G14" s="97">
        <v>2</v>
      </c>
      <c r="H14" s="188">
        <f t="shared" si="0"/>
        <v>329.1068426642185</v>
      </c>
      <c r="J14" s="85" t="s">
        <v>4</v>
      </c>
      <c r="K14" s="4">
        <f t="shared" si="1"/>
        <v>329.1068426642185</v>
      </c>
      <c r="L14" s="4">
        <f t="shared" si="2"/>
        <v>389.05199515383032</v>
      </c>
      <c r="M14" s="4">
        <f t="shared" si="8"/>
        <v>78.103003634628777</v>
      </c>
      <c r="N14" s="47">
        <f t="shared" si="9"/>
        <v>2875.4483239345764</v>
      </c>
      <c r="P14" s="123" t="str">
        <f t="shared" si="10"/>
        <v>E</v>
      </c>
      <c r="Q14" s="4">
        <f t="shared" si="11"/>
        <v>331.19464813286567</v>
      </c>
      <c r="R14" s="4">
        <f t="shared" si="12"/>
        <v>-10.948004846169963</v>
      </c>
      <c r="S14" s="145" t="str">
        <f t="shared" si="3"/>
        <v>E</v>
      </c>
      <c r="T14" s="4">
        <f t="shared" si="4"/>
        <v>329.1068426642185</v>
      </c>
      <c r="U14" s="47">
        <f t="shared" si="5"/>
        <v>-10.948004846169963</v>
      </c>
    </row>
    <row r="15" spans="2:23" x14ac:dyDescent="0.2">
      <c r="B15" s="107" t="s">
        <v>8</v>
      </c>
      <c r="C15" s="185">
        <v>-1</v>
      </c>
      <c r="D15" s="4">
        <f t="shared" si="13"/>
        <v>-5</v>
      </c>
      <c r="E15" s="4">
        <f t="shared" si="6"/>
        <v>1969.2966161529216</v>
      </c>
      <c r="F15" s="189">
        <f t="shared" si="7"/>
        <v>697.26299878845794</v>
      </c>
      <c r="G15" s="97">
        <v>2</v>
      </c>
      <c r="H15" s="188">
        <f t="shared" si="0"/>
        <v>492.3241540382304</v>
      </c>
      <c r="J15" s="85" t="s">
        <v>5</v>
      </c>
      <c r="K15" s="4">
        <f t="shared" si="1"/>
        <v>351.99994034408724</v>
      </c>
      <c r="L15" s="4">
        <f t="shared" si="2"/>
        <v>505.47498909611693</v>
      </c>
      <c r="M15" s="4">
        <f t="shared" si="8"/>
        <v>116.42299394228657</v>
      </c>
      <c r="N15" s="47">
        <f t="shared" si="9"/>
        <v>2688.4371577142042</v>
      </c>
      <c r="P15" s="123" t="str">
        <f t="shared" si="10"/>
        <v>F</v>
      </c>
      <c r="Q15" s="4">
        <f t="shared" si="11"/>
        <v>350.88850674608386</v>
      </c>
      <c r="R15" s="4">
        <f t="shared" si="12"/>
        <v>5.4749890961166692</v>
      </c>
      <c r="S15" s="145" t="str">
        <f t="shared" si="3"/>
        <v>B</v>
      </c>
      <c r="T15" s="4">
        <f t="shared" si="4"/>
        <v>492.3241540382304</v>
      </c>
      <c r="U15" s="47">
        <f t="shared" si="5"/>
        <v>-13.685006057712771</v>
      </c>
    </row>
    <row r="16" spans="2:23" x14ac:dyDescent="0.2">
      <c r="B16" s="107" t="s">
        <v>70</v>
      </c>
      <c r="C16" s="185">
        <v>-1.5835459455400001</v>
      </c>
      <c r="D16" s="4">
        <f t="shared" si="13"/>
        <v>-6.5835459455400001</v>
      </c>
      <c r="E16" s="4">
        <f t="shared" si="6"/>
        <v>2941.294535600513</v>
      </c>
      <c r="F16" s="189">
        <f t="shared" si="7"/>
        <v>694.52499999999998</v>
      </c>
      <c r="G16" s="97">
        <v>3</v>
      </c>
      <c r="H16" s="188">
        <f t="shared" si="0"/>
        <v>367.66181695006412</v>
      </c>
      <c r="J16" s="85" t="s">
        <v>70</v>
      </c>
      <c r="K16" s="4">
        <f t="shared" si="1"/>
        <v>367.66181695006412</v>
      </c>
      <c r="L16" s="4">
        <f t="shared" si="2"/>
        <v>580.83999394228806</v>
      </c>
      <c r="M16" s="4">
        <f t="shared" si="8"/>
        <v>75.365004846170905</v>
      </c>
      <c r="N16" s="47">
        <f t="shared" si="9"/>
        <v>2573.9135137406938</v>
      </c>
      <c r="P16" s="123" t="str">
        <f t="shared" si="10"/>
        <v>F#</v>
      </c>
      <c r="Q16" s="4">
        <f t="shared" si="11"/>
        <v>371.75342313231846</v>
      </c>
      <c r="R16" s="4">
        <f t="shared" si="12"/>
        <v>-19.160006057712369</v>
      </c>
      <c r="S16" s="145" t="str">
        <f t="shared" si="3"/>
        <v>F#</v>
      </c>
      <c r="T16" s="4">
        <f t="shared" si="4"/>
        <v>367.66181695006412</v>
      </c>
      <c r="U16" s="47">
        <f t="shared" si="5"/>
        <v>-19.160006057712369</v>
      </c>
    </row>
    <row r="17" spans="2:26" x14ac:dyDescent="0.2">
      <c r="B17" s="107" t="s">
        <v>74</v>
      </c>
      <c r="C17" s="185">
        <v>-1</v>
      </c>
      <c r="D17" s="4">
        <f t="shared" si="13"/>
        <v>-7.5835459455400001</v>
      </c>
      <c r="E17" s="4">
        <f t="shared" si="6"/>
        <v>4400.0007179863806</v>
      </c>
      <c r="F17" s="189">
        <f t="shared" si="7"/>
        <v>697.26299878845759</v>
      </c>
      <c r="G17" s="97">
        <v>4</v>
      </c>
      <c r="H17" s="188">
        <f t="shared" si="0"/>
        <v>275.00004487414878</v>
      </c>
      <c r="J17" s="85" t="s">
        <v>6</v>
      </c>
      <c r="K17" s="4">
        <f t="shared" si="1"/>
        <v>393.23685098937153</v>
      </c>
      <c r="L17" s="4">
        <f t="shared" si="2"/>
        <v>697.26299878845759</v>
      </c>
      <c r="M17" s="4">
        <f t="shared" si="8"/>
        <v>116.42300484616965</v>
      </c>
      <c r="N17" s="47">
        <f t="shared" si="9"/>
        <v>2406.5133182541044</v>
      </c>
      <c r="P17" s="123" t="str">
        <f t="shared" si="10"/>
        <v>G</v>
      </c>
      <c r="Q17" s="4">
        <f t="shared" si="11"/>
        <v>393.85903201042657</v>
      </c>
      <c r="R17" s="4">
        <f t="shared" si="12"/>
        <v>-2.7370012115429714</v>
      </c>
      <c r="S17" s="145" t="str">
        <f t="shared" si="3"/>
        <v>C#</v>
      </c>
      <c r="T17" s="4">
        <f t="shared" si="4"/>
        <v>275.00004487414878</v>
      </c>
      <c r="U17" s="47">
        <f t="shared" si="5"/>
        <v>-21.897007269254537</v>
      </c>
    </row>
    <row r="18" spans="2:26" x14ac:dyDescent="0.2">
      <c r="B18" s="107" t="s">
        <v>72</v>
      </c>
      <c r="C18" s="185">
        <v>-1</v>
      </c>
      <c r="D18" s="4">
        <f t="shared" si="13"/>
        <v>-8.5835459455399992</v>
      </c>
      <c r="E18" s="4">
        <f t="shared" si="6"/>
        <v>6582.1379273490556</v>
      </c>
      <c r="F18" s="189">
        <f t="shared" si="7"/>
        <v>697.26299878845759</v>
      </c>
      <c r="G18" s="97">
        <v>4</v>
      </c>
      <c r="H18" s="188">
        <f t="shared" si="0"/>
        <v>411.38362045931598</v>
      </c>
      <c r="J18" s="85" t="s">
        <v>72</v>
      </c>
      <c r="K18" s="4">
        <f t="shared" si="1"/>
        <v>411.38362045931598</v>
      </c>
      <c r="L18" s="4">
        <f t="shared" si="2"/>
        <v>775.36599151920336</v>
      </c>
      <c r="M18" s="4">
        <f t="shared" si="8"/>
        <v>78.102992730745626</v>
      </c>
      <c r="N18" s="47">
        <f t="shared" si="9"/>
        <v>2300.3582837781341</v>
      </c>
      <c r="P18" s="123" t="str">
        <f t="shared" si="10"/>
        <v>G#</v>
      </c>
      <c r="Q18" s="4">
        <f t="shared" si="11"/>
        <v>417.27910879512331</v>
      </c>
      <c r="R18" s="4">
        <f t="shared" si="12"/>
        <v>-24.634008480797494</v>
      </c>
      <c r="S18" s="145" t="str">
        <f t="shared" si="3"/>
        <v>G#</v>
      </c>
      <c r="T18" s="4">
        <f t="shared" si="4"/>
        <v>411.38362045931598</v>
      </c>
      <c r="U18" s="47">
        <f t="shared" si="5"/>
        <v>-24.634008480797494</v>
      </c>
    </row>
    <row r="19" spans="2:26" x14ac:dyDescent="0.2">
      <c r="B19" s="107" t="s">
        <v>76</v>
      </c>
      <c r="C19" s="185">
        <v>7.1670895671506001</v>
      </c>
      <c r="D19" s="4">
        <f t="shared" si="13"/>
        <v>-1.4164563783893991</v>
      </c>
      <c r="E19" s="4">
        <f t="shared" si="6"/>
        <v>10066.861679225854</v>
      </c>
      <c r="F19" s="189">
        <f t="shared" si="7"/>
        <v>735.58299999999849</v>
      </c>
      <c r="G19" s="97">
        <v>5</v>
      </c>
      <c r="H19" s="188">
        <f t="shared" si="0"/>
        <v>314.58942747580795</v>
      </c>
      <c r="J19" s="85" t="s">
        <v>7</v>
      </c>
      <c r="K19" s="4">
        <f t="shared" si="1"/>
        <v>440</v>
      </c>
      <c r="L19" s="4">
        <f t="shared" si="2"/>
        <v>891.78899636537278</v>
      </c>
      <c r="M19" s="4">
        <f t="shared" si="8"/>
        <v>116.42300484616965</v>
      </c>
      <c r="N19" s="47">
        <f t="shared" si="9"/>
        <v>2150.7493616686984</v>
      </c>
      <c r="P19" s="123" t="str">
        <f t="shared" si="10"/>
        <v>A</v>
      </c>
      <c r="Q19" s="4">
        <f t="shared" si="11"/>
        <v>442.09181581557038</v>
      </c>
      <c r="R19" s="4">
        <f t="shared" si="12"/>
        <v>-8.2110036346280708</v>
      </c>
      <c r="S19" s="145" t="str">
        <f t="shared" si="3"/>
        <v>D#</v>
      </c>
      <c r="T19" s="4">
        <f t="shared" si="4"/>
        <v>314.58942747580795</v>
      </c>
      <c r="U19" s="47">
        <f t="shared" si="5"/>
        <v>10.9489915192016</v>
      </c>
    </row>
    <row r="20" spans="2:26" x14ac:dyDescent="0.2">
      <c r="B20" s="107" t="s">
        <v>73</v>
      </c>
      <c r="C20" s="185">
        <v>-1</v>
      </c>
      <c r="D20" s="4">
        <f t="shared" si="13"/>
        <v>-2.4164563783893991</v>
      </c>
      <c r="E20" s="4">
        <f t="shared" si="6"/>
        <v>15059.423012670155</v>
      </c>
      <c r="F20" s="189">
        <f t="shared" si="7"/>
        <v>697.26299878845794</v>
      </c>
      <c r="G20" s="97">
        <v>5</v>
      </c>
      <c r="H20" s="188">
        <f t="shared" si="0"/>
        <v>470.60696914594234</v>
      </c>
      <c r="J20" s="85" t="s">
        <v>73</v>
      </c>
      <c r="K20" s="4">
        <f t="shared" si="1"/>
        <v>470.60696914594234</v>
      </c>
      <c r="L20" s="4">
        <f t="shared" si="2"/>
        <v>1008.2119903076594</v>
      </c>
      <c r="M20" s="4">
        <f t="shared" si="8"/>
        <v>116.42299394228657</v>
      </c>
      <c r="N20" s="47">
        <f t="shared" si="9"/>
        <v>2010.8706015374714</v>
      </c>
      <c r="P20" s="123" t="str">
        <f t="shared" si="10"/>
        <v>A#</v>
      </c>
      <c r="Q20" s="4">
        <f t="shared" si="11"/>
        <v>468.37996317488387</v>
      </c>
      <c r="R20" s="4">
        <f t="shared" si="12"/>
        <v>8.2119903076584375</v>
      </c>
      <c r="S20" s="145" t="str">
        <f t="shared" si="3"/>
        <v>A#</v>
      </c>
      <c r="T20" s="4">
        <f t="shared" si="4"/>
        <v>470.60696914594234</v>
      </c>
      <c r="U20" s="47">
        <f t="shared" si="5"/>
        <v>8.2119903076584375</v>
      </c>
    </row>
    <row r="21" spans="2:26" x14ac:dyDescent="0.2">
      <c r="B21" s="107" t="s">
        <v>5</v>
      </c>
      <c r="C21" s="185">
        <v>-1</v>
      </c>
      <c r="D21" s="4">
        <f t="shared" si="13"/>
        <v>-3.4164563783893991</v>
      </c>
      <c r="E21" s="4">
        <f t="shared" si="6"/>
        <v>22527.996182021583</v>
      </c>
      <c r="F21" s="189">
        <f t="shared" si="7"/>
        <v>697.26299878845759</v>
      </c>
      <c r="G21" s="97">
        <v>6</v>
      </c>
      <c r="H21" s="188">
        <f t="shared" si="0"/>
        <v>351.99994034408724</v>
      </c>
      <c r="J21" s="85" t="s">
        <v>8</v>
      </c>
      <c r="K21" s="4">
        <f t="shared" si="1"/>
        <v>492.3241540382304</v>
      </c>
      <c r="L21" s="4">
        <f t="shared" si="2"/>
        <v>1086.3149939422883</v>
      </c>
      <c r="M21" s="4">
        <f t="shared" si="8"/>
        <v>78.103003634628777</v>
      </c>
      <c r="N21" s="47">
        <f t="shared" si="9"/>
        <v>1922.1679687499998</v>
      </c>
      <c r="P21" s="123" t="str">
        <f t="shared" si="10"/>
        <v>B</v>
      </c>
      <c r="Q21" s="4">
        <f t="shared" si="11"/>
        <v>496.23128512115522</v>
      </c>
      <c r="R21" s="4">
        <f t="shared" si="12"/>
        <v>-13.685006057712771</v>
      </c>
      <c r="S21" s="145" t="str">
        <f t="shared" si="3"/>
        <v>F</v>
      </c>
      <c r="T21" s="4">
        <f t="shared" si="4"/>
        <v>351.99994034408724</v>
      </c>
      <c r="U21" s="47">
        <f t="shared" si="5"/>
        <v>5.4749890961166692</v>
      </c>
    </row>
    <row r="22" spans="2:26" x14ac:dyDescent="0.2">
      <c r="B22" s="108" t="s">
        <v>78</v>
      </c>
      <c r="C22" s="186">
        <v>-1.5835459455400001</v>
      </c>
      <c r="D22" s="53">
        <f t="shared" si="13"/>
        <v>-5.0000023239293991</v>
      </c>
      <c r="E22" s="53">
        <f t="shared" si="6"/>
        <v>33647.278690628649</v>
      </c>
      <c r="F22" s="190">
        <f t="shared" si="7"/>
        <v>694.52499999999998</v>
      </c>
      <c r="G22" s="98">
        <v>6</v>
      </c>
      <c r="H22" s="48">
        <f t="shared" si="0"/>
        <v>525.73872954107264</v>
      </c>
      <c r="J22" s="87" t="s">
        <v>78</v>
      </c>
      <c r="K22" s="53">
        <f t="shared" si="1"/>
        <v>525.73872954107264</v>
      </c>
      <c r="L22" s="53">
        <f t="shared" si="2"/>
        <v>1199.9999890961171</v>
      </c>
      <c r="M22" s="53">
        <f t="shared" si="8"/>
        <v>113.68499515382885</v>
      </c>
      <c r="N22" s="48">
        <f t="shared" si="9"/>
        <v>1800.0000113369936</v>
      </c>
      <c r="P22" s="108" t="str">
        <f t="shared" si="10"/>
        <v>c oct.</v>
      </c>
      <c r="Q22" s="53">
        <f t="shared" si="11"/>
        <v>525.7387328523489</v>
      </c>
      <c r="R22" s="53">
        <f t="shared" si="12"/>
        <v>-1.0903884097195454E-5</v>
      </c>
      <c r="S22" s="151" t="str">
        <f t="shared" si="3"/>
        <v>c oct.</v>
      </c>
      <c r="T22" s="53">
        <f t="shared" si="4"/>
        <v>525.73872954107264</v>
      </c>
      <c r="U22" s="48">
        <f t="shared" si="5"/>
        <v>-1.0903884097195454E-5</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1</v>
      </c>
    </row>
    <row r="27" spans="2:26" s="84" customFormat="1" ht="64" x14ac:dyDescent="0.2">
      <c r="B27" s="83" t="s">
        <v>130</v>
      </c>
      <c r="C27" s="84" t="s">
        <v>131</v>
      </c>
      <c r="D27" s="84" t="s">
        <v>132</v>
      </c>
      <c r="E27" s="84" t="str" cm="1">
        <f t="array" aca="1" ref="E27" ca="1">_xlfn.CONCAT(_xlfn.TEXTAFTER(CELL("filename",A2),"]")," Interval in cents")</f>
        <v>Altstedt, Scholsskappelle 2 Interval in cents</v>
      </c>
      <c r="F27" s="84" t="s">
        <v>18</v>
      </c>
      <c r="G27" s="52" t="str">
        <f>_xlfn.CONCAT("diff ",$F$2)</f>
        <v>diff 1/5 Pythagorean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 si="14">LOG(D28*VLOOKUP(C28,Master_Frequencies,2,FALSE)/VLOOKUP(B28,Master_Frequencies,2,FALSE),2)*1200</f>
        <v>389.05199515383032</v>
      </c>
      <c r="F28" s="4">
        <f t="shared" ref="F28" si="15">VLOOKUP(B28,Master_Frequencies,2,FALSE)*5/4</f>
        <v>328.58670803271787</v>
      </c>
      <c r="G28" s="47">
        <f t="shared" ref="G28" si="16">IF($D$2="Cents",LOG(VLOOKUP(C28,Master_Frequencies,2,FALSE)/F28,2)*1200*$F$3,LOG(D28*VLOOKUP(C28,Master_Frequencies,2,FALSE)/F28,$F$3))</f>
        <v>-0.58360615449410391</v>
      </c>
      <c r="I28" s="123" t="s">
        <v>2</v>
      </c>
      <c r="J28" s="145" t="s">
        <v>6</v>
      </c>
      <c r="K28" s="97">
        <v>1</v>
      </c>
      <c r="L28" s="191">
        <f t="shared" ref="L28:L39" si="17">K28*VLOOKUP(J28,Master_Frequencies,2,FALSE)/VLOOKUP(I28,Master_Frequencies,2,FALSE)</f>
        <v>1.4959401939282659</v>
      </c>
      <c r="M28" s="145" t="s">
        <v>2</v>
      </c>
      <c r="N28" s="145" t="s">
        <v>4</v>
      </c>
      <c r="O28" s="191">
        <f t="shared" ref="O28:O39" si="18">D28*VLOOKUP(N28,Master_Frequencies,2,FALSE)/VLOOKUP(M28,Master_Frequencies,2,FALSE)</f>
        <v>1.2519786810405948</v>
      </c>
      <c r="Q28" s="99">
        <v>1</v>
      </c>
      <c r="R28" s="18">
        <f>$E$10*Q28</f>
        <v>262.86936642617428</v>
      </c>
      <c r="S28" s="97">
        <v>0</v>
      </c>
      <c r="T28" s="4">
        <f>R28/POWER(2,S28)</f>
        <v>262.86936642617428</v>
      </c>
      <c r="U28" s="18" t="str" cm="1">
        <f t="array" ref="U28">_xlfn.XLOOKUP(0,ABS($C$45:$C$57-T28),$B$45:$B$57,,1)</f>
        <v>C</v>
      </c>
      <c r="V28" s="47">
        <f t="shared" ref="V28" si="19">LOG(T28/VLOOKUP(U28,Master_Frequencies,2,FALSE),2)*1200</f>
        <v>0</v>
      </c>
      <c r="X28" s="85" t="s">
        <v>2</v>
      </c>
      <c r="Y28" s="4">
        <f t="shared" ref="Y28:Y40" si="20">VLOOKUP(X28,Master_Frequencies,2,FALSE)/POWER(2,$Z$26)</f>
        <v>131.43468321308714</v>
      </c>
      <c r="Z28" s="47">
        <f t="shared" ref="Z28:Z40" si="21">VLOOKUP(X28,Master_Frequencies,2,FALSE)*POWER(2,$Z$26)</f>
        <v>525.73873285234856</v>
      </c>
    </row>
    <row r="29" spans="2:26" x14ac:dyDescent="0.2">
      <c r="B29" s="123" t="s">
        <v>74</v>
      </c>
      <c r="C29" s="145" t="s">
        <v>5</v>
      </c>
      <c r="D29" s="97">
        <v>1</v>
      </c>
      <c r="E29" s="4">
        <f t="shared" ref="E29" si="22">LOG(D29*VLOOKUP(C29,Master_Frequencies,2,FALSE)/VLOOKUP(B29,Master_Frequencies,2,FALSE),2)*1200</f>
        <v>427.37199636537156</v>
      </c>
      <c r="F29" s="4">
        <f t="shared" ref="F29" si="23">VLOOKUP(B29,Master_Frequencies,2,FALSE)*5/4</f>
        <v>343.75005609268601</v>
      </c>
      <c r="G29" s="47">
        <f t="shared" ref="G29" si="24">IF($D$2="Cents",LOG(VLOOKUP(C29,Master_Frequencies,2,FALSE)/F29,2)*1200*$F$3,LOG(D29*VLOOKUP(C29,Master_Frequencies,2,FALSE)/F29,$F$3))</f>
        <v>-8.750695721644469</v>
      </c>
      <c r="I29" s="123" t="s">
        <v>74</v>
      </c>
      <c r="J29" s="145" t="s">
        <v>72</v>
      </c>
      <c r="K29" s="97">
        <v>1</v>
      </c>
      <c r="L29" s="191">
        <f t="shared" si="17"/>
        <v>1.4959401939282659</v>
      </c>
      <c r="M29" s="145" t="s">
        <v>74</v>
      </c>
      <c r="N29" s="145" t="s">
        <v>5</v>
      </c>
      <c r="O29" s="191">
        <f t="shared" si="18"/>
        <v>1.2799995742007124</v>
      </c>
      <c r="Q29" s="99">
        <v>2</v>
      </c>
      <c r="R29" s="18">
        <f t="shared" ref="R29:R40" si="25">$E$10*Q29</f>
        <v>525.73873285234856</v>
      </c>
      <c r="S29" s="97">
        <v>0</v>
      </c>
      <c r="T29" s="4">
        <f t="shared" ref="T29:T40" si="26">R29/POWER(2,S29)</f>
        <v>525.73873285234856</v>
      </c>
      <c r="U29" s="18" t="str" cm="1">
        <f t="array" ref="U29">_xlfn.XLOOKUP(0,ABS($C$45:$C$57-T29),$B$45:$B$57,,1)</f>
        <v>c oct.</v>
      </c>
      <c r="V29" s="47">
        <f t="shared" ref="V29" si="27">LOG(T29/VLOOKUP(U29,Master_Frequencies,2,FALSE),2)*1200</f>
        <v>1.0903883067491244E-5</v>
      </c>
      <c r="X29" s="85" t="s">
        <v>74</v>
      </c>
      <c r="Y29" s="4">
        <f t="shared" si="20"/>
        <v>137.50002243707439</v>
      </c>
      <c r="Z29" s="47">
        <f t="shared" si="21"/>
        <v>550.00008974829757</v>
      </c>
    </row>
    <row r="30" spans="2:26" x14ac:dyDescent="0.2">
      <c r="B30" s="123" t="s">
        <v>3</v>
      </c>
      <c r="C30" s="145" t="s">
        <v>70</v>
      </c>
      <c r="D30" s="97">
        <v>1</v>
      </c>
      <c r="E30" s="4">
        <f t="shared" ref="E30" si="28">LOG(D30*VLOOKUP(C30,Master_Frequencies,2,FALSE)/VLOOKUP(B30,Master_Frequencies,2,FALSE),2)*1200</f>
        <v>386.31399636537276</v>
      </c>
      <c r="F30" s="4">
        <f t="shared" ref="F30" si="29">VLOOKUP(B30,Master_Frequencies,2,FALSE)*5/4</f>
        <v>367.66175695548816</v>
      </c>
      <c r="G30" s="47">
        <f t="shared" ref="G30" si="30">IF($D$2="Cents",LOG(VLOOKUP(C30,Master_Frequencies,2,FALSE)/F30,2)*1200*$F$3,LOG(D30*VLOOKUP(C30,Master_Frequencies,2,FALSE)/F30,$F$3))</f>
        <v>-6.0208954220909662E-5</v>
      </c>
      <c r="I30" s="123" t="s">
        <v>3</v>
      </c>
      <c r="J30" s="145" t="s">
        <v>7</v>
      </c>
      <c r="K30" s="97">
        <v>1</v>
      </c>
      <c r="L30" s="191">
        <f t="shared" si="17"/>
        <v>1.4959401939282662</v>
      </c>
      <c r="M30" s="145" t="s">
        <v>3</v>
      </c>
      <c r="N30" s="145" t="s">
        <v>70</v>
      </c>
      <c r="O30" s="191">
        <f t="shared" si="18"/>
        <v>1.2500002039734035</v>
      </c>
      <c r="Q30" s="99">
        <v>3</v>
      </c>
      <c r="R30" s="18">
        <f t="shared" si="25"/>
        <v>788.60809927852279</v>
      </c>
      <c r="S30" s="97">
        <v>1</v>
      </c>
      <c r="T30" s="4">
        <f t="shared" si="26"/>
        <v>394.30404963926139</v>
      </c>
      <c r="U30" s="18" t="str" cm="1">
        <f t="array" ref="U30">_xlfn.XLOOKUP(0,ABS($C$45:$C$57-T30),$B$45:$B$57,,1)</f>
        <v>G</v>
      </c>
      <c r="V30" s="47">
        <f t="shared" ref="V30" si="31">LOG(T30/VLOOKUP(U30,Master_Frequencies,2,FALSE),2)*1200</f>
        <v>4.6920020769296409</v>
      </c>
      <c r="X30" s="85" t="s">
        <v>3</v>
      </c>
      <c r="Y30" s="4">
        <f t="shared" si="20"/>
        <v>147.06470278219527</v>
      </c>
      <c r="Z30" s="47">
        <f t="shared" si="21"/>
        <v>588.25881112878108</v>
      </c>
    </row>
    <row r="31" spans="2:26" x14ac:dyDescent="0.2">
      <c r="B31" s="123" t="s">
        <v>76</v>
      </c>
      <c r="C31" s="145" t="s">
        <v>6</v>
      </c>
      <c r="D31" s="97">
        <v>1</v>
      </c>
      <c r="E31" s="4">
        <f t="shared" ref="E31" si="32">LOG(D31*VLOOKUP(C31,Master_Frequencies,2,FALSE)/VLOOKUP(B31,Master_Frequencies,2,FALSE),2)*1200</f>
        <v>386.31400726925591</v>
      </c>
      <c r="F31" s="4">
        <f t="shared" ref="F31" si="33">VLOOKUP(B31,Master_Frequencies,2,FALSE)*5/4</f>
        <v>393.23678434475994</v>
      </c>
      <c r="G31" s="47">
        <f t="shared" ref="G31" si="34">IF($D$2="Cents",LOG(VLOOKUP(C31,Master_Frequencies,2,FALSE)/F31,2)*1200*$F$3,LOG(D31*VLOOKUP(C31,Master_Frequencies,2,FALSE)/F31,$F$3))</f>
        <v>-6.2532883888261645E-5</v>
      </c>
      <c r="I31" s="123" t="s">
        <v>76</v>
      </c>
      <c r="J31" s="145" t="s">
        <v>73</v>
      </c>
      <c r="K31" s="97">
        <v>1</v>
      </c>
      <c r="L31" s="191">
        <f t="shared" si="17"/>
        <v>1.4959401939282662</v>
      </c>
      <c r="M31" s="145" t="s">
        <v>76</v>
      </c>
      <c r="N31" s="145" t="s">
        <v>6</v>
      </c>
      <c r="O31" s="191">
        <f t="shared" si="18"/>
        <v>1.2500002118463172</v>
      </c>
      <c r="Q31" s="99">
        <v>4</v>
      </c>
      <c r="R31" s="18">
        <f t="shared" si="25"/>
        <v>1051.4774657046971</v>
      </c>
      <c r="S31" s="97">
        <v>1</v>
      </c>
      <c r="T31" s="4">
        <f t="shared" si="26"/>
        <v>525.73873285234856</v>
      </c>
      <c r="U31" s="18" t="str" cm="1">
        <f t="array" ref="U31">_xlfn.XLOOKUP(0,ABS($C$45:$C$57-T31),$B$45:$B$57,,1)</f>
        <v>c oct.</v>
      </c>
      <c r="V31" s="47">
        <f t="shared" ref="V31" si="35">LOG(T31/VLOOKUP(U31,Master_Frequencies,2,FALSE),2)*1200</f>
        <v>1.0903883067491244E-5</v>
      </c>
      <c r="X31" s="85" t="s">
        <v>76</v>
      </c>
      <c r="Y31" s="4">
        <f t="shared" si="20"/>
        <v>157.29471373790398</v>
      </c>
      <c r="Z31" s="47">
        <f t="shared" si="21"/>
        <v>629.1788549516159</v>
      </c>
    </row>
    <row r="32" spans="2:26" x14ac:dyDescent="0.2">
      <c r="B32" s="123" t="s">
        <v>4</v>
      </c>
      <c r="C32" s="145" t="s">
        <v>72</v>
      </c>
      <c r="D32" s="97">
        <v>1</v>
      </c>
      <c r="E32" s="4">
        <f t="shared" ref="E32" si="36">LOG(D32*VLOOKUP(C32,Master_Frequencies,2,FALSE)/VLOOKUP(B32,Master_Frequencies,2,FALSE),2)*1200</f>
        <v>386.31399636537276</v>
      </c>
      <c r="F32" s="4">
        <f t="shared" ref="F32" si="37">VLOOKUP(B32,Master_Frequencies,2,FALSE)*5/4</f>
        <v>411.38355333027312</v>
      </c>
      <c r="G32" s="47">
        <f t="shared" ref="G32" si="38">IF($D$2="Cents",LOG(VLOOKUP(C32,Master_Frequencies,2,FALSE)/F32,2)*1200*$F$3,LOG(D32*VLOOKUP(C32,Master_Frequencies,2,FALSE)/F32,$F$3))</f>
        <v>-6.0208954220909662E-5</v>
      </c>
      <c r="I32" s="123" t="s">
        <v>4</v>
      </c>
      <c r="J32" s="145" t="s">
        <v>8</v>
      </c>
      <c r="K32" s="97">
        <v>1</v>
      </c>
      <c r="L32" s="191">
        <f t="shared" si="17"/>
        <v>1.4959401939282662</v>
      </c>
      <c r="M32" s="145" t="s">
        <v>4</v>
      </c>
      <c r="N32" s="145" t="s">
        <v>72</v>
      </c>
      <c r="O32" s="191">
        <f t="shared" si="18"/>
        <v>1.2500002039734035</v>
      </c>
      <c r="Q32" s="99">
        <v>5</v>
      </c>
      <c r="R32" s="18">
        <f t="shared" si="25"/>
        <v>1314.3468321308715</v>
      </c>
      <c r="S32" s="97">
        <v>2</v>
      </c>
      <c r="T32" s="4">
        <f t="shared" si="26"/>
        <v>328.58670803271787</v>
      </c>
      <c r="U32" s="18" t="str" cm="1">
        <f t="array" ref="U32">_xlfn.XLOOKUP(0,ABS($C$45:$C$57-T32),$B$45:$B$57,,1)</f>
        <v>E</v>
      </c>
      <c r="V32" s="47">
        <f t="shared" ref="V32" si="39">LOG(T32/VLOOKUP(U32,Master_Frequencies,2,FALSE),2)*1200</f>
        <v>-2.7382812889954904</v>
      </c>
      <c r="X32" s="85" t="s">
        <v>4</v>
      </c>
      <c r="Y32" s="4">
        <f t="shared" si="20"/>
        <v>164.55342133210925</v>
      </c>
      <c r="Z32" s="47">
        <f t="shared" si="21"/>
        <v>658.21368532843701</v>
      </c>
    </row>
    <row r="33" spans="2:26" x14ac:dyDescent="0.2">
      <c r="B33" s="123" t="s">
        <v>5</v>
      </c>
      <c r="C33" s="145" t="s">
        <v>7</v>
      </c>
      <c r="D33" s="97">
        <v>1</v>
      </c>
      <c r="E33" s="4">
        <f t="shared" ref="E33" si="40">LOG(D33*VLOOKUP(C33,Master_Frequencies,2,FALSE)/VLOOKUP(B33,Master_Frequencies,2,FALSE),2)*1200</f>
        <v>386.31400726925557</v>
      </c>
      <c r="F33" s="4">
        <f t="shared" ref="F33" si="41">VLOOKUP(B33,Master_Frequencies,2,FALSE)*5/4</f>
        <v>439.99992543010904</v>
      </c>
      <c r="G33" s="47">
        <f t="shared" ref="G33" si="42">IF($D$2="Cents",LOG(VLOOKUP(C33,Master_Frequencies,2,FALSE)/F33,2)*1200*$F$3,LOG(D33*VLOOKUP(C33,Master_Frequencies,2,FALSE)/F33,$F$3))</f>
        <v>-6.2532883888261645E-5</v>
      </c>
      <c r="I33" s="123" t="s">
        <v>5</v>
      </c>
      <c r="J33" s="145" t="s">
        <v>78</v>
      </c>
      <c r="K33" s="97">
        <v>1</v>
      </c>
      <c r="L33" s="191">
        <f t="shared" si="17"/>
        <v>1.4935761893230781</v>
      </c>
      <c r="M33" s="145" t="s">
        <v>5</v>
      </c>
      <c r="N33" s="145" t="s">
        <v>7</v>
      </c>
      <c r="O33" s="191">
        <f t="shared" si="18"/>
        <v>1.2500002118463169</v>
      </c>
      <c r="Q33" s="99">
        <v>6</v>
      </c>
      <c r="R33" s="18">
        <f t="shared" si="25"/>
        <v>1577.2161985570456</v>
      </c>
      <c r="S33" s="97">
        <v>2</v>
      </c>
      <c r="T33" s="4">
        <f t="shared" si="26"/>
        <v>394.30404963926139</v>
      </c>
      <c r="U33" s="18" t="str" cm="1">
        <f t="array" ref="U33">_xlfn.XLOOKUP(0,ABS($C$45:$C$57-T33),$B$45:$B$57,,1)</f>
        <v>G</v>
      </c>
      <c r="V33" s="47">
        <f t="shared" ref="V33" si="43">LOG(T33/VLOOKUP(U33,Master_Frequencies,2,FALSE),2)*1200</f>
        <v>4.6920020769296409</v>
      </c>
      <c r="X33" s="85" t="s">
        <v>5</v>
      </c>
      <c r="Y33" s="4">
        <f t="shared" si="20"/>
        <v>175.99997017204362</v>
      </c>
      <c r="Z33" s="47">
        <f t="shared" si="21"/>
        <v>703.99988068817447</v>
      </c>
    </row>
    <row r="34" spans="2:26" x14ac:dyDescent="0.2">
      <c r="B34" s="123" t="s">
        <v>70</v>
      </c>
      <c r="C34" s="145" t="s">
        <v>73</v>
      </c>
      <c r="D34" s="97">
        <v>1</v>
      </c>
      <c r="E34" s="4">
        <f t="shared" ref="E34" si="44">LOG(D34*VLOOKUP(C34,Master_Frequencies,2,FALSE)/VLOOKUP(B34,Master_Frequencies,2,FALSE),2)*1200</f>
        <v>427.37199636537156</v>
      </c>
      <c r="F34" s="4">
        <f t="shared" ref="F34" si="45">VLOOKUP(B34,Master_Frequencies,2,FALSE)*5/4</f>
        <v>459.57727118758015</v>
      </c>
      <c r="G34" s="47">
        <f t="shared" ref="G34" si="46">IF($D$2="Cents",LOG(VLOOKUP(C34,Master_Frequencies,2,FALSE)/F34,2)*1200*$F$3,LOG(D34*VLOOKUP(C34,Master_Frequencies,2,FALSE)/F34,$F$3))</f>
        <v>-8.7506957216445489</v>
      </c>
      <c r="I34" s="123" t="s">
        <v>70</v>
      </c>
      <c r="J34" s="145" t="s">
        <v>74</v>
      </c>
      <c r="K34" s="97">
        <v>2</v>
      </c>
      <c r="L34" s="191">
        <f t="shared" si="17"/>
        <v>1.4959401939282659</v>
      </c>
      <c r="M34" s="145" t="s">
        <v>70</v>
      </c>
      <c r="N34" s="145" t="s">
        <v>73</v>
      </c>
      <c r="O34" s="191">
        <f t="shared" si="18"/>
        <v>1.2799995742007124</v>
      </c>
      <c r="Q34" s="99">
        <v>7</v>
      </c>
      <c r="R34" s="18">
        <f t="shared" si="25"/>
        <v>1840.0855649832199</v>
      </c>
      <c r="S34" s="97">
        <v>2</v>
      </c>
      <c r="T34" s="4">
        <f t="shared" si="26"/>
        <v>460.02139124580498</v>
      </c>
      <c r="U34" s="18" t="str" cm="1">
        <f t="array" ref="U34">_xlfn.XLOOKUP(0,ABS($C$45:$C$57-T34),$B$45:$B$57,,1)</f>
        <v>A#</v>
      </c>
      <c r="V34" s="47">
        <f t="shared" ref="V34" si="47">LOG(T34/VLOOKUP(U34,Master_Frequencies,2,FALSE),2)*1200</f>
        <v>-39.38608383853456</v>
      </c>
      <c r="X34" s="85" t="s">
        <v>70</v>
      </c>
      <c r="Y34" s="4">
        <f t="shared" si="20"/>
        <v>183.83090847503206</v>
      </c>
      <c r="Z34" s="47">
        <f t="shared" si="21"/>
        <v>735.32363390012824</v>
      </c>
    </row>
    <row r="35" spans="2:26" x14ac:dyDescent="0.2">
      <c r="B35" s="123" t="s">
        <v>6</v>
      </c>
      <c r="C35" s="145" t="s">
        <v>8</v>
      </c>
      <c r="D35" s="97">
        <v>1</v>
      </c>
      <c r="E35" s="4">
        <f t="shared" ref="E35" si="48">LOG(D35*VLOOKUP(C35,Master_Frequencies,2,FALSE)/VLOOKUP(B35,Master_Frequencies,2,FALSE),2)*1200</f>
        <v>389.05199515383066</v>
      </c>
      <c r="F35" s="4">
        <f t="shared" ref="F35" si="49">VLOOKUP(B35,Master_Frequencies,2,FALSE)*5/4</f>
        <v>491.54606373671442</v>
      </c>
      <c r="G35" s="47">
        <f t="shared" ref="G35" si="50">IF($D$2="Cents",LOG(VLOOKUP(C35,Master_Frequencies,2,FALSE)/F35,2)*1200*$F$3,LOG(D35*VLOOKUP(C35,Master_Frequencies,2,FALSE)/F35,$F$3))</f>
        <v>-0.58360615449418562</v>
      </c>
      <c r="I35" s="123" t="s">
        <v>6</v>
      </c>
      <c r="J35" s="145" t="s">
        <v>3</v>
      </c>
      <c r="K35" s="97">
        <v>2</v>
      </c>
      <c r="L35" s="191">
        <f t="shared" si="17"/>
        <v>1.4959401939282659</v>
      </c>
      <c r="M35" s="145" t="s">
        <v>6</v>
      </c>
      <c r="N35" s="145" t="s">
        <v>8</v>
      </c>
      <c r="O35" s="191">
        <f t="shared" si="18"/>
        <v>1.2519786810405951</v>
      </c>
      <c r="Q35" s="99">
        <v>8</v>
      </c>
      <c r="R35" s="18">
        <f t="shared" si="25"/>
        <v>2102.9549314093942</v>
      </c>
      <c r="S35" s="97">
        <v>3</v>
      </c>
      <c r="T35" s="4">
        <f t="shared" si="26"/>
        <v>262.86936642617428</v>
      </c>
      <c r="U35" s="18" t="str" cm="1">
        <f t="array" ref="U35">_xlfn.XLOOKUP(0,ABS($C$45:$C$57-T35),$B$45:$B$57,,1)</f>
        <v>C</v>
      </c>
      <c r="V35" s="47">
        <f t="shared" ref="V35" si="51">LOG(T35/VLOOKUP(U35,Master_Frequencies,2,FALSE),2)*1200</f>
        <v>0</v>
      </c>
      <c r="X35" s="85" t="s">
        <v>6</v>
      </c>
      <c r="Y35" s="4">
        <f t="shared" si="20"/>
        <v>196.61842549468577</v>
      </c>
      <c r="Z35" s="47">
        <f t="shared" si="21"/>
        <v>786.47370197874307</v>
      </c>
    </row>
    <row r="36" spans="2:26" x14ac:dyDescent="0.2">
      <c r="B36" s="123" t="s">
        <v>72</v>
      </c>
      <c r="C36" s="145" t="s">
        <v>78</v>
      </c>
      <c r="D36" s="97">
        <v>1</v>
      </c>
      <c r="E36" s="4">
        <f t="shared" ref="E36" si="52">LOG(D36*VLOOKUP(C36,Master_Frequencies,2,FALSE)/VLOOKUP(B36,Master_Frequencies,2,FALSE),2)*1200</f>
        <v>424.63399757691383</v>
      </c>
      <c r="F36" s="4">
        <f t="shared" ref="F36" si="53">VLOOKUP(B36,Master_Frequencies,2,FALSE)*5/4</f>
        <v>514.22952557414499</v>
      </c>
      <c r="G36" s="47">
        <f t="shared" ref="G36" si="54">IF($D$2="Cents",LOG(VLOOKUP(C36,Master_Frequencies,2,FALSE)/F36,2)*1200*$F$3,LOG(D36*VLOOKUP(C36,Master_Frequencies,2,FALSE)/F36,$F$3))</f>
        <v>-8.1671497761045</v>
      </c>
      <c r="I36" s="123" t="s">
        <v>72</v>
      </c>
      <c r="J36" s="145" t="s">
        <v>76</v>
      </c>
      <c r="K36" s="97">
        <v>2</v>
      </c>
      <c r="L36" s="191">
        <f t="shared" si="17"/>
        <v>1.5294212595268821</v>
      </c>
      <c r="M36" s="145" t="s">
        <v>72</v>
      </c>
      <c r="N36" s="145" t="s">
        <v>78</v>
      </c>
      <c r="O36" s="191">
        <f t="shared" si="18"/>
        <v>1.2779768162720662</v>
      </c>
      <c r="Q36" s="99">
        <v>9</v>
      </c>
      <c r="R36" s="18">
        <f t="shared" si="25"/>
        <v>2365.8242978355684</v>
      </c>
      <c r="S36" s="97">
        <v>3</v>
      </c>
      <c r="T36" s="4">
        <f t="shared" si="26"/>
        <v>295.72803722944604</v>
      </c>
      <c r="U36" s="18" t="str" cm="1">
        <f t="array" ref="U36">_xlfn.XLOOKUP(0,ABS($C$45:$C$57-T36),$B$45:$B$57,,1)</f>
        <v>D</v>
      </c>
      <c r="V36" s="47">
        <f t="shared" ref="V36" si="55">LOG(T36/VLOOKUP(U36,Master_Frequencies,2,FALSE),2)*1200</f>
        <v>9.3840041538595287</v>
      </c>
      <c r="X36" s="85" t="s">
        <v>72</v>
      </c>
      <c r="Y36" s="4">
        <f t="shared" si="20"/>
        <v>205.69181022965799</v>
      </c>
      <c r="Z36" s="47">
        <f t="shared" si="21"/>
        <v>822.76724091863196</v>
      </c>
    </row>
    <row r="37" spans="2:26" x14ac:dyDescent="0.2">
      <c r="B37" s="123" t="s">
        <v>7</v>
      </c>
      <c r="C37" s="145" t="s">
        <v>74</v>
      </c>
      <c r="D37" s="97">
        <v>2</v>
      </c>
      <c r="E37" s="4">
        <f t="shared" ref="E37" si="56">LOG(D37*VLOOKUP(C37,Master_Frequencies,2,FALSE)/VLOOKUP(B37,Master_Frequencies,2,FALSE),2)*1200</f>
        <v>386.31399636537276</v>
      </c>
      <c r="F37" s="4">
        <f t="shared" ref="F37" si="57">VLOOKUP(B37,Master_Frequencies,2,FALSE)*5/4</f>
        <v>550</v>
      </c>
      <c r="G37" s="47">
        <f t="shared" ref="G37" si="58">IF($D$2="Cents",LOG(VLOOKUP(C37,Master_Frequencies,2,FALSE)/F37,2)*1200*$F$3,LOG(D37*VLOOKUP(C37,Master_Frequencies,2,FALSE)/F37,$F$3))</f>
        <v>-6.0208954138980637E-5</v>
      </c>
      <c r="I37" s="123" t="s">
        <v>7</v>
      </c>
      <c r="J37" s="145" t="s">
        <v>4</v>
      </c>
      <c r="K37" s="97">
        <v>2</v>
      </c>
      <c r="L37" s="191">
        <f t="shared" si="17"/>
        <v>1.4959401939282659</v>
      </c>
      <c r="M37" s="145" t="s">
        <v>7</v>
      </c>
      <c r="N37" s="145" t="s">
        <v>74</v>
      </c>
      <c r="O37" s="191">
        <f t="shared" si="18"/>
        <v>1.2500002039734035</v>
      </c>
      <c r="Q37" s="99">
        <v>10</v>
      </c>
      <c r="R37" s="18">
        <f t="shared" si="25"/>
        <v>2628.6936642617429</v>
      </c>
      <c r="S37" s="97">
        <v>3</v>
      </c>
      <c r="T37" s="4">
        <f t="shared" si="26"/>
        <v>328.58670803271787</v>
      </c>
      <c r="U37" s="18" t="str" cm="1">
        <f t="array" ref="U37">_xlfn.XLOOKUP(0,ABS($C$45:$C$57-T37),$B$45:$B$57,,1)</f>
        <v>E</v>
      </c>
      <c r="V37" s="47">
        <f t="shared" ref="V37" si="59">LOG(T37/VLOOKUP(U37,Master_Frequencies,2,FALSE),2)*1200</f>
        <v>-2.7382812889954904</v>
      </c>
      <c r="X37" s="85" t="s">
        <v>7</v>
      </c>
      <c r="Y37" s="4">
        <f t="shared" si="20"/>
        <v>220</v>
      </c>
      <c r="Z37" s="47">
        <f t="shared" si="21"/>
        <v>880</v>
      </c>
    </row>
    <row r="38" spans="2:26" x14ac:dyDescent="0.2">
      <c r="B38" s="123" t="s">
        <v>73</v>
      </c>
      <c r="C38" s="145" t="s">
        <v>3</v>
      </c>
      <c r="D38" s="97">
        <v>2</v>
      </c>
      <c r="E38" s="4">
        <f t="shared" ref="E38" si="60">LOG(D38*VLOOKUP(C38,Master_Frequencies,2,FALSE)/VLOOKUP(B38,Master_Frequencies,2,FALSE),2)*1200</f>
        <v>386.31400726925557</v>
      </c>
      <c r="F38" s="4">
        <f t="shared" ref="F38" si="61">VLOOKUP(B38,Master_Frequencies,2,FALSE)*5/4</f>
        <v>588.25871143242796</v>
      </c>
      <c r="G38" s="47">
        <f t="shared" ref="G38" si="62">IF($D$2="Cents",LOG(VLOOKUP(C38,Master_Frequencies,2,FALSE)/F38,2)*1200*$F$3,LOG(D38*VLOOKUP(C38,Master_Frequencies,2,FALSE)/F38,$F$3))</f>
        <v>-6.2532883806332634E-5</v>
      </c>
      <c r="I38" s="123" t="s">
        <v>73</v>
      </c>
      <c r="J38" s="145" t="s">
        <v>5</v>
      </c>
      <c r="K38" s="97">
        <v>2</v>
      </c>
      <c r="L38" s="191">
        <f t="shared" si="17"/>
        <v>1.4959401939282659</v>
      </c>
      <c r="M38" s="145" t="s">
        <v>73</v>
      </c>
      <c r="N38" s="145" t="s">
        <v>3</v>
      </c>
      <c r="O38" s="191">
        <f t="shared" si="18"/>
        <v>1.2500002118463169</v>
      </c>
      <c r="Q38" s="99">
        <v>11</v>
      </c>
      <c r="R38" s="18">
        <f t="shared" si="25"/>
        <v>2891.563030687917</v>
      </c>
      <c r="S38" s="97">
        <v>3</v>
      </c>
      <c r="T38" s="4">
        <f t="shared" si="26"/>
        <v>361.44537883598963</v>
      </c>
      <c r="U38" s="18" t="str" cm="1">
        <f t="array" ref="U38">_xlfn.XLOOKUP(0,ABS($C$45:$C$57-T38),$B$45:$B$57,,1)</f>
        <v>F#</v>
      </c>
      <c r="V38" s="47">
        <f t="shared" ref="V38" si="63">LOG(T38/VLOOKUP(U38,Master_Frequencies,2,FALSE),2)*1200</f>
        <v>-29.522051577531371</v>
      </c>
      <c r="X38" s="85" t="s">
        <v>73</v>
      </c>
      <c r="Y38" s="4">
        <f t="shared" si="20"/>
        <v>235.30348457297117</v>
      </c>
      <c r="Z38" s="47">
        <f t="shared" si="21"/>
        <v>941.21393829188469</v>
      </c>
    </row>
    <row r="39" spans="2:26" x14ac:dyDescent="0.2">
      <c r="B39" s="124" t="s">
        <v>8</v>
      </c>
      <c r="C39" s="153" t="s">
        <v>76</v>
      </c>
      <c r="D39" s="98">
        <v>2</v>
      </c>
      <c r="E39" s="53">
        <f t="shared" ref="E39" si="64">LOG(D39*VLOOKUP(C39,Master_Frequencies,2,FALSE)/VLOOKUP(B39,Master_Frequencies,2,FALSE),2)*1200</f>
        <v>424.63399757691349</v>
      </c>
      <c r="F39" s="53">
        <f t="shared" ref="F39" si="65">VLOOKUP(B39,Master_Frequencies,2,FALSE)*5/4</f>
        <v>615.40519254778803</v>
      </c>
      <c r="G39" s="48">
        <f t="shared" ref="G39" si="66">IF($D$2="Cents",LOG(VLOOKUP(C39,Master_Frequencies,2,FALSE)/F39,2)*1200*$F$3,LOG(D39*VLOOKUP(C39,Master_Frequencies,2,FALSE)/F39,$F$3))</f>
        <v>-8.1671497761044201</v>
      </c>
      <c r="I39" s="124" t="s">
        <v>8</v>
      </c>
      <c r="J39" s="153" t="s">
        <v>70</v>
      </c>
      <c r="K39" s="98">
        <v>2</v>
      </c>
      <c r="L39" s="192">
        <f t="shared" si="17"/>
        <v>1.4935761893230781</v>
      </c>
      <c r="M39" s="153" t="s">
        <v>8</v>
      </c>
      <c r="N39" s="153" t="s">
        <v>76</v>
      </c>
      <c r="O39" s="192">
        <f t="shared" si="18"/>
        <v>1.2779768162720659</v>
      </c>
      <c r="Q39" s="99">
        <v>12</v>
      </c>
      <c r="R39" s="18">
        <f t="shared" si="25"/>
        <v>3154.4323971140911</v>
      </c>
      <c r="S39" s="97">
        <v>3</v>
      </c>
      <c r="T39" s="4">
        <f t="shared" si="26"/>
        <v>394.30404963926139</v>
      </c>
      <c r="U39" s="18" t="str" cm="1">
        <f t="array" ref="U39">_xlfn.XLOOKUP(0,ABS($C$45:$C$57-T39),$B$45:$B$57,,1)</f>
        <v>G</v>
      </c>
      <c r="V39" s="47">
        <f t="shared" ref="V39" si="67">LOG(T39/VLOOKUP(U39,Master_Frequencies,2,FALSE),2)*1200</f>
        <v>4.6920020769296409</v>
      </c>
      <c r="X39" s="85" t="s">
        <v>8</v>
      </c>
      <c r="Y39" s="4">
        <f t="shared" si="20"/>
        <v>246.1620770191152</v>
      </c>
      <c r="Z39" s="47">
        <f t="shared" si="21"/>
        <v>984.64830807646081</v>
      </c>
    </row>
    <row r="40" spans="2:26" x14ac:dyDescent="0.2">
      <c r="Q40" s="100">
        <v>13</v>
      </c>
      <c r="R40" s="50">
        <f t="shared" si="25"/>
        <v>3417.3017635402657</v>
      </c>
      <c r="S40" s="98">
        <v>3</v>
      </c>
      <c r="T40" s="53">
        <f t="shared" si="26"/>
        <v>427.16272044253321</v>
      </c>
      <c r="U40" s="50" t="str" cm="1">
        <f t="array" ref="U40">_xlfn.XLOOKUP(0,ABS($C$45:$C$57-T40),$B$45:$B$57,,1)</f>
        <v>A</v>
      </c>
      <c r="V40" s="48">
        <f t="shared" ref="V40" si="68">LOG(T40/VLOOKUP(U40,Master_Frequencies,2,FALSE),2)*1200</f>
        <v>-51.26133459606212</v>
      </c>
      <c r="X40" s="87" t="s">
        <v>78</v>
      </c>
      <c r="Y40" s="53">
        <f t="shared" si="20"/>
        <v>262.86936477053632</v>
      </c>
      <c r="Z40" s="48">
        <f t="shared" si="21"/>
        <v>1051.4774590821453</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262.86936642617428</v>
      </c>
    </row>
    <row r="46" spans="2:26" x14ac:dyDescent="0.2">
      <c r="B46" s="92" t="s">
        <v>74</v>
      </c>
      <c r="C46" s="93">
        <f t="shared" ref="C46:C57" si="69">VLOOKUP(B46,$B$10:$H$22,7,FALSE)</f>
        <v>275.00004487414878</v>
      </c>
    </row>
    <row r="47" spans="2:26" x14ac:dyDescent="0.2">
      <c r="B47" s="92" t="s">
        <v>3</v>
      </c>
      <c r="C47" s="93">
        <f t="shared" si="69"/>
        <v>294.12940556439054</v>
      </c>
    </row>
    <row r="48" spans="2:26" x14ac:dyDescent="0.2">
      <c r="B48" s="92" t="s">
        <v>76</v>
      </c>
      <c r="C48" s="93">
        <f t="shared" si="69"/>
        <v>314.58942747580795</v>
      </c>
    </row>
    <row r="49" spans="2:3" x14ac:dyDescent="0.2">
      <c r="B49" s="92" t="s">
        <v>4</v>
      </c>
      <c r="C49" s="93">
        <f t="shared" si="69"/>
        <v>329.1068426642185</v>
      </c>
    </row>
    <row r="50" spans="2:3" x14ac:dyDescent="0.2">
      <c r="B50" s="92" t="s">
        <v>5</v>
      </c>
      <c r="C50" s="93">
        <f t="shared" si="69"/>
        <v>351.99994034408724</v>
      </c>
    </row>
    <row r="51" spans="2:3" x14ac:dyDescent="0.2">
      <c r="B51" s="92" t="s">
        <v>70</v>
      </c>
      <c r="C51" s="93">
        <f t="shared" si="69"/>
        <v>367.66181695006412</v>
      </c>
    </row>
    <row r="52" spans="2:3" x14ac:dyDescent="0.2">
      <c r="B52" s="92" t="s">
        <v>6</v>
      </c>
      <c r="C52" s="93">
        <f t="shared" si="69"/>
        <v>393.23685098937153</v>
      </c>
    </row>
    <row r="53" spans="2:3" x14ac:dyDescent="0.2">
      <c r="B53" s="92" t="s">
        <v>72</v>
      </c>
      <c r="C53" s="93">
        <f t="shared" si="69"/>
        <v>411.38362045931598</v>
      </c>
    </row>
    <row r="54" spans="2:3" x14ac:dyDescent="0.2">
      <c r="B54" s="92" t="s">
        <v>7</v>
      </c>
      <c r="C54" s="93">
        <f t="shared" si="69"/>
        <v>440</v>
      </c>
    </row>
    <row r="55" spans="2:3" x14ac:dyDescent="0.2">
      <c r="B55" s="92" t="s">
        <v>73</v>
      </c>
      <c r="C55" s="93">
        <f t="shared" si="69"/>
        <v>470.60696914594234</v>
      </c>
    </row>
    <row r="56" spans="2:3" x14ac:dyDescent="0.2">
      <c r="B56" s="92" t="s">
        <v>8</v>
      </c>
      <c r="C56" s="93">
        <f t="shared" si="69"/>
        <v>492.3241540382304</v>
      </c>
    </row>
    <row r="57" spans="2:3" ht="16" thickBot="1" x14ac:dyDescent="0.25">
      <c r="B57" s="94" t="s">
        <v>78</v>
      </c>
      <c r="C57" s="95">
        <f t="shared" si="69"/>
        <v>525.73872954107264</v>
      </c>
    </row>
    <row r="58" spans="2:3" ht="16" thickTop="1" x14ac:dyDescent="0.2"/>
  </sheetData>
  <sheetProtection sheet="1" scenarios="1" formatCells="0"/>
  <mergeCells count="9">
    <mergeCell ref="B43:C43"/>
    <mergeCell ref="X25:Z25"/>
    <mergeCell ref="B1:G1"/>
    <mergeCell ref="B8:H8"/>
    <mergeCell ref="J8:N8"/>
    <mergeCell ref="P8:U8"/>
    <mergeCell ref="I26:O26"/>
    <mergeCell ref="Q26:V26"/>
    <mergeCell ref="B26:D26"/>
  </mergeCells>
  <conditionalFormatting sqref="A1:XFD1048576">
    <cfRule type="expression" dxfId="77" priority="1">
      <formula>CELL("protect",A1)=0</formula>
    </cfRule>
    <cfRule type="expression" dxfId="76" priority="3">
      <formula>_xlfn.ISFORMULA(A1)</formula>
    </cfRule>
  </conditionalFormatting>
  <hyperlinks>
    <hyperlink ref="B41" location="Overview!A1" display="Back to Overview" xr:uid="{0260AA16-613A-BB48-BB33-B8A59DE1D294}"/>
    <hyperlink ref="B5" location="Overview!A1" display="Back to Overview" xr:uid="{4B7E046D-8519-0E46-A2D9-50DE4D525919}"/>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errorTitle="Choose from list" error="You must choose the units from the list:_x000a_Pythagoream Comma_x000a_Syntonic Comma_x000a_Cents" xr:uid="{A6043998-11D7-5345-BE36-959A6CB83138}">
          <x14:formula1>
            <xm:f>'Commas &amp; Cents'!$AD$1:$AD$3</xm:f>
          </x14:formula1>
          <xm:sqref>D2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B1C6B-32F5-384E-BF73-CCA4B9525E62}">
  <sheetPr codeName="Sheet9">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104</v>
      </c>
      <c r="C1" s="289"/>
      <c r="D1" s="289"/>
      <c r="E1" s="289"/>
      <c r="F1" s="289"/>
      <c r="G1" s="289"/>
    </row>
    <row r="2" spans="2:23" s="70" customFormat="1" ht="16" x14ac:dyDescent="0.2">
      <c r="D2" s="154" t="s">
        <v>16</v>
      </c>
      <c r="E2" s="72" t="str">
        <f>D2</f>
        <v>Cents</v>
      </c>
      <c r="F2" s="72" t="str">
        <f>_xlfn.CONCAT("1/",D3," ",D2)</f>
        <v>1/1 Cents</v>
      </c>
      <c r="G2" s="102"/>
      <c r="H2" s="103" t="s">
        <v>143</v>
      </c>
      <c r="I2" s="161">
        <v>440</v>
      </c>
      <c r="J2" s="103" t="str">
        <f>_xlfn.CONCAT("C for A=", I2,":")</f>
        <v>C for A=440:</v>
      </c>
      <c r="K2" s="70">
        <f>I2*2*8/27*POWER($F$3,$D$13-$D$10)</f>
        <v>262.51339251550576</v>
      </c>
      <c r="L2" s="103"/>
      <c r="U2" s="103"/>
      <c r="V2" s="103"/>
      <c r="W2" s="103"/>
    </row>
    <row r="3" spans="2:23" ht="16" x14ac:dyDescent="0.2">
      <c r="B3" s="105"/>
      <c r="C3" s="74" t="s">
        <v>125</v>
      </c>
      <c r="D3" s="155">
        <v>1</v>
      </c>
      <c r="E3" s="1">
        <f>IF(D2="Pythagorean Comma",524288/531441,IF(D2="Syntonic Comma",80/81,IF(D2="Cents",1/POWER(2,1/1200),"Not in List")))</f>
        <v>0.99942254414138076</v>
      </c>
      <c r="F3" s="132">
        <f>POWER(E3,1/D3)</f>
        <v>0.99942254414138076</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156">
        <v>0</v>
      </c>
      <c r="D10" s="4">
        <f>C10</f>
        <v>0</v>
      </c>
      <c r="E10" s="109">
        <f>K2</f>
        <v>262.51339251550576</v>
      </c>
      <c r="G10" s="97">
        <v>0</v>
      </c>
      <c r="H10" s="148">
        <f t="shared" ref="H10:H22" si="0">E10/POWER(2,G10)</f>
        <v>262.51339251550576</v>
      </c>
      <c r="J10" s="85" t="s">
        <v>2</v>
      </c>
      <c r="K10" s="4">
        <f t="shared" ref="K10:K22" si="1">VLOOKUP(J10,Master_Frequencies,2,FALSE)</f>
        <v>262.51339251550576</v>
      </c>
      <c r="L10" s="4">
        <f t="shared" ref="L10:L22" si="2">LOG(K10/K$10,2)*1200</f>
        <v>0</v>
      </c>
      <c r="N10" s="158">
        <v>3600</v>
      </c>
      <c r="P10" s="123" t="str">
        <f>J10</f>
        <v>C</v>
      </c>
      <c r="Q10" s="4">
        <f>E10</f>
        <v>262.51339251550576</v>
      </c>
      <c r="R10" s="4">
        <f>LOG(K10/Q10,2)*1200</f>
        <v>0</v>
      </c>
      <c r="S10" s="145" t="str">
        <f t="shared" ref="S10:S22" si="3">B10</f>
        <v>C</v>
      </c>
      <c r="T10" s="4">
        <f t="shared" ref="T10:T22" si="4">VLOOKUP(S10,Master_Frequencies,2,FALSE)</f>
        <v>262.51339251550576</v>
      </c>
      <c r="U10" s="47">
        <f t="shared" ref="U10:U22" si="5">VLOOKUP(S10,$P$10:$R$22,3,FALSE)</f>
        <v>0</v>
      </c>
    </row>
    <row r="11" spans="2:23" x14ac:dyDescent="0.2">
      <c r="B11" s="123" t="s">
        <v>6</v>
      </c>
      <c r="C11" s="156">
        <v>0</v>
      </c>
      <c r="D11" s="4">
        <f>D10+C11</f>
        <v>0</v>
      </c>
      <c r="E11" s="4">
        <f t="shared" ref="E11:E22" si="6">IF(C11&lt;0,(E10*3/2)*POWER($F$3,ABS(C11)),(E10*3/2)*POWER(1/$F$3,ABS(C11)))</f>
        <v>393.77008877325864</v>
      </c>
      <c r="F11" s="4">
        <f t="shared" ref="F11:F22" si="7">LOG(E11/E10,2)*1200</f>
        <v>701.95500086538743</v>
      </c>
      <c r="G11" s="97">
        <v>0</v>
      </c>
      <c r="H11" s="148">
        <f t="shared" si="0"/>
        <v>393.77008877325864</v>
      </c>
      <c r="J11" s="85" t="s">
        <v>74</v>
      </c>
      <c r="K11" s="4">
        <f t="shared" si="1"/>
        <v>276.55731886407199</v>
      </c>
      <c r="L11" s="4">
        <f t="shared" si="2"/>
        <v>90.224995673063432</v>
      </c>
      <c r="M11" s="4">
        <f t="shared" ref="M11:M22" si="8">LOG(K11/K10,2)*1200</f>
        <v>90.224995673063432</v>
      </c>
      <c r="N11" s="47">
        <f t="shared" ref="N11:N22" si="9">N$10*K$10/K11</f>
        <v>3417.1874999999986</v>
      </c>
      <c r="P11" s="123" t="str">
        <f t="shared" ref="P11:P22" si="10">J11</f>
        <v>C#</v>
      </c>
      <c r="Q11" s="4">
        <f t="shared" ref="Q11:Q22" si="11">Q10*POWER($Q$10*2/$Q$10,1/12)</f>
        <v>278.12325114523401</v>
      </c>
      <c r="R11" s="4">
        <f t="shared" ref="R11:R22" si="12">LOG(K11/Q11,2)*1200</f>
        <v>-9.7750043269367399</v>
      </c>
      <c r="S11" s="145" t="str">
        <f t="shared" si="3"/>
        <v>G</v>
      </c>
      <c r="T11" s="4">
        <f t="shared" si="4"/>
        <v>393.77008877325864</v>
      </c>
      <c r="U11" s="47">
        <f t="shared" si="5"/>
        <v>1.9550008653868458</v>
      </c>
    </row>
    <row r="12" spans="2:23" x14ac:dyDescent="0.2">
      <c r="B12" s="123" t="s">
        <v>3</v>
      </c>
      <c r="C12" s="156">
        <v>0</v>
      </c>
      <c r="D12" s="4">
        <f t="shared" ref="D12:D22" si="13">D11+C12</f>
        <v>0</v>
      </c>
      <c r="E12" s="4">
        <f t="shared" si="6"/>
        <v>590.65513315988801</v>
      </c>
      <c r="F12" s="4">
        <f t="shared" si="7"/>
        <v>701.95500086538766</v>
      </c>
      <c r="G12" s="97">
        <v>1</v>
      </c>
      <c r="H12" s="148">
        <f t="shared" si="0"/>
        <v>295.327566579944</v>
      </c>
      <c r="J12" s="85" t="s">
        <v>3</v>
      </c>
      <c r="K12" s="4">
        <f t="shared" si="1"/>
        <v>295.327566579944</v>
      </c>
      <c r="L12" s="4">
        <f t="shared" si="2"/>
        <v>203.91000173077484</v>
      </c>
      <c r="M12" s="4">
        <f t="shared" si="8"/>
        <v>113.68500605771158</v>
      </c>
      <c r="N12" s="47">
        <f t="shared" si="9"/>
        <v>3199.9999999999995</v>
      </c>
      <c r="P12" s="123" t="str">
        <f t="shared" si="10"/>
        <v>D</v>
      </c>
      <c r="Q12" s="4">
        <f t="shared" si="11"/>
        <v>294.66132027159705</v>
      </c>
      <c r="R12" s="4">
        <f t="shared" si="12"/>
        <v>3.9100017307747521</v>
      </c>
      <c r="S12" s="145" t="str">
        <f t="shared" si="3"/>
        <v>D</v>
      </c>
      <c r="T12" s="4">
        <f t="shared" si="4"/>
        <v>295.327566579944</v>
      </c>
      <c r="U12" s="47">
        <f t="shared" si="5"/>
        <v>3.9100017307747521</v>
      </c>
    </row>
    <row r="13" spans="2:23" x14ac:dyDescent="0.2">
      <c r="B13" s="123" t="s">
        <v>7</v>
      </c>
      <c r="C13" s="156">
        <v>-11.7300051923245</v>
      </c>
      <c r="D13" s="4">
        <f t="shared" si="13"/>
        <v>-11.7300051923245</v>
      </c>
      <c r="E13" s="4">
        <f t="shared" si="6"/>
        <v>880.00000000000023</v>
      </c>
      <c r="F13" s="4">
        <f t="shared" si="7"/>
        <v>690.22499567306329</v>
      </c>
      <c r="G13" s="97">
        <v>1</v>
      </c>
      <c r="H13" s="148">
        <f t="shared" si="0"/>
        <v>440.00000000000011</v>
      </c>
      <c r="J13" s="85" t="s">
        <v>76</v>
      </c>
      <c r="K13" s="4">
        <f t="shared" si="1"/>
        <v>311.12698372208104</v>
      </c>
      <c r="L13" s="4">
        <f t="shared" si="2"/>
        <v>294.13499740383861</v>
      </c>
      <c r="M13" s="4">
        <f t="shared" si="8"/>
        <v>90.224995673063432</v>
      </c>
      <c r="N13" s="47">
        <f t="shared" si="9"/>
        <v>3037.4999999999986</v>
      </c>
      <c r="P13" s="123" t="str">
        <f t="shared" si="10"/>
        <v>D#</v>
      </c>
      <c r="Q13" s="4">
        <f t="shared" si="11"/>
        <v>312.18279416294155</v>
      </c>
      <c r="R13" s="4">
        <f t="shared" si="12"/>
        <v>-5.8650025961616956</v>
      </c>
      <c r="S13" s="145" t="str">
        <f t="shared" si="3"/>
        <v>A</v>
      </c>
      <c r="T13" s="4">
        <f t="shared" si="4"/>
        <v>440.00000000000011</v>
      </c>
      <c r="U13" s="47">
        <f t="shared" si="5"/>
        <v>-5.8650025961624666</v>
      </c>
    </row>
    <row r="14" spans="2:23" x14ac:dyDescent="0.2">
      <c r="B14" s="123" t="s">
        <v>4</v>
      </c>
      <c r="C14" s="156">
        <v>-9.7750043269370899</v>
      </c>
      <c r="D14" s="4">
        <f t="shared" si="13"/>
        <v>-21.505009519261591</v>
      </c>
      <c r="E14" s="4">
        <f t="shared" si="6"/>
        <v>1312.5679330921728</v>
      </c>
      <c r="F14" s="4">
        <f t="shared" si="7"/>
        <v>692.17999653845061</v>
      </c>
      <c r="G14" s="97">
        <v>2</v>
      </c>
      <c r="H14" s="148">
        <f t="shared" si="0"/>
        <v>328.14198327304319</v>
      </c>
      <c r="J14" s="85" t="s">
        <v>4</v>
      </c>
      <c r="K14" s="4">
        <f t="shared" si="1"/>
        <v>328.14198327304319</v>
      </c>
      <c r="L14" s="4">
        <f t="shared" si="2"/>
        <v>386.31499394228865</v>
      </c>
      <c r="M14" s="4">
        <f t="shared" si="8"/>
        <v>92.179996538450439</v>
      </c>
      <c r="N14" s="47">
        <f t="shared" si="9"/>
        <v>2879.9978705237995</v>
      </c>
      <c r="P14" s="123" t="str">
        <f t="shared" si="10"/>
        <v>E</v>
      </c>
      <c r="Q14" s="4">
        <f t="shared" si="11"/>
        <v>330.74614910960099</v>
      </c>
      <c r="R14" s="4">
        <f t="shared" si="12"/>
        <v>-13.685006057711416</v>
      </c>
      <c r="S14" s="145" t="str">
        <f t="shared" si="3"/>
        <v>E</v>
      </c>
      <c r="T14" s="4">
        <f t="shared" si="4"/>
        <v>328.14198327304319</v>
      </c>
      <c r="U14" s="47">
        <f t="shared" si="5"/>
        <v>-13.685006057711416</v>
      </c>
    </row>
    <row r="15" spans="2:23" x14ac:dyDescent="0.2">
      <c r="B15" s="123" t="s">
        <v>8</v>
      </c>
      <c r="C15" s="156">
        <v>0</v>
      </c>
      <c r="D15" s="4">
        <f t="shared" si="13"/>
        <v>-21.505009519261591</v>
      </c>
      <c r="E15" s="4">
        <f t="shared" si="6"/>
        <v>1968.8518996382591</v>
      </c>
      <c r="F15" s="4">
        <f t="shared" si="7"/>
        <v>701.95500086538743</v>
      </c>
      <c r="G15" s="97">
        <v>2</v>
      </c>
      <c r="H15" s="148">
        <f t="shared" si="0"/>
        <v>492.21297490956476</v>
      </c>
      <c r="J15" s="85" t="s">
        <v>5</v>
      </c>
      <c r="K15" s="4">
        <f t="shared" si="1"/>
        <v>350.01785668734118</v>
      </c>
      <c r="L15" s="4">
        <f t="shared" si="2"/>
        <v>498.04499913461331</v>
      </c>
      <c r="M15" s="4">
        <f t="shared" si="8"/>
        <v>111.73000519232453</v>
      </c>
      <c r="N15" s="47">
        <f t="shared" si="9"/>
        <v>2699.9999999999986</v>
      </c>
      <c r="P15" s="123" t="str">
        <f t="shared" si="10"/>
        <v>F</v>
      </c>
      <c r="Q15" s="4">
        <f t="shared" si="11"/>
        <v>350.41333858307877</v>
      </c>
      <c r="R15" s="4">
        <f t="shared" si="12"/>
        <v>-1.9550008653870075</v>
      </c>
      <c r="S15" s="145" t="str">
        <f t="shared" si="3"/>
        <v>B</v>
      </c>
      <c r="T15" s="4">
        <f t="shared" si="4"/>
        <v>492.21297490956476</v>
      </c>
      <c r="U15" s="47">
        <f t="shared" si="5"/>
        <v>-11.730005192324629</v>
      </c>
    </row>
    <row r="16" spans="2:23" x14ac:dyDescent="0.2">
      <c r="B16" s="123" t="s">
        <v>70</v>
      </c>
      <c r="C16" s="156">
        <v>0</v>
      </c>
      <c r="D16" s="4">
        <f t="shared" si="13"/>
        <v>-21.505009519261591</v>
      </c>
      <c r="E16" s="4">
        <f t="shared" si="6"/>
        <v>2953.2778494573886</v>
      </c>
      <c r="F16" s="4">
        <f t="shared" si="7"/>
        <v>701.95500086538743</v>
      </c>
      <c r="G16" s="97">
        <v>3</v>
      </c>
      <c r="H16" s="148">
        <f t="shared" si="0"/>
        <v>369.15973118217357</v>
      </c>
      <c r="J16" s="85" t="s">
        <v>70</v>
      </c>
      <c r="K16" s="4">
        <f t="shared" si="1"/>
        <v>369.15973118217357</v>
      </c>
      <c r="L16" s="4">
        <f t="shared" si="2"/>
        <v>590.22499567306363</v>
      </c>
      <c r="M16" s="4">
        <f t="shared" si="8"/>
        <v>92.179996538450069</v>
      </c>
      <c r="N16" s="47">
        <f t="shared" si="9"/>
        <v>2559.9981071322663</v>
      </c>
      <c r="P16" s="123" t="str">
        <f t="shared" si="10"/>
        <v>F#</v>
      </c>
      <c r="Q16" s="4">
        <f t="shared" si="11"/>
        <v>371.25000000000006</v>
      </c>
      <c r="R16" s="4">
        <f t="shared" si="12"/>
        <v>-9.7750043269367399</v>
      </c>
      <c r="S16" s="145" t="str">
        <f t="shared" si="3"/>
        <v>F#</v>
      </c>
      <c r="T16" s="4">
        <f t="shared" si="4"/>
        <v>369.15973118217357</v>
      </c>
      <c r="U16" s="47">
        <f t="shared" si="5"/>
        <v>-9.7750043269367399</v>
      </c>
    </row>
    <row r="17" spans="2:26" x14ac:dyDescent="0.2">
      <c r="B17" s="123" t="s">
        <v>74</v>
      </c>
      <c r="C17" s="156">
        <v>-1.95500086538742</v>
      </c>
      <c r="D17" s="4">
        <f t="shared" si="13"/>
        <v>-23.46001038464901</v>
      </c>
      <c r="E17" s="4">
        <f t="shared" si="6"/>
        <v>4424.9171018251518</v>
      </c>
      <c r="F17" s="4">
        <f t="shared" si="7"/>
        <v>699.99999999999977</v>
      </c>
      <c r="G17" s="97">
        <v>4</v>
      </c>
      <c r="H17" s="148">
        <f t="shared" si="0"/>
        <v>276.55731886407199</v>
      </c>
      <c r="J17" s="85" t="s">
        <v>6</v>
      </c>
      <c r="K17" s="4">
        <f t="shared" si="1"/>
        <v>393.77008877325864</v>
      </c>
      <c r="L17" s="4">
        <f t="shared" si="2"/>
        <v>701.95500086538743</v>
      </c>
      <c r="M17" s="4">
        <f t="shared" si="8"/>
        <v>111.73000519232379</v>
      </c>
      <c r="N17" s="47">
        <f t="shared" si="9"/>
        <v>2400</v>
      </c>
      <c r="P17" s="123" t="str">
        <f t="shared" si="10"/>
        <v>G</v>
      </c>
      <c r="Q17" s="4">
        <f t="shared" si="11"/>
        <v>393.32567378088845</v>
      </c>
      <c r="R17" s="4">
        <f t="shared" si="12"/>
        <v>1.9550008653868458</v>
      </c>
      <c r="S17" s="145" t="str">
        <f t="shared" si="3"/>
        <v>C#</v>
      </c>
      <c r="T17" s="4">
        <f t="shared" si="4"/>
        <v>276.55731886407199</v>
      </c>
      <c r="U17" s="47">
        <f t="shared" si="5"/>
        <v>-9.7750043269367399</v>
      </c>
    </row>
    <row r="18" spans="2:26" x14ac:dyDescent="0.2">
      <c r="B18" s="123" t="s">
        <v>72</v>
      </c>
      <c r="C18" s="156">
        <v>0</v>
      </c>
      <c r="D18" s="4">
        <f t="shared" si="13"/>
        <v>-23.46001038464901</v>
      </c>
      <c r="E18" s="4">
        <f t="shared" si="6"/>
        <v>6637.3756527377282</v>
      </c>
      <c r="F18" s="4">
        <f t="shared" si="7"/>
        <v>701.95500086538743</v>
      </c>
      <c r="G18" s="97">
        <v>4</v>
      </c>
      <c r="H18" s="148">
        <f t="shared" si="0"/>
        <v>414.83597829610801</v>
      </c>
      <c r="J18" s="85" t="s">
        <v>72</v>
      </c>
      <c r="K18" s="4">
        <f t="shared" si="1"/>
        <v>414.83597829610801</v>
      </c>
      <c r="L18" s="4">
        <f t="shared" si="2"/>
        <v>792.17999653845095</v>
      </c>
      <c r="M18" s="4">
        <f t="shared" si="8"/>
        <v>90.224995673063432</v>
      </c>
      <c r="N18" s="47">
        <f t="shared" si="9"/>
        <v>2278.1249999999991</v>
      </c>
      <c r="P18" s="123" t="str">
        <f t="shared" si="10"/>
        <v>G#</v>
      </c>
      <c r="Q18" s="4">
        <f t="shared" si="11"/>
        <v>416.71403543485485</v>
      </c>
      <c r="R18" s="4">
        <f t="shared" si="12"/>
        <v>-7.8200034615496898</v>
      </c>
      <c r="S18" s="145" t="str">
        <f t="shared" si="3"/>
        <v>G#</v>
      </c>
      <c r="T18" s="4">
        <f t="shared" si="4"/>
        <v>414.83597829610801</v>
      </c>
      <c r="U18" s="47">
        <f t="shared" si="5"/>
        <v>-7.8200034615496898</v>
      </c>
    </row>
    <row r="19" spans="2:26" x14ac:dyDescent="0.2">
      <c r="B19" s="123" t="s">
        <v>76</v>
      </c>
      <c r="C19" s="156">
        <v>0</v>
      </c>
      <c r="D19" s="4">
        <f t="shared" si="13"/>
        <v>-23.46001038464901</v>
      </c>
      <c r="E19" s="4">
        <f t="shared" si="6"/>
        <v>9956.0634791065931</v>
      </c>
      <c r="F19" s="4">
        <f t="shared" si="7"/>
        <v>701.95500086538766</v>
      </c>
      <c r="G19" s="97">
        <v>5</v>
      </c>
      <c r="H19" s="148">
        <f t="shared" si="0"/>
        <v>311.12698372208104</v>
      </c>
      <c r="J19" s="85" t="s">
        <v>7</v>
      </c>
      <c r="K19" s="4">
        <f t="shared" si="1"/>
        <v>440.00000000000011</v>
      </c>
      <c r="L19" s="4">
        <f t="shared" si="2"/>
        <v>894.13499740383816</v>
      </c>
      <c r="M19" s="4">
        <f t="shared" si="8"/>
        <v>101.95500086538728</v>
      </c>
      <c r="N19" s="47">
        <f t="shared" si="9"/>
        <v>2147.8368478541374</v>
      </c>
      <c r="P19" s="123" t="str">
        <f t="shared" si="10"/>
        <v>A</v>
      </c>
      <c r="Q19" s="4">
        <f t="shared" si="11"/>
        <v>441.49314144476034</v>
      </c>
      <c r="R19" s="4">
        <f t="shared" si="12"/>
        <v>-5.8650025961624666</v>
      </c>
      <c r="S19" s="145" t="str">
        <f t="shared" si="3"/>
        <v>D#</v>
      </c>
      <c r="T19" s="4">
        <f t="shared" si="4"/>
        <v>311.12698372208104</v>
      </c>
      <c r="U19" s="47">
        <f t="shared" si="5"/>
        <v>-5.8650025961616956</v>
      </c>
    </row>
    <row r="20" spans="2:26" x14ac:dyDescent="0.2">
      <c r="B20" s="123" t="s">
        <v>73</v>
      </c>
      <c r="C20" s="156">
        <v>0</v>
      </c>
      <c r="D20" s="4">
        <f t="shared" si="13"/>
        <v>-23.46001038464901</v>
      </c>
      <c r="E20" s="4">
        <f t="shared" si="6"/>
        <v>14934.09521865989</v>
      </c>
      <c r="F20" s="4">
        <f t="shared" si="7"/>
        <v>701.95500086538743</v>
      </c>
      <c r="G20" s="97">
        <v>5</v>
      </c>
      <c r="H20" s="148">
        <f t="shared" si="0"/>
        <v>466.69047558312155</v>
      </c>
      <c r="J20" s="85" t="s">
        <v>73</v>
      </c>
      <c r="K20" s="4">
        <f t="shared" si="1"/>
        <v>466.69047558312155</v>
      </c>
      <c r="L20" s="4">
        <f t="shared" si="2"/>
        <v>996.08999826922582</v>
      </c>
      <c r="M20" s="4">
        <f t="shared" si="8"/>
        <v>101.95500086538762</v>
      </c>
      <c r="N20" s="47">
        <f t="shared" si="9"/>
        <v>2024.9999999999991</v>
      </c>
      <c r="P20" s="123" t="str">
        <f t="shared" si="10"/>
        <v>A#</v>
      </c>
      <c r="Q20" s="4">
        <f t="shared" si="11"/>
        <v>467.74568977347184</v>
      </c>
      <c r="R20" s="4">
        <f t="shared" si="12"/>
        <v>-3.9100017307748658</v>
      </c>
      <c r="S20" s="145" t="str">
        <f t="shared" si="3"/>
        <v>A#</v>
      </c>
      <c r="T20" s="4">
        <f t="shared" si="4"/>
        <v>466.69047558312155</v>
      </c>
      <c r="U20" s="47">
        <f t="shared" si="5"/>
        <v>-3.9100017307748658</v>
      </c>
    </row>
    <row r="21" spans="2:26" x14ac:dyDescent="0.2">
      <c r="B21" s="123" t="s">
        <v>5</v>
      </c>
      <c r="C21" s="156">
        <v>0</v>
      </c>
      <c r="D21" s="4">
        <f t="shared" si="13"/>
        <v>-23.46001038464901</v>
      </c>
      <c r="E21" s="4">
        <f t="shared" si="6"/>
        <v>22401.142827989835</v>
      </c>
      <c r="F21" s="4">
        <f t="shared" si="7"/>
        <v>701.95500086538743</v>
      </c>
      <c r="G21" s="97">
        <v>6</v>
      </c>
      <c r="H21" s="148">
        <f t="shared" si="0"/>
        <v>350.01785668734118</v>
      </c>
      <c r="J21" s="85" t="s">
        <v>8</v>
      </c>
      <c r="K21" s="4">
        <f t="shared" si="1"/>
        <v>492.21297490956476</v>
      </c>
      <c r="L21" s="4">
        <f t="shared" si="2"/>
        <v>1088.2699948076763</v>
      </c>
      <c r="M21" s="4">
        <f t="shared" si="8"/>
        <v>92.179996538450069</v>
      </c>
      <c r="N21" s="47">
        <f t="shared" si="9"/>
        <v>1919.9985803491998</v>
      </c>
      <c r="P21" s="123" t="str">
        <f t="shared" si="10"/>
        <v>B</v>
      </c>
      <c r="Q21" s="4">
        <f t="shared" si="11"/>
        <v>495.55929586062547</v>
      </c>
      <c r="R21" s="4">
        <f t="shared" si="12"/>
        <v>-11.730005192324629</v>
      </c>
      <c r="S21" s="145" t="str">
        <f t="shared" si="3"/>
        <v>F</v>
      </c>
      <c r="T21" s="4">
        <f t="shared" si="4"/>
        <v>350.01785668734118</v>
      </c>
      <c r="U21" s="47">
        <f t="shared" si="5"/>
        <v>-1.9550008653870075</v>
      </c>
    </row>
    <row r="22" spans="2:26" x14ac:dyDescent="0.2">
      <c r="B22" s="124" t="s">
        <v>78</v>
      </c>
      <c r="C22" s="157">
        <v>0</v>
      </c>
      <c r="D22" s="53">
        <f t="shared" si="13"/>
        <v>-23.46001038464901</v>
      </c>
      <c r="E22" s="53">
        <f t="shared" si="6"/>
        <v>33601.714241984751</v>
      </c>
      <c r="F22" s="53">
        <f t="shared" si="7"/>
        <v>701.95500086538743</v>
      </c>
      <c r="G22" s="98">
        <v>6</v>
      </c>
      <c r="H22" s="48">
        <f t="shared" si="0"/>
        <v>525.02678503101174</v>
      </c>
      <c r="J22" s="87" t="s">
        <v>78</v>
      </c>
      <c r="K22" s="53">
        <f t="shared" si="1"/>
        <v>525.02678503101174</v>
      </c>
      <c r="L22" s="53">
        <f t="shared" si="2"/>
        <v>1200.0000000000009</v>
      </c>
      <c r="M22" s="53">
        <f t="shared" si="8"/>
        <v>111.73000519232453</v>
      </c>
      <c r="N22" s="48">
        <f t="shared" si="9"/>
        <v>1799.9999999999991</v>
      </c>
      <c r="P22" s="49" t="str">
        <f t="shared" si="10"/>
        <v>c oct.</v>
      </c>
      <c r="Q22" s="53">
        <f t="shared" si="11"/>
        <v>525.02678503101174</v>
      </c>
      <c r="R22" s="53">
        <f t="shared" si="12"/>
        <v>0</v>
      </c>
      <c r="S22" s="50" t="str">
        <f t="shared" si="3"/>
        <v>c oct.</v>
      </c>
      <c r="T22" s="53">
        <f t="shared" si="4"/>
        <v>525.02678503101174</v>
      </c>
      <c r="U22" s="48">
        <f t="shared" si="5"/>
        <v>0</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48" x14ac:dyDescent="0.2">
      <c r="B27" s="83" t="s">
        <v>130</v>
      </c>
      <c r="C27" s="84" t="s">
        <v>131</v>
      </c>
      <c r="D27" s="84" t="s">
        <v>132</v>
      </c>
      <c r="E27" s="84" t="str" cm="1">
        <f t="array" aca="1" ref="E27" ca="1">_xlfn.CONCAT(_xlfn.TEXTAFTER(CELL("filename",A2),"]")," Interval in cents")</f>
        <v>Kirnberger col. 1 Interval in cents</v>
      </c>
      <c r="F27" s="84" t="s">
        <v>18</v>
      </c>
      <c r="G27" s="52" t="str">
        <f>_xlfn.CONCAT("diff ",$F$2)</f>
        <v>diff 1/1 Cents</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4">LOG(D28*VLOOKUP(C28,Master_Frequencies,2,FALSE)/VLOOKUP(B28,Master_Frequencies,2,FALSE),2)*1200</f>
        <v>386.31499394228865</v>
      </c>
      <c r="F28" s="4">
        <f t="shared" ref="F28:F39" si="15">VLOOKUP(B28,Master_Frequencies,2,FALSE)*5/4</f>
        <v>328.1417406443822</v>
      </c>
      <c r="G28" s="47">
        <f t="shared" ref="G28:G39" si="16">IF($D$2="Cents",LOG(D28*VLOOKUP(C28,Master_Frequencies,2,FALSE)/F28,2)*1200*$F$3,LOG(D28*VLOOKUP(C28,Master_Frequencies,2,FALSE)/F28,$F$3))</f>
        <v>1.279338265842482E-3</v>
      </c>
      <c r="I28" s="123" t="s">
        <v>2</v>
      </c>
      <c r="J28" s="145" t="s">
        <v>6</v>
      </c>
      <c r="K28" s="97">
        <v>1</v>
      </c>
      <c r="L28" s="191">
        <f t="shared" ref="L28:L39" si="17">K28*VLOOKUP(J28,Master_Frequencies,2,FALSE)/VLOOKUP(I28,Master_Frequencies,2,FALSE)</f>
        <v>1.5</v>
      </c>
      <c r="M28" s="145" t="s">
        <v>2</v>
      </c>
      <c r="N28" s="145" t="s">
        <v>4</v>
      </c>
      <c r="O28" s="191">
        <f t="shared" ref="O28:O39" si="18">D28*VLOOKUP(N28,Master_Frequencies,2,FALSE)/VLOOKUP(M28,Master_Frequencies,2,FALSE)</f>
        <v>1.2500009242525063</v>
      </c>
      <c r="Q28" s="99">
        <v>1</v>
      </c>
      <c r="R28" s="18">
        <f>$E$10*Q28</f>
        <v>262.51339251550576</v>
      </c>
      <c r="S28" s="97">
        <v>0</v>
      </c>
      <c r="T28" s="4">
        <f>R28/POWER(2,S28)</f>
        <v>262.51339251550576</v>
      </c>
      <c r="U28" s="18" t="str" cm="1">
        <f t="array" ref="U28">_xlfn.XLOOKUP(0,ABS($C$45:$C$57-T28),$B$45:$B$57,,1)</f>
        <v>C</v>
      </c>
      <c r="V28" s="47">
        <f t="shared" ref="V28:V40" si="19">LOG(T28/VLOOKUP(U28,Master_Frequencies,2,FALSE),2)*1200</f>
        <v>0</v>
      </c>
      <c r="X28" s="85" t="s">
        <v>2</v>
      </c>
      <c r="Y28" s="4">
        <f t="shared" ref="Y28:Y40" si="20">VLOOKUP(X28,Master_Frequencies,2,FALSE)/POWER(2,$Z$26)</f>
        <v>65.628348128876439</v>
      </c>
      <c r="Z28" s="47">
        <f t="shared" ref="Z28:Z40" si="21">VLOOKUP(X28,Master_Frequencies,2,FALSE)*POWER(2,$Z$26)</f>
        <v>1050.053570062023</v>
      </c>
    </row>
    <row r="29" spans="2:26" x14ac:dyDescent="0.2">
      <c r="B29" s="123" t="s">
        <v>74</v>
      </c>
      <c r="C29" s="145" t="s">
        <v>5</v>
      </c>
      <c r="D29" s="97">
        <v>1</v>
      </c>
      <c r="E29" s="4">
        <f t="shared" si="14"/>
        <v>407.82000346154996</v>
      </c>
      <c r="F29" s="4">
        <f t="shared" si="15"/>
        <v>345.69664858008997</v>
      </c>
      <c r="G29" s="47">
        <f t="shared" si="16"/>
        <v>21.493870663790371</v>
      </c>
      <c r="I29" s="123" t="s">
        <v>74</v>
      </c>
      <c r="J29" s="145" t="s">
        <v>72</v>
      </c>
      <c r="K29" s="97">
        <v>1</v>
      </c>
      <c r="L29" s="191">
        <f t="shared" si="17"/>
        <v>1.5</v>
      </c>
      <c r="M29" s="145" t="s">
        <v>74</v>
      </c>
      <c r="N29" s="145" t="s">
        <v>5</v>
      </c>
      <c r="O29" s="191">
        <f t="shared" si="18"/>
        <v>1.2656250000000002</v>
      </c>
      <c r="Q29" s="99">
        <v>2</v>
      </c>
      <c r="R29" s="18">
        <f t="shared" ref="R29:R40" si="22">$E$10*Q29</f>
        <v>525.02678503101151</v>
      </c>
      <c r="S29" s="97">
        <v>0</v>
      </c>
      <c r="T29" s="4">
        <f t="shared" ref="T29:T40" si="23">R29/POWER(2,S29)</f>
        <v>525.02678503101151</v>
      </c>
      <c r="U29" s="18" t="str" cm="1">
        <f t="array" ref="U29">_xlfn.XLOOKUP(0,ABS($C$45:$C$57-T29),$B$45:$B$57,,1)</f>
        <v>c oct.</v>
      </c>
      <c r="V29" s="47">
        <f t="shared" si="19"/>
        <v>-7.6882236091558047E-13</v>
      </c>
      <c r="X29" s="85" t="s">
        <v>74</v>
      </c>
      <c r="Y29" s="4">
        <f t="shared" si="20"/>
        <v>69.139329716017997</v>
      </c>
      <c r="Z29" s="47">
        <f t="shared" si="21"/>
        <v>1106.229275456288</v>
      </c>
    </row>
    <row r="30" spans="2:26" x14ac:dyDescent="0.2">
      <c r="B30" s="123" t="s">
        <v>3</v>
      </c>
      <c r="C30" s="145" t="s">
        <v>70</v>
      </c>
      <c r="D30" s="97">
        <v>1</v>
      </c>
      <c r="E30" s="4">
        <f t="shared" si="14"/>
        <v>386.31499394228865</v>
      </c>
      <c r="F30" s="4">
        <f t="shared" si="15"/>
        <v>369.15945822493001</v>
      </c>
      <c r="G30" s="47">
        <f t="shared" si="16"/>
        <v>1.2793382654582932E-3</v>
      </c>
      <c r="I30" s="123" t="s">
        <v>3</v>
      </c>
      <c r="J30" s="145" t="s">
        <v>7</v>
      </c>
      <c r="K30" s="97">
        <v>1</v>
      </c>
      <c r="L30" s="191">
        <f t="shared" si="17"/>
        <v>1.4898710780556066</v>
      </c>
      <c r="M30" s="145" t="s">
        <v>3</v>
      </c>
      <c r="N30" s="145" t="s">
        <v>70</v>
      </c>
      <c r="O30" s="191">
        <f t="shared" si="18"/>
        <v>1.2500009242525063</v>
      </c>
      <c r="Q30" s="99">
        <v>3</v>
      </c>
      <c r="R30" s="18">
        <f t="shared" si="22"/>
        <v>787.54017754651727</v>
      </c>
      <c r="S30" s="97">
        <v>1</v>
      </c>
      <c r="T30" s="4">
        <f t="shared" si="23"/>
        <v>393.77008877325864</v>
      </c>
      <c r="U30" s="18" t="str" cm="1">
        <f t="array" ref="U30">_xlfn.XLOOKUP(0,ABS($C$45:$C$57-T30),$B$45:$B$57,,1)</f>
        <v>G</v>
      </c>
      <c r="V30" s="47">
        <f t="shared" si="19"/>
        <v>0</v>
      </c>
      <c r="X30" s="85" t="s">
        <v>3</v>
      </c>
      <c r="Y30" s="4">
        <f t="shared" si="20"/>
        <v>73.831891644986001</v>
      </c>
      <c r="Z30" s="47">
        <f t="shared" si="21"/>
        <v>1181.310266319776</v>
      </c>
    </row>
    <row r="31" spans="2:26" x14ac:dyDescent="0.2">
      <c r="B31" s="123" t="s">
        <v>76</v>
      </c>
      <c r="C31" s="145" t="s">
        <v>6</v>
      </c>
      <c r="D31" s="97">
        <v>1</v>
      </c>
      <c r="E31" s="4">
        <f t="shared" si="14"/>
        <v>407.82000346154877</v>
      </c>
      <c r="F31" s="4">
        <f t="shared" si="15"/>
        <v>388.90872965260132</v>
      </c>
      <c r="G31" s="47">
        <f t="shared" si="16"/>
        <v>21.493870663789234</v>
      </c>
      <c r="I31" s="123" t="s">
        <v>76</v>
      </c>
      <c r="J31" s="145" t="s">
        <v>73</v>
      </c>
      <c r="K31" s="97">
        <v>1</v>
      </c>
      <c r="L31" s="191">
        <f t="shared" si="17"/>
        <v>1.5</v>
      </c>
      <c r="M31" s="145" t="s">
        <v>76</v>
      </c>
      <c r="N31" s="145" t="s">
        <v>6</v>
      </c>
      <c r="O31" s="191">
        <f t="shared" si="18"/>
        <v>1.2656249999999993</v>
      </c>
      <c r="Q31" s="99">
        <v>4</v>
      </c>
      <c r="R31" s="18">
        <f t="shared" si="22"/>
        <v>1050.053570062023</v>
      </c>
      <c r="S31" s="97">
        <v>1</v>
      </c>
      <c r="T31" s="4">
        <f t="shared" si="23"/>
        <v>525.02678503101151</v>
      </c>
      <c r="U31" s="18" t="str" cm="1">
        <f t="array" ref="U31">_xlfn.XLOOKUP(0,ABS($C$45:$C$57-T31),$B$45:$B$57,,1)</f>
        <v>c oct.</v>
      </c>
      <c r="V31" s="47">
        <f t="shared" si="19"/>
        <v>-7.6882236091558047E-13</v>
      </c>
      <c r="X31" s="85" t="s">
        <v>76</v>
      </c>
      <c r="Y31" s="4">
        <f t="shared" si="20"/>
        <v>77.781745930520259</v>
      </c>
      <c r="Z31" s="47">
        <f t="shared" si="21"/>
        <v>1244.5079348883241</v>
      </c>
    </row>
    <row r="32" spans="2:26" x14ac:dyDescent="0.2">
      <c r="B32" s="123" t="s">
        <v>4</v>
      </c>
      <c r="C32" s="145" t="s">
        <v>72</v>
      </c>
      <c r="D32" s="97">
        <v>1</v>
      </c>
      <c r="E32" s="4">
        <f t="shared" si="14"/>
        <v>405.86500259616213</v>
      </c>
      <c r="F32" s="4">
        <f t="shared" si="15"/>
        <v>410.17747909130401</v>
      </c>
      <c r="G32" s="47">
        <f t="shared" si="16"/>
        <v>19.539998725105615</v>
      </c>
      <c r="I32" s="123" t="s">
        <v>4</v>
      </c>
      <c r="J32" s="145" t="s">
        <v>8</v>
      </c>
      <c r="K32" s="97">
        <v>1</v>
      </c>
      <c r="L32" s="191">
        <f t="shared" si="17"/>
        <v>1.5</v>
      </c>
      <c r="M32" s="145" t="s">
        <v>4</v>
      </c>
      <c r="N32" s="145" t="s">
        <v>72</v>
      </c>
      <c r="O32" s="191">
        <f t="shared" si="18"/>
        <v>1.2641965961146999</v>
      </c>
      <c r="Q32" s="99">
        <v>5</v>
      </c>
      <c r="R32" s="18">
        <f t="shared" si="22"/>
        <v>1312.5669625775288</v>
      </c>
      <c r="S32" s="97">
        <v>2</v>
      </c>
      <c r="T32" s="4">
        <f t="shared" si="23"/>
        <v>328.1417406443822</v>
      </c>
      <c r="U32" s="18" t="str" cm="1">
        <f t="array" ref="U32">_xlfn.XLOOKUP(0,ABS($C$45:$C$57-T32),$B$45:$B$57,,1)</f>
        <v>E</v>
      </c>
      <c r="V32" s="47">
        <f t="shared" si="19"/>
        <v>-1.2800774539467744E-3</v>
      </c>
      <c r="X32" s="85" t="s">
        <v>4</v>
      </c>
      <c r="Y32" s="4">
        <f t="shared" si="20"/>
        <v>82.035495818260799</v>
      </c>
      <c r="Z32" s="47">
        <f t="shared" si="21"/>
        <v>1312.5679330921728</v>
      </c>
    </row>
    <row r="33" spans="2:26" x14ac:dyDescent="0.2">
      <c r="B33" s="123" t="s">
        <v>5</v>
      </c>
      <c r="C33" s="145" t="s">
        <v>7</v>
      </c>
      <c r="D33" s="97">
        <v>1</v>
      </c>
      <c r="E33" s="4">
        <f t="shared" si="14"/>
        <v>396.08999826922474</v>
      </c>
      <c r="F33" s="4">
        <f t="shared" si="15"/>
        <v>437.52232085917649</v>
      </c>
      <c r="G33" s="47">
        <f t="shared" si="16"/>
        <v>9.7706390316852332</v>
      </c>
      <c r="I33" s="123" t="s">
        <v>5</v>
      </c>
      <c r="J33" s="145" t="s">
        <v>78</v>
      </c>
      <c r="K33" s="97">
        <v>1</v>
      </c>
      <c r="L33" s="191">
        <f t="shared" si="17"/>
        <v>1.5</v>
      </c>
      <c r="M33" s="145" t="s">
        <v>5</v>
      </c>
      <c r="N33" s="145" t="s">
        <v>7</v>
      </c>
      <c r="O33" s="191">
        <f t="shared" si="18"/>
        <v>1.2570787221094175</v>
      </c>
      <c r="Q33" s="99">
        <v>6</v>
      </c>
      <c r="R33" s="18">
        <f t="shared" si="22"/>
        <v>1575.0803550930345</v>
      </c>
      <c r="S33" s="97">
        <v>2</v>
      </c>
      <c r="T33" s="4">
        <f t="shared" si="23"/>
        <v>393.77008877325864</v>
      </c>
      <c r="U33" s="18" t="str" cm="1">
        <f t="array" ref="U33">_xlfn.XLOOKUP(0,ABS($C$45:$C$57-T33),$B$45:$B$57,,1)</f>
        <v>G</v>
      </c>
      <c r="V33" s="47">
        <f t="shared" si="19"/>
        <v>0</v>
      </c>
      <c r="X33" s="85" t="s">
        <v>5</v>
      </c>
      <c r="Y33" s="4">
        <f t="shared" si="20"/>
        <v>87.504464171835295</v>
      </c>
      <c r="Z33" s="47">
        <f t="shared" si="21"/>
        <v>1400.0714267493647</v>
      </c>
    </row>
    <row r="34" spans="2:26" x14ac:dyDescent="0.2">
      <c r="B34" s="123" t="s">
        <v>70</v>
      </c>
      <c r="C34" s="145" t="s">
        <v>73</v>
      </c>
      <c r="D34" s="97">
        <v>1</v>
      </c>
      <c r="E34" s="4">
        <f t="shared" si="14"/>
        <v>405.86500259616247</v>
      </c>
      <c r="F34" s="4">
        <f t="shared" si="15"/>
        <v>461.44966397771697</v>
      </c>
      <c r="G34" s="47">
        <f t="shared" si="16"/>
        <v>19.539998725105999</v>
      </c>
      <c r="I34" s="123" t="s">
        <v>70</v>
      </c>
      <c r="J34" s="145" t="s">
        <v>74</v>
      </c>
      <c r="K34" s="97">
        <v>2</v>
      </c>
      <c r="L34" s="191">
        <f t="shared" si="17"/>
        <v>1.4983070768766813</v>
      </c>
      <c r="M34" s="145" t="s">
        <v>70</v>
      </c>
      <c r="N34" s="145" t="s">
        <v>73</v>
      </c>
      <c r="O34" s="191">
        <f t="shared" si="18"/>
        <v>1.2641965961147001</v>
      </c>
      <c r="Q34" s="99">
        <v>7</v>
      </c>
      <c r="R34" s="18">
        <f t="shared" si="22"/>
        <v>1837.5937476085403</v>
      </c>
      <c r="S34" s="97">
        <v>2</v>
      </c>
      <c r="T34" s="4">
        <f t="shared" si="23"/>
        <v>459.39843690213507</v>
      </c>
      <c r="U34" s="18" t="str" cm="1">
        <f t="array" ref="U34">_xlfn.XLOOKUP(0,ABS($C$45:$C$57-T34),$B$45:$B$57,,1)</f>
        <v>A#</v>
      </c>
      <c r="V34" s="47">
        <f t="shared" si="19"/>
        <v>-27.264091800101017</v>
      </c>
      <c r="X34" s="85" t="s">
        <v>70</v>
      </c>
      <c r="Y34" s="4">
        <f t="shared" si="20"/>
        <v>92.289932795543393</v>
      </c>
      <c r="Z34" s="47">
        <f t="shared" si="21"/>
        <v>1476.6389247286943</v>
      </c>
    </row>
    <row r="35" spans="2:26" x14ac:dyDescent="0.2">
      <c r="B35" s="123" t="s">
        <v>6</v>
      </c>
      <c r="C35" s="145" t="s">
        <v>8</v>
      </c>
      <c r="D35" s="97">
        <v>1</v>
      </c>
      <c r="E35" s="4">
        <f t="shared" si="14"/>
        <v>386.31499394228865</v>
      </c>
      <c r="F35" s="4">
        <f t="shared" si="15"/>
        <v>492.21261096657327</v>
      </c>
      <c r="G35" s="47">
        <f t="shared" si="16"/>
        <v>1.279338265842482E-3</v>
      </c>
      <c r="I35" s="123" t="s">
        <v>6</v>
      </c>
      <c r="J35" s="145" t="s">
        <v>3</v>
      </c>
      <c r="K35" s="97">
        <v>2</v>
      </c>
      <c r="L35" s="191">
        <f t="shared" si="17"/>
        <v>1.5000000000000002</v>
      </c>
      <c r="M35" s="145" t="s">
        <v>6</v>
      </c>
      <c r="N35" s="145" t="s">
        <v>8</v>
      </c>
      <c r="O35" s="191">
        <f t="shared" si="18"/>
        <v>1.2500009242525063</v>
      </c>
      <c r="Q35" s="99">
        <v>8</v>
      </c>
      <c r="R35" s="18">
        <f t="shared" si="22"/>
        <v>2100.1071401240461</v>
      </c>
      <c r="S35" s="97">
        <v>3</v>
      </c>
      <c r="T35" s="4">
        <f t="shared" si="23"/>
        <v>262.51339251550576</v>
      </c>
      <c r="U35" s="18" t="str" cm="1">
        <f t="array" ref="U35">_xlfn.XLOOKUP(0,ABS($C$45:$C$57-T35),$B$45:$B$57,,1)</f>
        <v>C</v>
      </c>
      <c r="V35" s="47">
        <f t="shared" si="19"/>
        <v>0</v>
      </c>
      <c r="X35" s="85" t="s">
        <v>6</v>
      </c>
      <c r="Y35" s="4">
        <f t="shared" si="20"/>
        <v>98.442522193314659</v>
      </c>
      <c r="Z35" s="47">
        <f t="shared" si="21"/>
        <v>1575.0803550930345</v>
      </c>
    </row>
    <row r="36" spans="2:26" x14ac:dyDescent="0.2">
      <c r="B36" s="123" t="s">
        <v>72</v>
      </c>
      <c r="C36" s="145" t="s">
        <v>78</v>
      </c>
      <c r="D36" s="97">
        <v>1</v>
      </c>
      <c r="E36" s="4">
        <f t="shared" si="14"/>
        <v>407.82000346154967</v>
      </c>
      <c r="F36" s="4">
        <f t="shared" si="15"/>
        <v>518.54497287013498</v>
      </c>
      <c r="G36" s="47">
        <f t="shared" si="16"/>
        <v>21.493870663790371</v>
      </c>
      <c r="I36" s="123" t="s">
        <v>72</v>
      </c>
      <c r="J36" s="145" t="s">
        <v>76</v>
      </c>
      <c r="K36" s="97">
        <v>2</v>
      </c>
      <c r="L36" s="191">
        <f t="shared" si="17"/>
        <v>1.5000000000000002</v>
      </c>
      <c r="M36" s="145" t="s">
        <v>72</v>
      </c>
      <c r="N36" s="145" t="s">
        <v>78</v>
      </c>
      <c r="O36" s="191">
        <f t="shared" si="18"/>
        <v>1.265625</v>
      </c>
      <c r="Q36" s="99">
        <v>9</v>
      </c>
      <c r="R36" s="18">
        <f t="shared" si="22"/>
        <v>2362.620532639552</v>
      </c>
      <c r="S36" s="97">
        <v>3</v>
      </c>
      <c r="T36" s="4">
        <f t="shared" si="23"/>
        <v>295.327566579944</v>
      </c>
      <c r="U36" s="18" t="str" cm="1">
        <f t="array" ref="U36">_xlfn.XLOOKUP(0,ABS($C$45:$C$57-T36),$B$45:$B$57,,1)</f>
        <v>D</v>
      </c>
      <c r="V36" s="47">
        <f t="shared" si="19"/>
        <v>0</v>
      </c>
      <c r="X36" s="85" t="s">
        <v>72</v>
      </c>
      <c r="Y36" s="4">
        <f t="shared" si="20"/>
        <v>103.708994574027</v>
      </c>
      <c r="Z36" s="47">
        <f t="shared" si="21"/>
        <v>1659.343913184432</v>
      </c>
    </row>
    <row r="37" spans="2:26" x14ac:dyDescent="0.2">
      <c r="B37" s="123" t="s">
        <v>7</v>
      </c>
      <c r="C37" s="145" t="s">
        <v>74</v>
      </c>
      <c r="D37" s="97">
        <v>2</v>
      </c>
      <c r="E37" s="4">
        <f t="shared" si="14"/>
        <v>396.08999826922508</v>
      </c>
      <c r="F37" s="4">
        <f t="shared" si="15"/>
        <v>550.00000000000011</v>
      </c>
      <c r="G37" s="47">
        <f t="shared" si="16"/>
        <v>9.7706390316856151</v>
      </c>
      <c r="I37" s="123" t="s">
        <v>7</v>
      </c>
      <c r="J37" s="145" t="s">
        <v>4</v>
      </c>
      <c r="K37" s="97">
        <v>2</v>
      </c>
      <c r="L37" s="191">
        <f t="shared" si="17"/>
        <v>1.4915544694229232</v>
      </c>
      <c r="M37" s="145" t="s">
        <v>7</v>
      </c>
      <c r="N37" s="145" t="s">
        <v>74</v>
      </c>
      <c r="O37" s="191">
        <f t="shared" si="18"/>
        <v>1.2570787221094177</v>
      </c>
      <c r="Q37" s="99">
        <v>10</v>
      </c>
      <c r="R37" s="18">
        <f t="shared" si="22"/>
        <v>2625.1339251550576</v>
      </c>
      <c r="S37" s="97">
        <v>3</v>
      </c>
      <c r="T37" s="4">
        <f t="shared" si="23"/>
        <v>328.1417406443822</v>
      </c>
      <c r="U37" s="18" t="str" cm="1">
        <f t="array" ref="U37">_xlfn.XLOOKUP(0,ABS($C$45:$C$57-T37),$B$45:$B$57,,1)</f>
        <v>E</v>
      </c>
      <c r="V37" s="47">
        <f t="shared" si="19"/>
        <v>-1.2800774539467744E-3</v>
      </c>
      <c r="X37" s="85" t="s">
        <v>7</v>
      </c>
      <c r="Y37" s="4">
        <f t="shared" si="20"/>
        <v>110.00000000000003</v>
      </c>
      <c r="Z37" s="47">
        <f t="shared" si="21"/>
        <v>1760.0000000000005</v>
      </c>
    </row>
    <row r="38" spans="2:26" x14ac:dyDescent="0.2">
      <c r="B38" s="123" t="s">
        <v>73</v>
      </c>
      <c r="C38" s="145" t="s">
        <v>3</v>
      </c>
      <c r="D38" s="97">
        <v>2</v>
      </c>
      <c r="E38" s="4">
        <f t="shared" si="14"/>
        <v>407.82000346154911</v>
      </c>
      <c r="F38" s="4">
        <f t="shared" si="15"/>
        <v>583.36309447890198</v>
      </c>
      <c r="G38" s="47">
        <f t="shared" si="16"/>
        <v>21.493870663789234</v>
      </c>
      <c r="I38" s="123" t="s">
        <v>73</v>
      </c>
      <c r="J38" s="145" t="s">
        <v>5</v>
      </c>
      <c r="K38" s="97">
        <v>2</v>
      </c>
      <c r="L38" s="191">
        <f t="shared" si="17"/>
        <v>1.5</v>
      </c>
      <c r="M38" s="145" t="s">
        <v>73</v>
      </c>
      <c r="N38" s="145" t="s">
        <v>3</v>
      </c>
      <c r="O38" s="191">
        <f t="shared" si="18"/>
        <v>1.2656249999999996</v>
      </c>
      <c r="Q38" s="99">
        <v>11</v>
      </c>
      <c r="R38" s="18">
        <f t="shared" si="22"/>
        <v>2887.6473176705631</v>
      </c>
      <c r="S38" s="97">
        <v>3</v>
      </c>
      <c r="T38" s="4">
        <f t="shared" si="23"/>
        <v>360.95591470882039</v>
      </c>
      <c r="U38" s="18" t="str" cm="1">
        <f t="array" ref="U38">_xlfn.XLOOKUP(0,ABS($C$45:$C$57-T38),$B$45:$B$57,,1)</f>
        <v>F#</v>
      </c>
      <c r="V38" s="47">
        <f t="shared" si="19"/>
        <v>-38.907053308306885</v>
      </c>
      <c r="X38" s="85" t="s">
        <v>73</v>
      </c>
      <c r="Y38" s="4">
        <f t="shared" si="20"/>
        <v>116.67261889578039</v>
      </c>
      <c r="Z38" s="47">
        <f t="shared" si="21"/>
        <v>1866.7619023324862</v>
      </c>
    </row>
    <row r="39" spans="2:26" x14ac:dyDescent="0.2">
      <c r="B39" s="124" t="s">
        <v>8</v>
      </c>
      <c r="C39" s="153" t="s">
        <v>76</v>
      </c>
      <c r="D39" s="98">
        <v>2</v>
      </c>
      <c r="E39" s="53">
        <f t="shared" si="14"/>
        <v>405.86500259616247</v>
      </c>
      <c r="F39" s="53">
        <f t="shared" si="15"/>
        <v>615.26621863695595</v>
      </c>
      <c r="G39" s="48">
        <f t="shared" si="16"/>
        <v>19.539998725105999</v>
      </c>
      <c r="I39" s="124" t="s">
        <v>8</v>
      </c>
      <c r="J39" s="153" t="s">
        <v>70</v>
      </c>
      <c r="K39" s="98">
        <v>2</v>
      </c>
      <c r="L39" s="192">
        <f t="shared" si="17"/>
        <v>1.5</v>
      </c>
      <c r="M39" s="153" t="s">
        <v>8</v>
      </c>
      <c r="N39" s="153" t="s">
        <v>76</v>
      </c>
      <c r="O39" s="192">
        <f t="shared" si="18"/>
        <v>1.2641965961147001</v>
      </c>
      <c r="Q39" s="99">
        <v>12</v>
      </c>
      <c r="R39" s="18">
        <f t="shared" si="22"/>
        <v>3150.1607101860691</v>
      </c>
      <c r="S39" s="97">
        <v>3</v>
      </c>
      <c r="T39" s="4">
        <f t="shared" si="23"/>
        <v>393.77008877325864</v>
      </c>
      <c r="U39" s="18" t="str" cm="1">
        <f t="array" ref="U39">_xlfn.XLOOKUP(0,ABS($C$45:$C$57-T39),$B$45:$B$57,,1)</f>
        <v>G</v>
      </c>
      <c r="V39" s="47">
        <f t="shared" si="19"/>
        <v>0</v>
      </c>
      <c r="X39" s="85" t="s">
        <v>8</v>
      </c>
      <c r="Y39" s="4">
        <f t="shared" si="20"/>
        <v>123.05324372739119</v>
      </c>
      <c r="Z39" s="47">
        <f t="shared" si="21"/>
        <v>1968.8518996382591</v>
      </c>
    </row>
    <row r="40" spans="2:26" x14ac:dyDescent="0.2">
      <c r="Q40" s="100">
        <v>13</v>
      </c>
      <c r="R40" s="50">
        <f t="shared" si="22"/>
        <v>3412.6741027015751</v>
      </c>
      <c r="S40" s="98">
        <v>3</v>
      </c>
      <c r="T40" s="53">
        <f t="shared" si="23"/>
        <v>426.58426283769688</v>
      </c>
      <c r="U40" s="50" t="str" cm="1">
        <f t="array" ref="U40">_xlfn.XLOOKUP(0,ABS($C$45:$C$57-T40),$B$45:$B$57,,1)</f>
        <v>G#</v>
      </c>
      <c r="V40" s="48">
        <f t="shared" si="19"/>
        <v>48.347665230859889</v>
      </c>
      <c r="X40" s="87" t="s">
        <v>78</v>
      </c>
      <c r="Y40" s="53">
        <f t="shared" si="20"/>
        <v>131.25669625775294</v>
      </c>
      <c r="Z40" s="48">
        <f t="shared" si="21"/>
        <v>2100.107140124047</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262.51339251550576</v>
      </c>
    </row>
    <row r="46" spans="2:26" x14ac:dyDescent="0.2">
      <c r="B46" s="92" t="s">
        <v>74</v>
      </c>
      <c r="C46" s="93">
        <f t="shared" ref="C46:C57" si="24">VLOOKUP(B46,$B$10:$H$22,7,FALSE)</f>
        <v>276.55731886407199</v>
      </c>
    </row>
    <row r="47" spans="2:26" x14ac:dyDescent="0.2">
      <c r="B47" s="92" t="s">
        <v>3</v>
      </c>
      <c r="C47" s="93">
        <f t="shared" si="24"/>
        <v>295.327566579944</v>
      </c>
    </row>
    <row r="48" spans="2:26" x14ac:dyDescent="0.2">
      <c r="B48" s="92" t="s">
        <v>76</v>
      </c>
      <c r="C48" s="93">
        <f t="shared" si="24"/>
        <v>311.12698372208104</v>
      </c>
    </row>
    <row r="49" spans="2:3" x14ac:dyDescent="0.2">
      <c r="B49" s="92" t="s">
        <v>4</v>
      </c>
      <c r="C49" s="93">
        <f t="shared" si="24"/>
        <v>328.14198327304319</v>
      </c>
    </row>
    <row r="50" spans="2:3" x14ac:dyDescent="0.2">
      <c r="B50" s="92" t="s">
        <v>5</v>
      </c>
      <c r="C50" s="93">
        <f t="shared" si="24"/>
        <v>350.01785668734118</v>
      </c>
    </row>
    <row r="51" spans="2:3" x14ac:dyDescent="0.2">
      <c r="B51" s="92" t="s">
        <v>70</v>
      </c>
      <c r="C51" s="93">
        <f t="shared" si="24"/>
        <v>369.15973118217357</v>
      </c>
    </row>
    <row r="52" spans="2:3" x14ac:dyDescent="0.2">
      <c r="B52" s="92" t="s">
        <v>6</v>
      </c>
      <c r="C52" s="93">
        <f t="shared" si="24"/>
        <v>393.77008877325864</v>
      </c>
    </row>
    <row r="53" spans="2:3" x14ac:dyDescent="0.2">
      <c r="B53" s="92" t="s">
        <v>72</v>
      </c>
      <c r="C53" s="93">
        <f t="shared" si="24"/>
        <v>414.83597829610801</v>
      </c>
    </row>
    <row r="54" spans="2:3" x14ac:dyDescent="0.2">
      <c r="B54" s="92" t="s">
        <v>7</v>
      </c>
      <c r="C54" s="93">
        <f t="shared" si="24"/>
        <v>440.00000000000011</v>
      </c>
    </row>
    <row r="55" spans="2:3" x14ac:dyDescent="0.2">
      <c r="B55" s="92" t="s">
        <v>73</v>
      </c>
      <c r="C55" s="93">
        <f t="shared" si="24"/>
        <v>466.69047558312155</v>
      </c>
    </row>
    <row r="56" spans="2:3" x14ac:dyDescent="0.2">
      <c r="B56" s="92" t="s">
        <v>8</v>
      </c>
      <c r="C56" s="93">
        <f t="shared" si="24"/>
        <v>492.21297490956476</v>
      </c>
    </row>
    <row r="57" spans="2:3" ht="16" thickBot="1" x14ac:dyDescent="0.25">
      <c r="B57" s="94" t="s">
        <v>78</v>
      </c>
      <c r="C57" s="95">
        <f t="shared" si="24"/>
        <v>525.02678503101174</v>
      </c>
    </row>
    <row r="58" spans="2:3" ht="16" thickTop="1" x14ac:dyDescent="0.2"/>
  </sheetData>
  <sheetProtection sheet="1" scenarios="1" formatCells="0"/>
  <mergeCells count="9">
    <mergeCell ref="X25:Z25"/>
    <mergeCell ref="B1:G1"/>
    <mergeCell ref="B43:C43"/>
    <mergeCell ref="B8:H8"/>
    <mergeCell ref="J8:N8"/>
    <mergeCell ref="P8:U8"/>
    <mergeCell ref="B26:D26"/>
    <mergeCell ref="I26:O26"/>
    <mergeCell ref="Q26:V26"/>
  </mergeCells>
  <conditionalFormatting sqref="A1:XFD1048576">
    <cfRule type="expression" dxfId="75" priority="1">
      <formula>CELL("protect",A1)=0</formula>
    </cfRule>
    <cfRule type="expression" dxfId="74" priority="2">
      <formula>_xlfn.ISFORMULA(A1)</formula>
    </cfRule>
  </conditionalFormatting>
  <hyperlinks>
    <hyperlink ref="B41" location="Overview!A1" display="Back to Overview" xr:uid="{0C9265F5-1207-824D-AD12-162AFC9C6D7F}"/>
    <hyperlink ref="B5" location="Overview!A1" display="Back to Overview" xr:uid="{646E1A20-6C51-0D4B-8A43-C54FBFF2DF55}"/>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1485D2DE-F3A5-2A4A-B20F-B33BD30F42EF}">
          <x14:formula1>
            <xm:f>'Commas &amp; Cents'!$AD$1:$AD$3</xm:f>
          </x14:formula1>
          <xm:sqref>D2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FED4-CAE3-BA4D-BE3B-244F018164B8}">
  <sheetPr codeName="Sheet10">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315" t="s">
        <v>105</v>
      </c>
      <c r="C1" s="315"/>
      <c r="D1" s="315"/>
      <c r="E1" s="315"/>
      <c r="F1" s="315"/>
      <c r="G1" s="315"/>
    </row>
    <row r="2" spans="2:23" s="70" customFormat="1" ht="48" x14ac:dyDescent="0.2">
      <c r="D2" s="71" t="s">
        <v>84</v>
      </c>
      <c r="E2" s="72" t="str">
        <f>D2</f>
        <v>Pythagorean Comma</v>
      </c>
      <c r="F2" s="72" t="str">
        <f>_xlfn.CONCAT("1/",D3," ",D2)</f>
        <v>1/12 Pythagorean Comma</v>
      </c>
      <c r="G2" s="102"/>
      <c r="H2" s="103" t="s">
        <v>143</v>
      </c>
      <c r="I2" s="104">
        <v>440</v>
      </c>
      <c r="J2" s="103" t="str">
        <f>_xlfn.CONCAT("C for A=", I2,":")</f>
        <v>C for A=440:</v>
      </c>
      <c r="K2" s="70">
        <f>I2*2*8/27*POWER($F$3,$D$13-$D$10)</f>
        <v>262.36521236331129</v>
      </c>
      <c r="L2" s="103"/>
      <c r="U2" s="103"/>
      <c r="V2" s="103"/>
      <c r="W2" s="103"/>
    </row>
    <row r="3" spans="2:23" ht="16" x14ac:dyDescent="0.2">
      <c r="B3" s="105"/>
      <c r="C3" s="74" t="s">
        <v>125</v>
      </c>
      <c r="D3" s="96">
        <v>12</v>
      </c>
      <c r="E3" s="1">
        <f>IF(D2="Pythagorean Comma",524288/531441,IF(D2="Syntonic Comma",80/81,IF(D2="Cents",1/POWER(2,1/1200),"Not in List")))</f>
        <v>0.98654036854514426</v>
      </c>
      <c r="F3" s="132">
        <f>POWER(E3,1/D3)</f>
        <v>0.99887138458445435</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75">
        <v>0</v>
      </c>
      <c r="D10" s="4">
        <f>C10</f>
        <v>0</v>
      </c>
      <c r="E10" s="109">
        <f>K2</f>
        <v>262.36521236331129</v>
      </c>
      <c r="G10" s="97">
        <v>0</v>
      </c>
      <c r="H10" s="148">
        <f t="shared" ref="H10:H22" si="0">E10/POWER(2,G10)</f>
        <v>262.36521236331129</v>
      </c>
      <c r="J10" s="85" t="s">
        <v>2</v>
      </c>
      <c r="K10" s="4">
        <f t="shared" ref="K10:K22" si="1">VLOOKUP(J10,Master_Frequencies,2,FALSE)</f>
        <v>262.36521236331129</v>
      </c>
      <c r="L10" s="4">
        <f t="shared" ref="L10:L22" si="2">LOG(K10/K$10,2)*1200</f>
        <v>0</v>
      </c>
      <c r="N10" s="46">
        <v>3600</v>
      </c>
      <c r="P10" s="123" t="str">
        <f>J10</f>
        <v>C</v>
      </c>
      <c r="Q10" s="4">
        <f>E10</f>
        <v>262.36521236331129</v>
      </c>
      <c r="R10" s="4">
        <f>LOG(K10/Q10,2)*1200</f>
        <v>0</v>
      </c>
      <c r="S10" s="145" t="str">
        <f t="shared" ref="S10:S22" si="3">B10</f>
        <v>C</v>
      </c>
      <c r="T10" s="4">
        <f t="shared" ref="T10:T22" si="4">VLOOKUP(S10,Master_Frequencies,2,FALSE)</f>
        <v>262.36521236331129</v>
      </c>
      <c r="U10" s="47">
        <f t="shared" ref="U10:U22" si="5">VLOOKUP(S10,$P$10:$R$22,3,FALSE)</f>
        <v>0</v>
      </c>
    </row>
    <row r="11" spans="2:23" x14ac:dyDescent="0.2">
      <c r="B11" s="123" t="s">
        <v>6</v>
      </c>
      <c r="C11" s="75">
        <v>0</v>
      </c>
      <c r="D11" s="4">
        <f>D10+C11</f>
        <v>0</v>
      </c>
      <c r="E11" s="4">
        <f t="shared" ref="E11:E22" si="6">IF(C11&lt;0,(E10*3/2)*POWER($F$3,ABS(C11)),(E10*3/2)*POWER(1/$F$3,ABS(C11)))</f>
        <v>393.54781854496696</v>
      </c>
      <c r="F11" s="4">
        <f t="shared" ref="F11:F22" si="7">LOG(E11/E10,2)*1200</f>
        <v>701.95500086538743</v>
      </c>
      <c r="G11" s="97">
        <v>0</v>
      </c>
      <c r="H11" s="148">
        <f t="shared" si="0"/>
        <v>393.54781854496696</v>
      </c>
      <c r="J11" s="85" t="s">
        <v>74</v>
      </c>
      <c r="K11" s="4">
        <f t="shared" si="1"/>
        <v>276.40121137863258</v>
      </c>
      <c r="L11" s="4">
        <f t="shared" si="2"/>
        <v>90.224995673063802</v>
      </c>
      <c r="M11" s="4">
        <f t="shared" ref="M11:M22" si="8">LOG(K11/K10,2)*1200</f>
        <v>90.224995673063802</v>
      </c>
      <c r="N11" s="47">
        <f t="shared" ref="N11:N22" si="9">N$10*K$10/K11</f>
        <v>3417.1874999999986</v>
      </c>
      <c r="P11" s="123" t="str">
        <f t="shared" ref="P11:P22" si="10">J11</f>
        <v>C#</v>
      </c>
      <c r="Q11" s="4">
        <f t="shared" ref="Q11:Q22" si="11">Q10*POWER($Q$10*2/$Q$10,1/12)</f>
        <v>277.96625974266743</v>
      </c>
      <c r="R11" s="4">
        <f t="shared" ref="R11:R22" si="12">LOG(K11/Q11,2)*1200</f>
        <v>-9.7750043269365463</v>
      </c>
      <c r="S11" s="145" t="str">
        <f t="shared" si="3"/>
        <v>G</v>
      </c>
      <c r="T11" s="4">
        <f t="shared" si="4"/>
        <v>393.54781854496696</v>
      </c>
      <c r="U11" s="47">
        <f t="shared" si="5"/>
        <v>1.9550008653872295</v>
      </c>
    </row>
    <row r="12" spans="2:23" x14ac:dyDescent="0.2">
      <c r="B12" s="123" t="s">
        <v>3</v>
      </c>
      <c r="C12" s="75">
        <v>0</v>
      </c>
      <c r="D12" s="4">
        <f t="shared" ref="D12:D22" si="13">D11+C12</f>
        <v>0</v>
      </c>
      <c r="E12" s="4">
        <f t="shared" si="6"/>
        <v>590.32172781745044</v>
      </c>
      <c r="F12" s="4">
        <f t="shared" si="7"/>
        <v>701.95500086538743</v>
      </c>
      <c r="G12" s="97">
        <v>1</v>
      </c>
      <c r="H12" s="148">
        <f t="shared" si="0"/>
        <v>295.16086390872522</v>
      </c>
      <c r="J12" s="85" t="s">
        <v>3</v>
      </c>
      <c r="K12" s="4">
        <f t="shared" si="1"/>
        <v>295.16086390872522</v>
      </c>
      <c r="L12" s="4">
        <f t="shared" si="2"/>
        <v>203.91000173077484</v>
      </c>
      <c r="M12" s="4">
        <f t="shared" si="8"/>
        <v>113.68500605771122</v>
      </c>
      <c r="N12" s="47">
        <f t="shared" si="9"/>
        <v>3199.9999999999995</v>
      </c>
      <c r="P12" s="123" t="str">
        <f t="shared" si="10"/>
        <v>D</v>
      </c>
      <c r="Q12" s="4">
        <f t="shared" si="11"/>
        <v>294.49499367444605</v>
      </c>
      <c r="R12" s="4">
        <f t="shared" si="12"/>
        <v>3.9100017307747521</v>
      </c>
      <c r="S12" s="145" t="str">
        <f t="shared" si="3"/>
        <v>D</v>
      </c>
      <c r="T12" s="4">
        <f t="shared" si="4"/>
        <v>295.16086390872522</v>
      </c>
      <c r="U12" s="47">
        <f t="shared" si="5"/>
        <v>3.9100017307747521</v>
      </c>
    </row>
    <row r="13" spans="2:23" x14ac:dyDescent="0.2">
      <c r="B13" s="123" t="s">
        <v>7</v>
      </c>
      <c r="C13" s="75">
        <v>-5.5</v>
      </c>
      <c r="D13" s="4">
        <f t="shared" si="13"/>
        <v>-5.5</v>
      </c>
      <c r="E13" s="4">
        <f t="shared" si="6"/>
        <v>880.00000000000023</v>
      </c>
      <c r="F13" s="4">
        <f t="shared" si="7"/>
        <v>691.20249610575684</v>
      </c>
      <c r="G13" s="97">
        <v>1</v>
      </c>
      <c r="H13" s="148">
        <f t="shared" si="0"/>
        <v>440.00000000000011</v>
      </c>
      <c r="J13" s="85" t="s">
        <v>76</v>
      </c>
      <c r="K13" s="4">
        <f t="shared" si="1"/>
        <v>310.95136280096165</v>
      </c>
      <c r="L13" s="4">
        <f t="shared" si="2"/>
        <v>294.13499740383827</v>
      </c>
      <c r="M13" s="4">
        <f t="shared" si="8"/>
        <v>90.224995673063432</v>
      </c>
      <c r="N13" s="47">
        <f t="shared" si="9"/>
        <v>3037.4999999999986</v>
      </c>
      <c r="P13" s="123" t="str">
        <f t="shared" si="10"/>
        <v>D#</v>
      </c>
      <c r="Q13" s="4">
        <f t="shared" si="11"/>
        <v>312.00657727164969</v>
      </c>
      <c r="R13" s="4">
        <f t="shared" si="12"/>
        <v>-5.8650025961616956</v>
      </c>
      <c r="S13" s="145" t="str">
        <f t="shared" si="3"/>
        <v>A</v>
      </c>
      <c r="T13" s="4">
        <f t="shared" si="4"/>
        <v>440.00000000000011</v>
      </c>
      <c r="U13" s="47">
        <f t="shared" si="5"/>
        <v>-4.8875021634690947</v>
      </c>
    </row>
    <row r="14" spans="2:23" x14ac:dyDescent="0.2">
      <c r="B14" s="123" t="s">
        <v>4</v>
      </c>
      <c r="C14" s="75">
        <v>-5.5</v>
      </c>
      <c r="D14" s="4">
        <f t="shared" si="13"/>
        <v>-11</v>
      </c>
      <c r="E14" s="4">
        <f t="shared" si="6"/>
        <v>1311.8270317833767</v>
      </c>
      <c r="F14" s="4">
        <f t="shared" si="7"/>
        <v>691.20249610575684</v>
      </c>
      <c r="G14" s="97">
        <v>2</v>
      </c>
      <c r="H14" s="148">
        <f t="shared" si="0"/>
        <v>327.95675794584417</v>
      </c>
      <c r="J14" s="85" t="s">
        <v>4</v>
      </c>
      <c r="K14" s="4">
        <f t="shared" si="1"/>
        <v>327.95675794584417</v>
      </c>
      <c r="L14" s="4">
        <f t="shared" si="2"/>
        <v>386.31499394228865</v>
      </c>
      <c r="M14" s="4">
        <f t="shared" si="8"/>
        <v>92.179996538450069</v>
      </c>
      <c r="N14" s="47">
        <f t="shared" si="9"/>
        <v>2879.9978705238</v>
      </c>
      <c r="P14" s="123" t="str">
        <f t="shared" si="10"/>
        <v>E</v>
      </c>
      <c r="Q14" s="4">
        <f t="shared" si="11"/>
        <v>330.55945381667453</v>
      </c>
      <c r="R14" s="4">
        <f t="shared" si="12"/>
        <v>-13.685006057711607</v>
      </c>
      <c r="S14" s="145" t="str">
        <f t="shared" si="3"/>
        <v>E</v>
      </c>
      <c r="T14" s="4">
        <f t="shared" si="4"/>
        <v>327.95675794584417</v>
      </c>
      <c r="U14" s="47">
        <f t="shared" si="5"/>
        <v>-13.685006057711607</v>
      </c>
    </row>
    <row r="15" spans="2:23" x14ac:dyDescent="0.2">
      <c r="B15" s="123" t="s">
        <v>8</v>
      </c>
      <c r="C15" s="75">
        <v>0</v>
      </c>
      <c r="D15" s="4">
        <f t="shared" si="13"/>
        <v>-11</v>
      </c>
      <c r="E15" s="4">
        <f t="shared" si="6"/>
        <v>1967.740547675065</v>
      </c>
      <c r="F15" s="4">
        <f t="shared" si="7"/>
        <v>701.95500086538743</v>
      </c>
      <c r="G15" s="97">
        <v>2</v>
      </c>
      <c r="H15" s="148">
        <f t="shared" si="0"/>
        <v>491.93513691876626</v>
      </c>
      <c r="J15" s="85" t="s">
        <v>5</v>
      </c>
      <c r="K15" s="4">
        <f t="shared" si="1"/>
        <v>349.82028315108187</v>
      </c>
      <c r="L15" s="4">
        <f t="shared" si="2"/>
        <v>498.04499913461331</v>
      </c>
      <c r="M15" s="4">
        <f t="shared" si="8"/>
        <v>111.73000519232487</v>
      </c>
      <c r="N15" s="47">
        <f t="shared" si="9"/>
        <v>2699.9999999999986</v>
      </c>
      <c r="P15" s="123" t="str">
        <f t="shared" si="10"/>
        <v>F</v>
      </c>
      <c r="Q15" s="4">
        <f t="shared" si="11"/>
        <v>350.21554181033258</v>
      </c>
      <c r="R15" s="4">
        <f t="shared" si="12"/>
        <v>-1.9550008653868154</v>
      </c>
      <c r="S15" s="145" t="str">
        <f t="shared" si="3"/>
        <v>B</v>
      </c>
      <c r="T15" s="4">
        <f t="shared" si="4"/>
        <v>491.93513691876626</v>
      </c>
      <c r="U15" s="47">
        <f t="shared" si="5"/>
        <v>-11.730005192325015</v>
      </c>
    </row>
    <row r="16" spans="2:23" x14ac:dyDescent="0.2">
      <c r="B16" s="123" t="s">
        <v>70</v>
      </c>
      <c r="C16" s="75">
        <v>0</v>
      </c>
      <c r="D16" s="4">
        <f t="shared" si="13"/>
        <v>-11</v>
      </c>
      <c r="E16" s="4">
        <f t="shared" si="6"/>
        <v>2951.6108215125978</v>
      </c>
      <c r="F16" s="4">
        <f t="shared" si="7"/>
        <v>701.95500086538766</v>
      </c>
      <c r="G16" s="97">
        <v>3</v>
      </c>
      <c r="H16" s="148">
        <f t="shared" si="0"/>
        <v>368.95135268907472</v>
      </c>
      <c r="J16" s="85" t="s">
        <v>70</v>
      </c>
      <c r="K16" s="4">
        <f t="shared" si="1"/>
        <v>368.95135268907472</v>
      </c>
      <c r="L16" s="4">
        <f t="shared" si="2"/>
        <v>590.2249956730634</v>
      </c>
      <c r="M16" s="4">
        <f t="shared" si="8"/>
        <v>92.179996538450069</v>
      </c>
      <c r="N16" s="47">
        <f t="shared" si="9"/>
        <v>2559.9981071322668</v>
      </c>
      <c r="P16" s="123" t="str">
        <f t="shared" si="10"/>
        <v>F#</v>
      </c>
      <c r="Q16" s="4">
        <f t="shared" si="11"/>
        <v>371.04044161909212</v>
      </c>
      <c r="R16" s="4">
        <f t="shared" si="12"/>
        <v>-9.7750043269369336</v>
      </c>
      <c r="S16" s="145" t="str">
        <f t="shared" si="3"/>
        <v>F#</v>
      </c>
      <c r="T16" s="4">
        <f t="shared" si="4"/>
        <v>368.95135268907472</v>
      </c>
      <c r="U16" s="47">
        <f t="shared" si="5"/>
        <v>-9.7750043269369336</v>
      </c>
    </row>
    <row r="17" spans="2:26" x14ac:dyDescent="0.2">
      <c r="B17" s="123" t="s">
        <v>74</v>
      </c>
      <c r="C17" s="75">
        <v>-1</v>
      </c>
      <c r="D17" s="4">
        <f t="shared" si="13"/>
        <v>-12</v>
      </c>
      <c r="E17" s="4">
        <f t="shared" si="6"/>
        <v>4422.4193820581213</v>
      </c>
      <c r="F17" s="4">
        <f t="shared" si="7"/>
        <v>700.00000000000034</v>
      </c>
      <c r="G17" s="97">
        <v>4</v>
      </c>
      <c r="H17" s="148">
        <f t="shared" si="0"/>
        <v>276.40121137863258</v>
      </c>
      <c r="J17" s="85" t="s">
        <v>6</v>
      </c>
      <c r="K17" s="4">
        <f t="shared" si="1"/>
        <v>393.54781854496696</v>
      </c>
      <c r="L17" s="4">
        <f t="shared" si="2"/>
        <v>701.95500086538743</v>
      </c>
      <c r="M17" s="4">
        <f t="shared" si="8"/>
        <v>111.73000519232416</v>
      </c>
      <c r="N17" s="47">
        <f t="shared" si="9"/>
        <v>2399.9999999999995</v>
      </c>
      <c r="P17" s="123" t="str">
        <f t="shared" si="10"/>
        <v>G</v>
      </c>
      <c r="Q17" s="4">
        <f t="shared" si="11"/>
        <v>393.10365441020281</v>
      </c>
      <c r="R17" s="4">
        <f t="shared" si="12"/>
        <v>1.9550008653872295</v>
      </c>
      <c r="S17" s="145" t="str">
        <f t="shared" si="3"/>
        <v>C#</v>
      </c>
      <c r="T17" s="4">
        <f t="shared" si="4"/>
        <v>276.40121137863258</v>
      </c>
      <c r="U17" s="47">
        <f t="shared" si="5"/>
        <v>-9.7750043269365463</v>
      </c>
    </row>
    <row r="18" spans="2:26" x14ac:dyDescent="0.2">
      <c r="B18" s="123" t="s">
        <v>72</v>
      </c>
      <c r="C18" s="75">
        <v>0</v>
      </c>
      <c r="D18" s="4">
        <f t="shared" si="13"/>
        <v>-12</v>
      </c>
      <c r="E18" s="4">
        <f t="shared" si="6"/>
        <v>6633.6290730871824</v>
      </c>
      <c r="F18" s="4">
        <f t="shared" si="7"/>
        <v>701.95500086538743</v>
      </c>
      <c r="G18" s="97">
        <v>4</v>
      </c>
      <c r="H18" s="148">
        <f t="shared" si="0"/>
        <v>414.6018170679489</v>
      </c>
      <c r="J18" s="85" t="s">
        <v>72</v>
      </c>
      <c r="K18" s="4">
        <f t="shared" si="1"/>
        <v>414.6018170679489</v>
      </c>
      <c r="L18" s="4">
        <f t="shared" si="2"/>
        <v>792.17999653845129</v>
      </c>
      <c r="M18" s="4">
        <f t="shared" si="8"/>
        <v>90.224995673063802</v>
      </c>
      <c r="N18" s="47">
        <f t="shared" si="9"/>
        <v>2278.1249999999986</v>
      </c>
      <c r="P18" s="123" t="str">
        <f t="shared" si="10"/>
        <v>G#</v>
      </c>
      <c r="Q18" s="4">
        <f t="shared" si="11"/>
        <v>416.47881410538054</v>
      </c>
      <c r="R18" s="4">
        <f t="shared" si="12"/>
        <v>-7.820003461549498</v>
      </c>
      <c r="S18" s="145" t="str">
        <f t="shared" si="3"/>
        <v>G#</v>
      </c>
      <c r="T18" s="4">
        <f t="shared" si="4"/>
        <v>414.6018170679489</v>
      </c>
      <c r="U18" s="47">
        <f t="shared" si="5"/>
        <v>-7.820003461549498</v>
      </c>
    </row>
    <row r="19" spans="2:26" x14ac:dyDescent="0.2">
      <c r="B19" s="123" t="s">
        <v>76</v>
      </c>
      <c r="C19" s="75">
        <v>0</v>
      </c>
      <c r="D19" s="4">
        <f t="shared" si="13"/>
        <v>-12</v>
      </c>
      <c r="E19" s="4">
        <f t="shared" si="6"/>
        <v>9950.4436096307727</v>
      </c>
      <c r="F19" s="4">
        <f t="shared" si="7"/>
        <v>701.95500086538721</v>
      </c>
      <c r="G19" s="97">
        <v>5</v>
      </c>
      <c r="H19" s="148">
        <f t="shared" si="0"/>
        <v>310.95136280096165</v>
      </c>
      <c r="J19" s="85" t="s">
        <v>7</v>
      </c>
      <c r="K19" s="4">
        <f t="shared" si="1"/>
        <v>440.00000000000011</v>
      </c>
      <c r="L19" s="4">
        <f t="shared" si="2"/>
        <v>895.1124978365317</v>
      </c>
      <c r="M19" s="4">
        <f t="shared" si="8"/>
        <v>102.93250129808064</v>
      </c>
      <c r="N19" s="47">
        <f t="shared" si="9"/>
        <v>2146.6244647907279</v>
      </c>
      <c r="P19" s="123" t="str">
        <f t="shared" si="10"/>
        <v>A</v>
      </c>
      <c r="Q19" s="4">
        <f t="shared" si="11"/>
        <v>441.24393312717621</v>
      </c>
      <c r="R19" s="4">
        <f t="shared" si="12"/>
        <v>-4.8875021634690947</v>
      </c>
      <c r="S19" s="145" t="str">
        <f t="shared" si="3"/>
        <v>D#</v>
      </c>
      <c r="T19" s="4">
        <f t="shared" si="4"/>
        <v>310.95136280096165</v>
      </c>
      <c r="U19" s="47">
        <f t="shared" si="5"/>
        <v>-5.8650025961616956</v>
      </c>
    </row>
    <row r="20" spans="2:26" x14ac:dyDescent="0.2">
      <c r="B20" s="123" t="s">
        <v>73</v>
      </c>
      <c r="C20" s="75">
        <v>0</v>
      </c>
      <c r="D20" s="4">
        <f t="shared" si="13"/>
        <v>-12</v>
      </c>
      <c r="E20" s="4">
        <f t="shared" si="6"/>
        <v>14925.665414446159</v>
      </c>
      <c r="F20" s="4">
        <f t="shared" si="7"/>
        <v>701.95500086538743</v>
      </c>
      <c r="G20" s="97">
        <v>5</v>
      </c>
      <c r="H20" s="148">
        <f t="shared" si="0"/>
        <v>466.42704420144247</v>
      </c>
      <c r="J20" s="85" t="s">
        <v>73</v>
      </c>
      <c r="K20" s="4">
        <f t="shared" si="1"/>
        <v>466.42704420144247</v>
      </c>
      <c r="L20" s="4">
        <f t="shared" si="2"/>
        <v>996.08999826922582</v>
      </c>
      <c r="M20" s="4">
        <f t="shared" si="8"/>
        <v>100.97750043269421</v>
      </c>
      <c r="N20" s="47">
        <f t="shared" si="9"/>
        <v>2024.9999999999991</v>
      </c>
      <c r="P20" s="123" t="str">
        <f t="shared" si="10"/>
        <v>A#</v>
      </c>
      <c r="Q20" s="4">
        <f t="shared" si="11"/>
        <v>467.48166275818409</v>
      </c>
      <c r="R20" s="4">
        <f t="shared" si="12"/>
        <v>-3.910001730775059</v>
      </c>
      <c r="S20" s="145" t="str">
        <f t="shared" si="3"/>
        <v>A#</v>
      </c>
      <c r="T20" s="4">
        <f t="shared" si="4"/>
        <v>466.42704420144247</v>
      </c>
      <c r="U20" s="47">
        <f t="shared" si="5"/>
        <v>-3.910001730775059</v>
      </c>
    </row>
    <row r="21" spans="2:26" x14ac:dyDescent="0.2">
      <c r="B21" s="123" t="s">
        <v>5</v>
      </c>
      <c r="C21" s="75">
        <v>0</v>
      </c>
      <c r="D21" s="4">
        <f t="shared" si="13"/>
        <v>-12</v>
      </c>
      <c r="E21" s="4">
        <f t="shared" si="6"/>
        <v>22388.498121669239</v>
      </c>
      <c r="F21" s="4">
        <f t="shared" si="7"/>
        <v>701.95500086538743</v>
      </c>
      <c r="G21" s="97">
        <v>6</v>
      </c>
      <c r="H21" s="148">
        <f t="shared" si="0"/>
        <v>349.82028315108187</v>
      </c>
      <c r="J21" s="85" t="s">
        <v>8</v>
      </c>
      <c r="K21" s="4">
        <f t="shared" si="1"/>
        <v>491.93513691876626</v>
      </c>
      <c r="L21" s="4">
        <f t="shared" si="2"/>
        <v>1088.2699948076759</v>
      </c>
      <c r="M21" s="4">
        <f t="shared" si="8"/>
        <v>92.179996538450069</v>
      </c>
      <c r="N21" s="47">
        <f t="shared" si="9"/>
        <v>1919.9985803492002</v>
      </c>
      <c r="P21" s="123" t="str">
        <f t="shared" si="10"/>
        <v>B</v>
      </c>
      <c r="Q21" s="4">
        <f t="shared" si="11"/>
        <v>495.27956898201427</v>
      </c>
      <c r="R21" s="4">
        <f t="shared" si="12"/>
        <v>-11.730005192325015</v>
      </c>
      <c r="S21" s="145" t="str">
        <f t="shared" si="3"/>
        <v>F</v>
      </c>
      <c r="T21" s="4">
        <f t="shared" si="4"/>
        <v>349.82028315108187</v>
      </c>
      <c r="U21" s="47">
        <f t="shared" si="5"/>
        <v>-1.9550008653868154</v>
      </c>
    </row>
    <row r="22" spans="2:26" x14ac:dyDescent="0.2">
      <c r="B22" s="124" t="s">
        <v>78</v>
      </c>
      <c r="C22" s="88">
        <v>0</v>
      </c>
      <c r="D22" s="53">
        <f t="shared" si="13"/>
        <v>-12</v>
      </c>
      <c r="E22" s="53">
        <f t="shared" si="6"/>
        <v>33582.747182503859</v>
      </c>
      <c r="F22" s="53">
        <f t="shared" si="7"/>
        <v>701.95500086538743</v>
      </c>
      <c r="G22" s="98">
        <v>6</v>
      </c>
      <c r="H22" s="48">
        <f t="shared" si="0"/>
        <v>524.7304247266228</v>
      </c>
      <c r="J22" s="87" t="s">
        <v>78</v>
      </c>
      <c r="K22" s="53">
        <f t="shared" si="1"/>
        <v>524.7304247266228</v>
      </c>
      <c r="L22" s="53">
        <f t="shared" si="2"/>
        <v>1200.0000000000009</v>
      </c>
      <c r="M22" s="53">
        <f t="shared" si="8"/>
        <v>111.73000519232487</v>
      </c>
      <c r="N22" s="48">
        <f t="shared" si="9"/>
        <v>1799.9999999999991</v>
      </c>
      <c r="P22" s="49" t="str">
        <f t="shared" si="10"/>
        <v>c oct.</v>
      </c>
      <c r="Q22" s="53">
        <f t="shared" si="11"/>
        <v>524.73042472662291</v>
      </c>
      <c r="R22" s="53">
        <f t="shared" si="12"/>
        <v>-3.8441118045779024E-13</v>
      </c>
      <c r="S22" s="50" t="str">
        <f t="shared" si="3"/>
        <v>c oct.</v>
      </c>
      <c r="T22" s="53">
        <f t="shared" si="4"/>
        <v>524.7304247266228</v>
      </c>
      <c r="U22" s="48">
        <f t="shared" si="5"/>
        <v>-3.8441118045779024E-13</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01">
        <v>2</v>
      </c>
    </row>
    <row r="27" spans="2:26" s="84" customFormat="1" ht="48" x14ac:dyDescent="0.2">
      <c r="B27" s="83" t="s">
        <v>130</v>
      </c>
      <c r="C27" s="84" t="s">
        <v>131</v>
      </c>
      <c r="D27" s="84" t="s">
        <v>132</v>
      </c>
      <c r="E27" s="84" t="str" cm="1">
        <f t="array" aca="1" ref="E27" ca="1">_xlfn.CONCAT(_xlfn.TEXTAFTER(CELL("filename",A2),"]")," Interval in cents")</f>
        <v>Kirnberger col. 2 Interval in cents</v>
      </c>
      <c r="F27" s="84" t="s">
        <v>18</v>
      </c>
      <c r="G27" s="52" t="str">
        <f>_xlfn.CONCAT("diff ",$F$2)</f>
        <v>diff 1/12 Pythagorean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4">LOG(D28*VLOOKUP(C28,Master_Frequencies,2,FALSE)/VLOOKUP(B28,Master_Frequencies,2,FALSE),2)*1200</f>
        <v>386.31499394228865</v>
      </c>
      <c r="F28" s="4">
        <f t="shared" ref="F28:F39" si="15">VLOOKUP(B28,Master_Frequencies,2,FALSE)*5/4</f>
        <v>327.95651545413909</v>
      </c>
      <c r="G28" s="47">
        <f t="shared" ref="G28:G39" si="16">IF($D$2="Cents",LOG(D28*VLOOKUP(C28,Master_Frequencies,2,FALSE)/F28,2)*1200*$F$3,LOG(D28*VLOOKUP(C28,Master_Frequencies,2,FALSE)/F28,$F$3))</f>
        <v>-6.5477078621638133E-4</v>
      </c>
      <c r="I28" s="123" t="s">
        <v>2</v>
      </c>
      <c r="J28" s="145" t="s">
        <v>6</v>
      </c>
      <c r="K28" s="97">
        <v>1</v>
      </c>
      <c r="L28" s="191">
        <f t="shared" ref="L28:L39" si="17">K28*VLOOKUP(J28,Master_Frequencies,2,FALSE)/VLOOKUP(I28,Master_Frequencies,2,FALSE)</f>
        <v>1.5</v>
      </c>
      <c r="M28" s="145" t="s">
        <v>2</v>
      </c>
      <c r="N28" s="145" t="s">
        <v>4</v>
      </c>
      <c r="O28" s="191">
        <f t="shared" ref="O28:O39" si="18">D28*VLOOKUP(N28,Master_Frequencies,2,FALSE)/VLOOKUP(M28,Master_Frequencies,2,FALSE)</f>
        <v>1.2500009242525063</v>
      </c>
      <c r="Q28" s="99">
        <v>1</v>
      </c>
      <c r="R28" s="18">
        <f>$E$10*Q28</f>
        <v>262.36521236331129</v>
      </c>
      <c r="S28" s="97">
        <v>0</v>
      </c>
      <c r="T28" s="4">
        <f>R28/POWER(2,S28)</f>
        <v>262.36521236331129</v>
      </c>
      <c r="U28" s="18" t="str" cm="1">
        <f t="array" ref="U28">_xlfn.XLOOKUP(0,ABS($C$45:$C$57-T28),$B$45:$B$57,,1)</f>
        <v>C</v>
      </c>
      <c r="V28" s="47">
        <f t="shared" ref="V28:V40" si="19">LOG(T28/VLOOKUP(U28,Master_Frequencies,2,FALSE),2)*1200</f>
        <v>0</v>
      </c>
      <c r="X28" s="85" t="s">
        <v>2</v>
      </c>
      <c r="Y28" s="4">
        <f t="shared" ref="Y28:Y40" si="20">VLOOKUP(X28,Master_Frequencies,2,FALSE)/POWER(2,$Z$26)</f>
        <v>65.591303090827822</v>
      </c>
      <c r="Z28" s="47">
        <f t="shared" ref="Z28:Z40" si="21">VLOOKUP(X28,Master_Frequencies,2,FALSE)*POWER(2,$Z$26)</f>
        <v>1049.4608494532451</v>
      </c>
    </row>
    <row r="29" spans="2:26" x14ac:dyDescent="0.2">
      <c r="B29" s="123" t="s">
        <v>74</v>
      </c>
      <c r="C29" s="145" t="s">
        <v>5</v>
      </c>
      <c r="D29" s="97">
        <v>1</v>
      </c>
      <c r="E29" s="4">
        <f t="shared" si="14"/>
        <v>407.82000346154967</v>
      </c>
      <c r="F29" s="4">
        <f t="shared" si="15"/>
        <v>345.50151422329071</v>
      </c>
      <c r="G29" s="47">
        <f t="shared" si="16"/>
        <v>-11.000654770786102</v>
      </c>
      <c r="I29" s="123" t="s">
        <v>74</v>
      </c>
      <c r="J29" s="145" t="s">
        <v>72</v>
      </c>
      <c r="K29" s="97">
        <v>1</v>
      </c>
      <c r="L29" s="191">
        <f t="shared" si="17"/>
        <v>1.5</v>
      </c>
      <c r="M29" s="145" t="s">
        <v>74</v>
      </c>
      <c r="N29" s="145" t="s">
        <v>5</v>
      </c>
      <c r="O29" s="191">
        <f t="shared" si="18"/>
        <v>1.265625</v>
      </c>
      <c r="Q29" s="99">
        <v>2</v>
      </c>
      <c r="R29" s="18">
        <f t="shared" ref="R29:R40" si="22">$E$10*Q29</f>
        <v>524.73042472662257</v>
      </c>
      <c r="S29" s="97">
        <v>0</v>
      </c>
      <c r="T29" s="4">
        <f t="shared" ref="T29:T40" si="23">R29/POWER(2,S29)</f>
        <v>524.73042472662257</v>
      </c>
      <c r="U29" s="18" t="str" cm="1">
        <f t="array" ref="U29">_xlfn.XLOOKUP(0,ABS($C$45:$C$57-T29),$B$45:$B$57,,1)</f>
        <v>c oct.</v>
      </c>
      <c r="V29" s="47">
        <f t="shared" si="19"/>
        <v>-7.6882236091558047E-13</v>
      </c>
      <c r="X29" s="85" t="s">
        <v>74</v>
      </c>
      <c r="Y29" s="4">
        <f t="shared" si="20"/>
        <v>69.100302844658145</v>
      </c>
      <c r="Z29" s="47">
        <f t="shared" si="21"/>
        <v>1105.6048455145303</v>
      </c>
    </row>
    <row r="30" spans="2:26" x14ac:dyDescent="0.2">
      <c r="B30" s="123" t="s">
        <v>3</v>
      </c>
      <c r="C30" s="145" t="s">
        <v>70</v>
      </c>
      <c r="D30" s="97">
        <v>1</v>
      </c>
      <c r="E30" s="4">
        <f t="shared" si="14"/>
        <v>386.31499394228865</v>
      </c>
      <c r="F30" s="4">
        <f t="shared" si="15"/>
        <v>368.95107988590655</v>
      </c>
      <c r="G30" s="47">
        <f t="shared" si="16"/>
        <v>-6.5477078621638133E-4</v>
      </c>
      <c r="I30" s="123" t="s">
        <v>3</v>
      </c>
      <c r="J30" s="145" t="s">
        <v>7</v>
      </c>
      <c r="K30" s="97">
        <v>1</v>
      </c>
      <c r="L30" s="191">
        <f t="shared" si="17"/>
        <v>1.4907125361174731</v>
      </c>
      <c r="M30" s="145" t="s">
        <v>3</v>
      </c>
      <c r="N30" s="145" t="s">
        <v>70</v>
      </c>
      <c r="O30" s="191">
        <f t="shared" si="18"/>
        <v>1.2500009242525063</v>
      </c>
      <c r="Q30" s="99">
        <v>3</v>
      </c>
      <c r="R30" s="18">
        <f t="shared" si="22"/>
        <v>787.09563708993392</v>
      </c>
      <c r="S30" s="97">
        <v>1</v>
      </c>
      <c r="T30" s="4">
        <f t="shared" si="23"/>
        <v>393.54781854496696</v>
      </c>
      <c r="U30" s="18" t="str" cm="1">
        <f t="array" ref="U30">_xlfn.XLOOKUP(0,ABS($C$45:$C$57-T30),$B$45:$B$57,,1)</f>
        <v>G</v>
      </c>
      <c r="V30" s="47">
        <f t="shared" si="19"/>
        <v>0</v>
      </c>
      <c r="X30" s="85" t="s">
        <v>3</v>
      </c>
      <c r="Y30" s="4">
        <f t="shared" si="20"/>
        <v>73.790215977181305</v>
      </c>
      <c r="Z30" s="47">
        <f t="shared" si="21"/>
        <v>1180.6434556349009</v>
      </c>
    </row>
    <row r="31" spans="2:26" x14ac:dyDescent="0.2">
      <c r="B31" s="123" t="s">
        <v>76</v>
      </c>
      <c r="C31" s="145" t="s">
        <v>6</v>
      </c>
      <c r="D31" s="97">
        <v>1</v>
      </c>
      <c r="E31" s="4">
        <f t="shared" si="14"/>
        <v>407.82000346154911</v>
      </c>
      <c r="F31" s="4">
        <f t="shared" si="15"/>
        <v>388.68920350120209</v>
      </c>
      <c r="G31" s="47">
        <f t="shared" si="16"/>
        <v>-11.000654770785713</v>
      </c>
      <c r="I31" s="123" t="s">
        <v>76</v>
      </c>
      <c r="J31" s="145" t="s">
        <v>73</v>
      </c>
      <c r="K31" s="97">
        <v>1</v>
      </c>
      <c r="L31" s="191">
        <f t="shared" si="17"/>
        <v>1.5</v>
      </c>
      <c r="M31" s="145" t="s">
        <v>76</v>
      </c>
      <c r="N31" s="145" t="s">
        <v>6</v>
      </c>
      <c r="O31" s="191">
        <f t="shared" si="18"/>
        <v>1.2656249999999996</v>
      </c>
      <c r="Q31" s="99">
        <v>4</v>
      </c>
      <c r="R31" s="18">
        <f t="shared" si="22"/>
        <v>1049.4608494532451</v>
      </c>
      <c r="S31" s="97">
        <v>1</v>
      </c>
      <c r="T31" s="4">
        <f t="shared" si="23"/>
        <v>524.73042472662257</v>
      </c>
      <c r="U31" s="18" t="str" cm="1">
        <f t="array" ref="U31">_xlfn.XLOOKUP(0,ABS($C$45:$C$57-T31),$B$45:$B$57,,1)</f>
        <v>c oct.</v>
      </c>
      <c r="V31" s="47">
        <f t="shared" si="19"/>
        <v>-7.6882236091558047E-13</v>
      </c>
      <c r="X31" s="85" t="s">
        <v>76</v>
      </c>
      <c r="Y31" s="4">
        <f t="shared" si="20"/>
        <v>77.737840700240412</v>
      </c>
      <c r="Z31" s="47">
        <f t="shared" si="21"/>
        <v>1243.8054512038466</v>
      </c>
    </row>
    <row r="32" spans="2:26" x14ac:dyDescent="0.2">
      <c r="B32" s="123" t="s">
        <v>4</v>
      </c>
      <c r="C32" s="145" t="s">
        <v>72</v>
      </c>
      <c r="D32" s="97">
        <v>1</v>
      </c>
      <c r="E32" s="4">
        <f t="shared" si="14"/>
        <v>405.86500259616281</v>
      </c>
      <c r="F32" s="4">
        <f t="shared" si="15"/>
        <v>409.94594743230522</v>
      </c>
      <c r="G32" s="47">
        <f t="shared" si="16"/>
        <v>-10.000654770786335</v>
      </c>
      <c r="I32" s="123" t="s">
        <v>4</v>
      </c>
      <c r="J32" s="145" t="s">
        <v>8</v>
      </c>
      <c r="K32" s="97">
        <v>1</v>
      </c>
      <c r="L32" s="191">
        <f t="shared" si="17"/>
        <v>1.5</v>
      </c>
      <c r="M32" s="145" t="s">
        <v>4</v>
      </c>
      <c r="N32" s="145" t="s">
        <v>72</v>
      </c>
      <c r="O32" s="191">
        <f t="shared" si="18"/>
        <v>1.2641965961147004</v>
      </c>
      <c r="Q32" s="99">
        <v>5</v>
      </c>
      <c r="R32" s="18">
        <f t="shared" si="22"/>
        <v>1311.8260618165564</v>
      </c>
      <c r="S32" s="97">
        <v>2</v>
      </c>
      <c r="T32" s="4">
        <f t="shared" si="23"/>
        <v>327.95651545413909</v>
      </c>
      <c r="U32" s="18" t="str" cm="1">
        <f t="array" ref="U32">_xlfn.XLOOKUP(0,ABS($C$45:$C$57-T32),$B$45:$B$57,,1)</f>
        <v>E</v>
      </c>
      <c r="V32" s="47">
        <f t="shared" si="19"/>
        <v>-1.2800774537545685E-3</v>
      </c>
      <c r="X32" s="85" t="s">
        <v>4</v>
      </c>
      <c r="Y32" s="4">
        <f t="shared" si="20"/>
        <v>81.989189486461044</v>
      </c>
      <c r="Z32" s="47">
        <f t="shared" si="21"/>
        <v>1311.8270317833767</v>
      </c>
    </row>
    <row r="33" spans="2:26" x14ac:dyDescent="0.2">
      <c r="B33" s="123" t="s">
        <v>5</v>
      </c>
      <c r="C33" s="145" t="s">
        <v>7</v>
      </c>
      <c r="D33" s="97">
        <v>1</v>
      </c>
      <c r="E33" s="4">
        <f t="shared" si="14"/>
        <v>397.06749870191828</v>
      </c>
      <c r="F33" s="4">
        <f t="shared" si="15"/>
        <v>437.27535393885233</v>
      </c>
      <c r="G33" s="47">
        <f t="shared" si="16"/>
        <v>-5.5006547707857827</v>
      </c>
      <c r="I33" s="123" t="s">
        <v>5</v>
      </c>
      <c r="J33" s="145" t="s">
        <v>78</v>
      </c>
      <c r="K33" s="97">
        <v>1</v>
      </c>
      <c r="L33" s="191">
        <f t="shared" si="17"/>
        <v>1.5</v>
      </c>
      <c r="M33" s="145" t="s">
        <v>5</v>
      </c>
      <c r="N33" s="145" t="s">
        <v>7</v>
      </c>
      <c r="O33" s="191">
        <f t="shared" si="18"/>
        <v>1.2577887023491174</v>
      </c>
      <c r="Q33" s="99">
        <v>6</v>
      </c>
      <c r="R33" s="18">
        <f t="shared" si="22"/>
        <v>1574.1912741798678</v>
      </c>
      <c r="S33" s="97">
        <v>2</v>
      </c>
      <c r="T33" s="4">
        <f t="shared" si="23"/>
        <v>393.54781854496696</v>
      </c>
      <c r="U33" s="18" t="str" cm="1">
        <f t="array" ref="U33">_xlfn.XLOOKUP(0,ABS($C$45:$C$57-T33),$B$45:$B$57,,1)</f>
        <v>G</v>
      </c>
      <c r="V33" s="47">
        <f t="shared" si="19"/>
        <v>0</v>
      </c>
      <c r="X33" s="85" t="s">
        <v>5</v>
      </c>
      <c r="Y33" s="4">
        <f t="shared" si="20"/>
        <v>87.455070787770467</v>
      </c>
      <c r="Z33" s="47">
        <f t="shared" si="21"/>
        <v>1399.2811326043275</v>
      </c>
    </row>
    <row r="34" spans="2:26" x14ac:dyDescent="0.2">
      <c r="B34" s="123" t="s">
        <v>70</v>
      </c>
      <c r="C34" s="145" t="s">
        <v>73</v>
      </c>
      <c r="D34" s="97">
        <v>1</v>
      </c>
      <c r="E34" s="4">
        <f t="shared" si="14"/>
        <v>405.86500259616247</v>
      </c>
      <c r="F34" s="4">
        <f t="shared" si="15"/>
        <v>461.18919086134338</v>
      </c>
      <c r="G34" s="47">
        <f t="shared" si="16"/>
        <v>-10.000654770786335</v>
      </c>
      <c r="I34" s="123" t="s">
        <v>70</v>
      </c>
      <c r="J34" s="145" t="s">
        <v>74</v>
      </c>
      <c r="K34" s="97">
        <v>2</v>
      </c>
      <c r="L34" s="191">
        <f t="shared" si="17"/>
        <v>1.4983070768766817</v>
      </c>
      <c r="M34" s="145" t="s">
        <v>70</v>
      </c>
      <c r="N34" s="145" t="s">
        <v>73</v>
      </c>
      <c r="O34" s="191">
        <f t="shared" si="18"/>
        <v>1.2641965961147001</v>
      </c>
      <c r="Q34" s="99">
        <v>7</v>
      </c>
      <c r="R34" s="18">
        <f t="shared" si="22"/>
        <v>1836.5564865431791</v>
      </c>
      <c r="S34" s="97">
        <v>2</v>
      </c>
      <c r="T34" s="4">
        <f t="shared" si="23"/>
        <v>459.13912163579477</v>
      </c>
      <c r="U34" s="18" t="str" cm="1">
        <f t="array" ref="U34">_xlfn.XLOOKUP(0,ABS($C$45:$C$57-T34),$B$45:$B$57,,1)</f>
        <v>A#</v>
      </c>
      <c r="V34" s="47">
        <f t="shared" si="19"/>
        <v>-27.264091800100822</v>
      </c>
      <c r="X34" s="85" t="s">
        <v>70</v>
      </c>
      <c r="Y34" s="4">
        <f t="shared" si="20"/>
        <v>92.237838172268681</v>
      </c>
      <c r="Z34" s="47">
        <f t="shared" si="21"/>
        <v>1475.8054107562989</v>
      </c>
    </row>
    <row r="35" spans="2:26" x14ac:dyDescent="0.2">
      <c r="B35" s="123" t="s">
        <v>6</v>
      </c>
      <c r="C35" s="145" t="s">
        <v>8</v>
      </c>
      <c r="D35" s="97">
        <v>1</v>
      </c>
      <c r="E35" s="4">
        <f t="shared" si="14"/>
        <v>386.31499394228837</v>
      </c>
      <c r="F35" s="4">
        <f t="shared" si="15"/>
        <v>491.9347731812087</v>
      </c>
      <c r="G35" s="47">
        <f t="shared" si="16"/>
        <v>-6.5477078621638133E-4</v>
      </c>
      <c r="I35" s="123" t="s">
        <v>6</v>
      </c>
      <c r="J35" s="145" t="s">
        <v>3</v>
      </c>
      <c r="K35" s="97">
        <v>2</v>
      </c>
      <c r="L35" s="191">
        <f t="shared" si="17"/>
        <v>1.5</v>
      </c>
      <c r="M35" s="145" t="s">
        <v>6</v>
      </c>
      <c r="N35" s="145" t="s">
        <v>8</v>
      </c>
      <c r="O35" s="191">
        <f t="shared" si="18"/>
        <v>1.2500009242525061</v>
      </c>
      <c r="Q35" s="99">
        <v>8</v>
      </c>
      <c r="R35" s="18">
        <f t="shared" si="22"/>
        <v>2098.9216989064903</v>
      </c>
      <c r="S35" s="97">
        <v>3</v>
      </c>
      <c r="T35" s="4">
        <f t="shared" si="23"/>
        <v>262.36521236331129</v>
      </c>
      <c r="U35" s="18" t="str" cm="1">
        <f t="array" ref="U35">_xlfn.XLOOKUP(0,ABS($C$45:$C$57-T35),$B$45:$B$57,,1)</f>
        <v>C</v>
      </c>
      <c r="V35" s="47">
        <f t="shared" si="19"/>
        <v>0</v>
      </c>
      <c r="X35" s="85" t="s">
        <v>6</v>
      </c>
      <c r="Y35" s="4">
        <f t="shared" si="20"/>
        <v>98.38695463624174</v>
      </c>
      <c r="Z35" s="47">
        <f t="shared" si="21"/>
        <v>1574.1912741798678</v>
      </c>
    </row>
    <row r="36" spans="2:26" x14ac:dyDescent="0.2">
      <c r="B36" s="123" t="s">
        <v>72</v>
      </c>
      <c r="C36" s="145" t="s">
        <v>78</v>
      </c>
      <c r="D36" s="97">
        <v>1</v>
      </c>
      <c r="E36" s="4">
        <f t="shared" si="14"/>
        <v>407.82000346154967</v>
      </c>
      <c r="F36" s="4">
        <f t="shared" si="15"/>
        <v>518.25227133493615</v>
      </c>
      <c r="G36" s="47">
        <f t="shared" si="16"/>
        <v>-11.000654770786102</v>
      </c>
      <c r="I36" s="123" t="s">
        <v>72</v>
      </c>
      <c r="J36" s="145" t="s">
        <v>76</v>
      </c>
      <c r="K36" s="97">
        <v>2</v>
      </c>
      <c r="L36" s="191">
        <f t="shared" si="17"/>
        <v>1.4999999999999998</v>
      </c>
      <c r="M36" s="145" t="s">
        <v>72</v>
      </c>
      <c r="N36" s="145" t="s">
        <v>78</v>
      </c>
      <c r="O36" s="191">
        <f t="shared" si="18"/>
        <v>1.265625</v>
      </c>
      <c r="Q36" s="99">
        <v>9</v>
      </c>
      <c r="R36" s="18">
        <f t="shared" si="22"/>
        <v>2361.2869112698017</v>
      </c>
      <c r="S36" s="97">
        <v>3</v>
      </c>
      <c r="T36" s="4">
        <f t="shared" si="23"/>
        <v>295.16086390872522</v>
      </c>
      <c r="U36" s="18" t="str" cm="1">
        <f t="array" ref="U36">_xlfn.XLOOKUP(0,ABS($C$45:$C$57-T36),$B$45:$B$57,,1)</f>
        <v>D</v>
      </c>
      <c r="V36" s="47">
        <f t="shared" si="19"/>
        <v>0</v>
      </c>
      <c r="X36" s="85" t="s">
        <v>72</v>
      </c>
      <c r="Y36" s="4">
        <f t="shared" si="20"/>
        <v>103.65045426698723</v>
      </c>
      <c r="Z36" s="47">
        <f t="shared" si="21"/>
        <v>1658.4072682717956</v>
      </c>
    </row>
    <row r="37" spans="2:26" x14ac:dyDescent="0.2">
      <c r="B37" s="123" t="s">
        <v>7</v>
      </c>
      <c r="C37" s="145" t="s">
        <v>74</v>
      </c>
      <c r="D37" s="97">
        <v>2</v>
      </c>
      <c r="E37" s="4">
        <f t="shared" si="14"/>
        <v>395.11249783653193</v>
      </c>
      <c r="F37" s="4">
        <f t="shared" si="15"/>
        <v>550.00000000000011</v>
      </c>
      <c r="G37" s="47">
        <f t="shared" si="16"/>
        <v>-4.5006547707863938</v>
      </c>
      <c r="I37" s="123" t="s">
        <v>7</v>
      </c>
      <c r="J37" s="145" t="s">
        <v>4</v>
      </c>
      <c r="K37" s="97">
        <v>2</v>
      </c>
      <c r="L37" s="191">
        <f t="shared" si="17"/>
        <v>1.4907125361174731</v>
      </c>
      <c r="M37" s="145" t="s">
        <v>7</v>
      </c>
      <c r="N37" s="145" t="s">
        <v>74</v>
      </c>
      <c r="O37" s="191">
        <f t="shared" si="18"/>
        <v>1.2563691426301478</v>
      </c>
      <c r="Q37" s="99">
        <v>10</v>
      </c>
      <c r="R37" s="18">
        <f t="shared" si="22"/>
        <v>2623.6521236331128</v>
      </c>
      <c r="S37" s="97">
        <v>3</v>
      </c>
      <c r="T37" s="4">
        <f t="shared" si="23"/>
        <v>327.95651545413909</v>
      </c>
      <c r="U37" s="18" t="str" cm="1">
        <f t="array" ref="U37">_xlfn.XLOOKUP(0,ABS($C$45:$C$57-T37),$B$45:$B$57,,1)</f>
        <v>E</v>
      </c>
      <c r="V37" s="47">
        <f t="shared" si="19"/>
        <v>-1.2800774537545685E-3</v>
      </c>
      <c r="X37" s="85" t="s">
        <v>7</v>
      </c>
      <c r="Y37" s="4">
        <f t="shared" si="20"/>
        <v>110.00000000000003</v>
      </c>
      <c r="Z37" s="47">
        <f t="shared" si="21"/>
        <v>1760.0000000000005</v>
      </c>
    </row>
    <row r="38" spans="2:26" x14ac:dyDescent="0.2">
      <c r="B38" s="123" t="s">
        <v>73</v>
      </c>
      <c r="C38" s="145" t="s">
        <v>3</v>
      </c>
      <c r="D38" s="97">
        <v>2</v>
      </c>
      <c r="E38" s="4">
        <f t="shared" si="14"/>
        <v>407.82000346154911</v>
      </c>
      <c r="F38" s="4">
        <f t="shared" si="15"/>
        <v>583.03380525180307</v>
      </c>
      <c r="G38" s="47">
        <f t="shared" si="16"/>
        <v>-11.000654770785907</v>
      </c>
      <c r="I38" s="123" t="s">
        <v>73</v>
      </c>
      <c r="J38" s="145" t="s">
        <v>5</v>
      </c>
      <c r="K38" s="97">
        <v>2</v>
      </c>
      <c r="L38" s="191">
        <f t="shared" si="17"/>
        <v>1.5</v>
      </c>
      <c r="M38" s="145" t="s">
        <v>73</v>
      </c>
      <c r="N38" s="145" t="s">
        <v>3</v>
      </c>
      <c r="O38" s="191">
        <f t="shared" si="18"/>
        <v>1.2656249999999996</v>
      </c>
      <c r="Q38" s="99">
        <v>11</v>
      </c>
      <c r="R38" s="18">
        <f t="shared" si="22"/>
        <v>2886.0173359964242</v>
      </c>
      <c r="S38" s="97">
        <v>3</v>
      </c>
      <c r="T38" s="4">
        <f t="shared" si="23"/>
        <v>360.75216699955303</v>
      </c>
      <c r="U38" s="18" t="str" cm="1">
        <f t="array" ref="U38">_xlfn.XLOOKUP(0,ABS($C$45:$C$57-T38),$B$45:$B$57,,1)</f>
        <v>F#</v>
      </c>
      <c r="V38" s="47">
        <f t="shared" si="19"/>
        <v>-38.907053308306686</v>
      </c>
      <c r="X38" s="85" t="s">
        <v>73</v>
      </c>
      <c r="Y38" s="4">
        <f t="shared" si="20"/>
        <v>116.60676105036062</v>
      </c>
      <c r="Z38" s="47">
        <f t="shared" si="21"/>
        <v>1865.7081768057699</v>
      </c>
    </row>
    <row r="39" spans="2:26" x14ac:dyDescent="0.2">
      <c r="B39" s="124" t="s">
        <v>8</v>
      </c>
      <c r="C39" s="153" t="s">
        <v>76</v>
      </c>
      <c r="D39" s="98">
        <v>2</v>
      </c>
      <c r="E39" s="53">
        <f t="shared" si="14"/>
        <v>405.86500259616247</v>
      </c>
      <c r="F39" s="53">
        <f t="shared" si="15"/>
        <v>614.9189211484578</v>
      </c>
      <c r="G39" s="48">
        <f t="shared" si="16"/>
        <v>-10.000654770786335</v>
      </c>
      <c r="I39" s="124" t="s">
        <v>8</v>
      </c>
      <c r="J39" s="153" t="s">
        <v>70</v>
      </c>
      <c r="K39" s="98">
        <v>2</v>
      </c>
      <c r="L39" s="192">
        <f t="shared" si="17"/>
        <v>1.5000000000000002</v>
      </c>
      <c r="M39" s="153" t="s">
        <v>8</v>
      </c>
      <c r="N39" s="153" t="s">
        <v>76</v>
      </c>
      <c r="O39" s="192">
        <f t="shared" si="18"/>
        <v>1.2641965961147001</v>
      </c>
      <c r="Q39" s="99">
        <v>12</v>
      </c>
      <c r="R39" s="18">
        <f t="shared" si="22"/>
        <v>3148.3825483597357</v>
      </c>
      <c r="S39" s="97">
        <v>3</v>
      </c>
      <c r="T39" s="4">
        <f t="shared" si="23"/>
        <v>393.54781854496696</v>
      </c>
      <c r="U39" s="18" t="str" cm="1">
        <f t="array" ref="U39">_xlfn.XLOOKUP(0,ABS($C$45:$C$57-T39),$B$45:$B$57,,1)</f>
        <v>G</v>
      </c>
      <c r="V39" s="47">
        <f t="shared" si="19"/>
        <v>0</v>
      </c>
      <c r="X39" s="85" t="s">
        <v>8</v>
      </c>
      <c r="Y39" s="4">
        <f t="shared" si="20"/>
        <v>122.98378422969157</v>
      </c>
      <c r="Z39" s="47">
        <f t="shared" si="21"/>
        <v>1967.740547675065</v>
      </c>
    </row>
    <row r="40" spans="2:26" x14ac:dyDescent="0.2">
      <c r="Q40" s="100">
        <v>13</v>
      </c>
      <c r="R40" s="50">
        <f t="shared" si="22"/>
        <v>3410.7477607230467</v>
      </c>
      <c r="S40" s="98">
        <v>3</v>
      </c>
      <c r="T40" s="53">
        <f t="shared" si="23"/>
        <v>426.34347009038083</v>
      </c>
      <c r="U40" s="50" t="str" cm="1">
        <f t="array" ref="U40">_xlfn.XLOOKUP(0,ABS($C$45:$C$57-T40),$B$45:$B$57,,1)</f>
        <v>G#</v>
      </c>
      <c r="V40" s="48">
        <f t="shared" si="19"/>
        <v>48.347665230859519</v>
      </c>
      <c r="X40" s="87" t="s">
        <v>78</v>
      </c>
      <c r="Y40" s="53">
        <f t="shared" si="20"/>
        <v>131.1826061816557</v>
      </c>
      <c r="Z40" s="48">
        <f t="shared" si="21"/>
        <v>2098.9216989064912</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262.36521236331129</v>
      </c>
    </row>
    <row r="46" spans="2:26" x14ac:dyDescent="0.2">
      <c r="B46" s="92" t="s">
        <v>74</v>
      </c>
      <c r="C46" s="93">
        <f t="shared" ref="C46:C57" si="24">VLOOKUP(B46,$B$10:$H$22,7,FALSE)</f>
        <v>276.40121137863258</v>
      </c>
    </row>
    <row r="47" spans="2:26" x14ac:dyDescent="0.2">
      <c r="B47" s="92" t="s">
        <v>3</v>
      </c>
      <c r="C47" s="93">
        <f t="shared" si="24"/>
        <v>295.16086390872522</v>
      </c>
    </row>
    <row r="48" spans="2:26" x14ac:dyDescent="0.2">
      <c r="B48" s="92" t="s">
        <v>76</v>
      </c>
      <c r="C48" s="93">
        <f t="shared" si="24"/>
        <v>310.95136280096165</v>
      </c>
    </row>
    <row r="49" spans="2:3" x14ac:dyDescent="0.2">
      <c r="B49" s="92" t="s">
        <v>4</v>
      </c>
      <c r="C49" s="93">
        <f t="shared" si="24"/>
        <v>327.95675794584417</v>
      </c>
    </row>
    <row r="50" spans="2:3" x14ac:dyDescent="0.2">
      <c r="B50" s="92" t="s">
        <v>5</v>
      </c>
      <c r="C50" s="93">
        <f t="shared" si="24"/>
        <v>349.82028315108187</v>
      </c>
    </row>
    <row r="51" spans="2:3" x14ac:dyDescent="0.2">
      <c r="B51" s="92" t="s">
        <v>70</v>
      </c>
      <c r="C51" s="93">
        <f t="shared" si="24"/>
        <v>368.95135268907472</v>
      </c>
    </row>
    <row r="52" spans="2:3" x14ac:dyDescent="0.2">
      <c r="B52" s="92" t="s">
        <v>6</v>
      </c>
      <c r="C52" s="93">
        <f t="shared" si="24"/>
        <v>393.54781854496696</v>
      </c>
    </row>
    <row r="53" spans="2:3" x14ac:dyDescent="0.2">
      <c r="B53" s="92" t="s">
        <v>72</v>
      </c>
      <c r="C53" s="93">
        <f t="shared" si="24"/>
        <v>414.6018170679489</v>
      </c>
    </row>
    <row r="54" spans="2:3" x14ac:dyDescent="0.2">
      <c r="B54" s="92" t="s">
        <v>7</v>
      </c>
      <c r="C54" s="93">
        <f t="shared" si="24"/>
        <v>440.00000000000011</v>
      </c>
    </row>
    <row r="55" spans="2:3" x14ac:dyDescent="0.2">
      <c r="B55" s="92" t="s">
        <v>73</v>
      </c>
      <c r="C55" s="93">
        <f t="shared" si="24"/>
        <v>466.42704420144247</v>
      </c>
    </row>
    <row r="56" spans="2:3" x14ac:dyDescent="0.2">
      <c r="B56" s="92" t="s">
        <v>8</v>
      </c>
      <c r="C56" s="93">
        <f t="shared" si="24"/>
        <v>491.93513691876626</v>
      </c>
    </row>
    <row r="57" spans="2:3" ht="16" thickBot="1" x14ac:dyDescent="0.25">
      <c r="B57" s="94" t="s">
        <v>78</v>
      </c>
      <c r="C57" s="95">
        <f t="shared" si="24"/>
        <v>524.7304247266228</v>
      </c>
    </row>
    <row r="58" spans="2:3" ht="16" thickTop="1" x14ac:dyDescent="0.2"/>
  </sheetData>
  <sheetProtection sheet="1" scenarios="1" formatCells="0"/>
  <mergeCells count="9">
    <mergeCell ref="X25:Z25"/>
    <mergeCell ref="B1:G1"/>
    <mergeCell ref="B43:C43"/>
    <mergeCell ref="B8:H8"/>
    <mergeCell ref="J8:N8"/>
    <mergeCell ref="P8:U8"/>
    <mergeCell ref="B26:D26"/>
    <mergeCell ref="I26:O26"/>
    <mergeCell ref="Q26:V26"/>
  </mergeCells>
  <conditionalFormatting sqref="A1:XFD1048576">
    <cfRule type="expression" dxfId="73" priority="1">
      <formula>CELL("protect",A1)=0</formula>
    </cfRule>
    <cfRule type="expression" dxfId="72" priority="2">
      <formula>_xlfn.ISFORMULA(A1)</formula>
    </cfRule>
  </conditionalFormatting>
  <hyperlinks>
    <hyperlink ref="B41" location="Overview!A1" display="Back to Overview" xr:uid="{122DEB38-D5ED-CB4C-A465-76620F743E67}"/>
    <hyperlink ref="B5" location="Overview!A1" display="Back to Overview" xr:uid="{DA8F8DCE-1F0C-4144-B627-9310537734E3}"/>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13CDF0C1-CC7D-6447-9961-C54B02DADC7A}">
          <x14:formula1>
            <xm:f>'Commas &amp; Cents'!$AD$1:$AD$3</xm:f>
          </x14:formula1>
          <xm:sqref>D2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6D54-7BF8-7B48-9776-B6FB83A4A2BA}">
  <sheetPr codeName="Sheet11">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106</v>
      </c>
      <c r="C1" s="289"/>
      <c r="D1" s="289"/>
      <c r="E1" s="289"/>
      <c r="F1" s="289"/>
      <c r="G1" s="289"/>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I2*2*8/27*POWER($F$3,$D$13-$D$10)</f>
        <v>263.10695049757783</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156">
        <v>0</v>
      </c>
      <c r="D10" s="4">
        <f>C10</f>
        <v>0</v>
      </c>
      <c r="E10" s="109">
        <f>K2</f>
        <v>263.10695049757783</v>
      </c>
      <c r="G10" s="97">
        <v>0</v>
      </c>
      <c r="H10" s="148">
        <f t="shared" ref="H10:H22" si="0">E10/POWER(2,G10)</f>
        <v>263.10695049757783</v>
      </c>
      <c r="J10" s="85" t="s">
        <v>2</v>
      </c>
      <c r="K10" s="4">
        <f t="shared" ref="K10:K22" si="1">VLOOKUP(J10,Master_Frequencies,2,FALSE)</f>
        <v>263.10695049757783</v>
      </c>
      <c r="L10" s="4">
        <f t="shared" ref="L10:L22" si="2">LOG(K10/K$10,2)*1200</f>
        <v>0</v>
      </c>
      <c r="N10" s="158">
        <v>3600</v>
      </c>
      <c r="P10" s="123" t="str">
        <f>J10</f>
        <v>C</v>
      </c>
      <c r="Q10" s="4">
        <f>E10</f>
        <v>263.10695049757783</v>
      </c>
      <c r="R10" s="4">
        <f>LOG(K10/Q10,2)*1200</f>
        <v>0</v>
      </c>
      <c r="S10" s="145" t="str">
        <f t="shared" ref="S10:S22" si="3">B10</f>
        <v>C</v>
      </c>
      <c r="T10" s="4">
        <f t="shared" ref="T10:T22" si="4">VLOOKUP(S10,Master_Frequencies,2,FALSE)</f>
        <v>263.10695049757783</v>
      </c>
      <c r="U10" s="47">
        <f t="shared" ref="U10:U22" si="5">VLOOKUP(S10,$P$10:$R$22,3,FALSE)</f>
        <v>0</v>
      </c>
    </row>
    <row r="11" spans="2:23" x14ac:dyDescent="0.2">
      <c r="B11" s="123" t="s">
        <v>6</v>
      </c>
      <c r="C11" s="156">
        <v>-2</v>
      </c>
      <c r="D11" s="4">
        <f>D10+C11</f>
        <v>-2</v>
      </c>
      <c r="E11" s="4">
        <f t="shared" ref="E11:E22" si="6">IF(C11&lt;0,(E10*3/2)*POWER($F$3,ABS(C11)),(E10*3/2)*POWER(1/$F$3,ABS(C11)))</f>
        <v>393.77008877325869</v>
      </c>
      <c r="F11" s="4">
        <f t="shared" ref="F11:F22" si="7">LOG(E11/E10,2)*1200</f>
        <v>698.04499913461268</v>
      </c>
      <c r="G11" s="97">
        <v>0</v>
      </c>
      <c r="H11" s="148">
        <f t="shared" si="0"/>
        <v>393.77008877325869</v>
      </c>
      <c r="J11" s="85" t="s">
        <v>74</v>
      </c>
      <c r="K11" s="4">
        <f t="shared" si="1"/>
        <v>277.18263097687213</v>
      </c>
      <c r="L11" s="4">
        <f t="shared" si="2"/>
        <v>90.224995673063063</v>
      </c>
      <c r="M11" s="4">
        <f t="shared" ref="M11:M22" si="8">LOG(K11/K10,2)*1200</f>
        <v>90.224995673063063</v>
      </c>
      <c r="N11" s="47">
        <f t="shared" ref="N11:N22" si="9">N$10*K$10/K11</f>
        <v>3417.1874999999995</v>
      </c>
      <c r="P11" s="123" t="str">
        <f t="shared" ref="P11:P22" si="10">J11</f>
        <v>C#</v>
      </c>
      <c r="Q11" s="4">
        <f t="shared" ref="Q11:Q22" si="11">Q10*POWER($Q$10*2/$Q$10,1/12)</f>
        <v>278.75210392160176</v>
      </c>
      <c r="R11" s="4">
        <f t="shared" ref="R11:R22" si="12">LOG(K11/Q11,2)*1200</f>
        <v>-9.7750043269371272</v>
      </c>
      <c r="S11" s="145" t="str">
        <f t="shared" si="3"/>
        <v>G</v>
      </c>
      <c r="T11" s="4">
        <f t="shared" si="4"/>
        <v>393.77008877325869</v>
      </c>
      <c r="U11" s="47">
        <f t="shared" si="5"/>
        <v>-1.9550008653879698</v>
      </c>
    </row>
    <row r="12" spans="2:23" x14ac:dyDescent="0.2">
      <c r="B12" s="123" t="s">
        <v>3</v>
      </c>
      <c r="C12" s="156">
        <v>-2.5</v>
      </c>
      <c r="D12" s="4">
        <f t="shared" ref="D12:D22" si="13">D11+C12</f>
        <v>-4.5</v>
      </c>
      <c r="E12" s="4">
        <f t="shared" si="6"/>
        <v>588.98998734889199</v>
      </c>
      <c r="F12" s="4">
        <f t="shared" si="7"/>
        <v>697.06749870191879</v>
      </c>
      <c r="G12" s="97">
        <v>1</v>
      </c>
      <c r="H12" s="148">
        <f t="shared" si="0"/>
        <v>294.49499367444599</v>
      </c>
      <c r="J12" s="85" t="s">
        <v>3</v>
      </c>
      <c r="K12" s="4">
        <f t="shared" si="1"/>
        <v>294.49499367444599</v>
      </c>
      <c r="L12" s="4">
        <f t="shared" si="2"/>
        <v>195.11249783653136</v>
      </c>
      <c r="M12" s="4">
        <f t="shared" si="8"/>
        <v>104.88750216346823</v>
      </c>
      <c r="N12" s="47">
        <f t="shared" si="9"/>
        <v>3216.3026269925672</v>
      </c>
      <c r="P12" s="123" t="str">
        <f t="shared" si="10"/>
        <v>D</v>
      </c>
      <c r="Q12" s="4">
        <f t="shared" si="11"/>
        <v>295.32756657994406</v>
      </c>
      <c r="R12" s="4">
        <f t="shared" si="12"/>
        <v>-4.8875021634689011</v>
      </c>
      <c r="S12" s="145" t="str">
        <f t="shared" si="3"/>
        <v>D</v>
      </c>
      <c r="T12" s="4">
        <f t="shared" si="4"/>
        <v>294.49499367444599</v>
      </c>
      <c r="U12" s="47">
        <f t="shared" si="5"/>
        <v>-4.8875021634689011</v>
      </c>
    </row>
    <row r="13" spans="2:23" x14ac:dyDescent="0.2">
      <c r="B13" s="123" t="s">
        <v>7</v>
      </c>
      <c r="C13" s="156">
        <v>-3.5</v>
      </c>
      <c r="D13" s="4">
        <f t="shared" si="13"/>
        <v>-8</v>
      </c>
      <c r="E13" s="4">
        <f t="shared" si="6"/>
        <v>880</v>
      </c>
      <c r="F13" s="4">
        <f t="shared" si="7"/>
        <v>695.11249783653147</v>
      </c>
      <c r="G13" s="97">
        <v>1</v>
      </c>
      <c r="H13" s="148">
        <f t="shared" si="0"/>
        <v>440</v>
      </c>
      <c r="J13" s="85" t="s">
        <v>76</v>
      </c>
      <c r="K13" s="4">
        <f t="shared" si="1"/>
        <v>311.83045984898115</v>
      </c>
      <c r="L13" s="4">
        <f t="shared" si="2"/>
        <v>294.13499740383799</v>
      </c>
      <c r="M13" s="4">
        <f t="shared" si="8"/>
        <v>99.022499567306625</v>
      </c>
      <c r="N13" s="47">
        <f t="shared" si="9"/>
        <v>3037.4999999999995</v>
      </c>
      <c r="P13" s="123" t="str">
        <f t="shared" si="10"/>
        <v>D#</v>
      </c>
      <c r="Q13" s="4">
        <f t="shared" si="11"/>
        <v>312.88865753838832</v>
      </c>
      <c r="R13" s="4">
        <f t="shared" si="12"/>
        <v>-5.8650025961622729</v>
      </c>
      <c r="S13" s="145" t="str">
        <f t="shared" si="3"/>
        <v>A</v>
      </c>
      <c r="T13" s="4">
        <f t="shared" si="4"/>
        <v>440</v>
      </c>
      <c r="U13" s="47">
        <f t="shared" si="5"/>
        <v>-9.7750043269380935</v>
      </c>
    </row>
    <row r="14" spans="2:23" x14ac:dyDescent="0.2">
      <c r="B14" s="123" t="s">
        <v>4</v>
      </c>
      <c r="C14" s="156">
        <v>-3</v>
      </c>
      <c r="D14" s="4">
        <f t="shared" si="13"/>
        <v>-11</v>
      </c>
      <c r="E14" s="4">
        <f t="shared" si="6"/>
        <v>1315.5357251969224</v>
      </c>
      <c r="F14" s="4">
        <f t="shared" si="7"/>
        <v>696.08999826922525</v>
      </c>
      <c r="G14" s="97">
        <v>2</v>
      </c>
      <c r="H14" s="148">
        <f t="shared" si="0"/>
        <v>328.8839312992306</v>
      </c>
      <c r="J14" s="85" t="s">
        <v>4</v>
      </c>
      <c r="K14" s="4">
        <f t="shared" si="1"/>
        <v>328.8839312992306</v>
      </c>
      <c r="L14" s="4">
        <f t="shared" si="2"/>
        <v>386.31499394228803</v>
      </c>
      <c r="M14" s="4">
        <f t="shared" si="8"/>
        <v>92.179996538450069</v>
      </c>
      <c r="N14" s="47">
        <f t="shared" si="9"/>
        <v>2879.9978705238009</v>
      </c>
      <c r="P14" s="123" t="str">
        <f t="shared" si="10"/>
        <v>E</v>
      </c>
      <c r="Q14" s="4">
        <f t="shared" si="11"/>
        <v>331.49398530554674</v>
      </c>
      <c r="R14" s="4">
        <f t="shared" si="12"/>
        <v>-13.68500605771219</v>
      </c>
      <c r="S14" s="145" t="str">
        <f t="shared" si="3"/>
        <v>E</v>
      </c>
      <c r="T14" s="4">
        <f t="shared" si="4"/>
        <v>328.8839312992306</v>
      </c>
      <c r="U14" s="47">
        <f t="shared" si="5"/>
        <v>-13.68500605771219</v>
      </c>
    </row>
    <row r="15" spans="2:23" x14ac:dyDescent="0.2">
      <c r="B15" s="123" t="s">
        <v>8</v>
      </c>
      <c r="C15" s="156">
        <v>0</v>
      </c>
      <c r="D15" s="4">
        <f t="shared" si="13"/>
        <v>-11</v>
      </c>
      <c r="E15" s="4">
        <f t="shared" si="6"/>
        <v>1973.3035877953835</v>
      </c>
      <c r="F15" s="4">
        <f t="shared" si="7"/>
        <v>701.95500086538743</v>
      </c>
      <c r="G15" s="97">
        <v>2</v>
      </c>
      <c r="H15" s="148">
        <f t="shared" si="0"/>
        <v>493.32589694884587</v>
      </c>
      <c r="J15" s="85" t="s">
        <v>5</v>
      </c>
      <c r="K15" s="4">
        <f t="shared" si="1"/>
        <v>350.80926733010381</v>
      </c>
      <c r="L15" s="4">
        <f t="shared" si="2"/>
        <v>498.04499913461279</v>
      </c>
      <c r="M15" s="4">
        <f t="shared" si="8"/>
        <v>111.73000519232487</v>
      </c>
      <c r="N15" s="47">
        <f t="shared" si="9"/>
        <v>2699.9999999999995</v>
      </c>
      <c r="P15" s="123" t="str">
        <f t="shared" si="10"/>
        <v>F</v>
      </c>
      <c r="Q15" s="4">
        <f t="shared" si="11"/>
        <v>351.20564343330932</v>
      </c>
      <c r="R15" s="4">
        <f t="shared" si="12"/>
        <v>-1.955000865387585</v>
      </c>
      <c r="S15" s="145" t="str">
        <f t="shared" si="3"/>
        <v>B</v>
      </c>
      <c r="T15" s="4">
        <f t="shared" si="4"/>
        <v>493.32589694884587</v>
      </c>
      <c r="U15" s="47">
        <f t="shared" si="5"/>
        <v>-11.730005192325596</v>
      </c>
    </row>
    <row r="16" spans="2:23" x14ac:dyDescent="0.2">
      <c r="B16" s="123" t="s">
        <v>70</v>
      </c>
      <c r="C16" s="156">
        <v>0</v>
      </c>
      <c r="D16" s="4">
        <f t="shared" si="13"/>
        <v>-11</v>
      </c>
      <c r="E16" s="4">
        <f t="shared" si="6"/>
        <v>2959.9553816930752</v>
      </c>
      <c r="F16" s="4">
        <f t="shared" si="7"/>
        <v>701.95500086538743</v>
      </c>
      <c r="G16" s="97">
        <v>3</v>
      </c>
      <c r="H16" s="148">
        <f t="shared" si="0"/>
        <v>369.9944227116344</v>
      </c>
      <c r="J16" s="85" t="s">
        <v>70</v>
      </c>
      <c r="K16" s="4">
        <f t="shared" si="1"/>
        <v>369.9944227116344</v>
      </c>
      <c r="L16" s="4">
        <f t="shared" si="2"/>
        <v>590.22499567306295</v>
      </c>
      <c r="M16" s="4">
        <f t="shared" si="8"/>
        <v>92.179996538450069</v>
      </c>
      <c r="N16" s="47">
        <f t="shared" si="9"/>
        <v>2559.9981071322677</v>
      </c>
      <c r="P16" s="123" t="str">
        <f t="shared" si="10"/>
        <v>F#</v>
      </c>
      <c r="Q16" s="4">
        <f t="shared" si="11"/>
        <v>372.08941774830123</v>
      </c>
      <c r="R16" s="4">
        <f t="shared" si="12"/>
        <v>-9.7750043269377063</v>
      </c>
      <c r="S16" s="145" t="str">
        <f t="shared" si="3"/>
        <v>F#</v>
      </c>
      <c r="T16" s="4">
        <f t="shared" si="4"/>
        <v>369.9944227116344</v>
      </c>
      <c r="U16" s="47">
        <f t="shared" si="5"/>
        <v>-9.7750043269377063</v>
      </c>
    </row>
    <row r="17" spans="2:26" x14ac:dyDescent="0.2">
      <c r="B17" s="123" t="s">
        <v>74</v>
      </c>
      <c r="C17" s="156">
        <v>-1</v>
      </c>
      <c r="D17" s="4">
        <f t="shared" si="13"/>
        <v>-12</v>
      </c>
      <c r="E17" s="4">
        <f t="shared" si="6"/>
        <v>4434.9220956299541</v>
      </c>
      <c r="F17" s="4">
        <f t="shared" si="7"/>
        <v>700.00000000000034</v>
      </c>
      <c r="G17" s="97">
        <v>4</v>
      </c>
      <c r="H17" s="148">
        <f t="shared" si="0"/>
        <v>277.18263097687213</v>
      </c>
      <c r="J17" s="85" t="s">
        <v>6</v>
      </c>
      <c r="K17" s="4">
        <f t="shared" si="1"/>
        <v>393.77008877325869</v>
      </c>
      <c r="L17" s="4">
        <f t="shared" si="2"/>
        <v>698.04499913461268</v>
      </c>
      <c r="M17" s="4">
        <f t="shared" si="8"/>
        <v>107.82000346154977</v>
      </c>
      <c r="N17" s="47">
        <f t="shared" si="9"/>
        <v>2405.4265389789161</v>
      </c>
      <c r="P17" s="123" t="str">
        <f t="shared" si="10"/>
        <v>G</v>
      </c>
      <c r="Q17" s="4">
        <f t="shared" si="11"/>
        <v>394.21500590596372</v>
      </c>
      <c r="R17" s="4">
        <f t="shared" si="12"/>
        <v>-1.9550008653879698</v>
      </c>
      <c r="S17" s="145" t="str">
        <f t="shared" si="3"/>
        <v>C#</v>
      </c>
      <c r="T17" s="4">
        <f t="shared" si="4"/>
        <v>277.18263097687213</v>
      </c>
      <c r="U17" s="47">
        <f t="shared" si="5"/>
        <v>-9.7750043269371272</v>
      </c>
    </row>
    <row r="18" spans="2:26" x14ac:dyDescent="0.2">
      <c r="B18" s="123" t="s">
        <v>72</v>
      </c>
      <c r="C18" s="156">
        <v>0</v>
      </c>
      <c r="D18" s="4">
        <f t="shared" si="13"/>
        <v>-12</v>
      </c>
      <c r="E18" s="4">
        <f t="shared" si="6"/>
        <v>6652.3831434449312</v>
      </c>
      <c r="F18" s="4">
        <f t="shared" si="7"/>
        <v>701.95500086538743</v>
      </c>
      <c r="G18" s="97">
        <v>4</v>
      </c>
      <c r="H18" s="148">
        <f t="shared" si="0"/>
        <v>415.7739464653082</v>
      </c>
      <c r="J18" s="85" t="s">
        <v>72</v>
      </c>
      <c r="K18" s="4">
        <f t="shared" si="1"/>
        <v>415.7739464653082</v>
      </c>
      <c r="L18" s="4">
        <f t="shared" si="2"/>
        <v>792.17999653845038</v>
      </c>
      <c r="M18" s="4">
        <f t="shared" si="8"/>
        <v>94.134997403837943</v>
      </c>
      <c r="N18" s="47">
        <f t="shared" si="9"/>
        <v>2278.1249999999995</v>
      </c>
      <c r="P18" s="123" t="str">
        <f t="shared" si="10"/>
        <v>G#</v>
      </c>
      <c r="Q18" s="4">
        <f t="shared" si="11"/>
        <v>417.65625000000023</v>
      </c>
      <c r="R18" s="4">
        <f t="shared" si="12"/>
        <v>-7.8200034615504634</v>
      </c>
      <c r="S18" s="145" t="str">
        <f t="shared" si="3"/>
        <v>G#</v>
      </c>
      <c r="T18" s="4">
        <f t="shared" si="4"/>
        <v>415.7739464653082</v>
      </c>
      <c r="U18" s="47">
        <f t="shared" si="5"/>
        <v>-7.8200034615504634</v>
      </c>
    </row>
    <row r="19" spans="2:26" x14ac:dyDescent="0.2">
      <c r="B19" s="123" t="s">
        <v>76</v>
      </c>
      <c r="C19" s="156">
        <v>0</v>
      </c>
      <c r="D19" s="4">
        <f t="shared" si="13"/>
        <v>-12</v>
      </c>
      <c r="E19" s="4">
        <f t="shared" si="6"/>
        <v>9978.5747151673968</v>
      </c>
      <c r="F19" s="4">
        <f t="shared" si="7"/>
        <v>701.95500086538743</v>
      </c>
      <c r="G19" s="97">
        <v>5</v>
      </c>
      <c r="H19" s="148">
        <f t="shared" si="0"/>
        <v>311.83045984898115</v>
      </c>
      <c r="J19" s="85" t="s">
        <v>7</v>
      </c>
      <c r="K19" s="4">
        <f t="shared" si="1"/>
        <v>440</v>
      </c>
      <c r="L19" s="4">
        <f t="shared" si="2"/>
        <v>890.22499567306284</v>
      </c>
      <c r="M19" s="4">
        <f t="shared" si="8"/>
        <v>98.044999134612354</v>
      </c>
      <c r="N19" s="47">
        <f t="shared" si="9"/>
        <v>2152.6932313438183</v>
      </c>
      <c r="P19" s="123" t="str">
        <f t="shared" si="10"/>
        <v>A</v>
      </c>
      <c r="Q19" s="4">
        <f t="shared" si="11"/>
        <v>442.49138300349966</v>
      </c>
      <c r="R19" s="4">
        <f t="shared" si="12"/>
        <v>-9.7750043269380935</v>
      </c>
      <c r="S19" s="145" t="str">
        <f t="shared" si="3"/>
        <v>D#</v>
      </c>
      <c r="T19" s="4">
        <f t="shared" si="4"/>
        <v>311.83045984898115</v>
      </c>
      <c r="U19" s="47">
        <f t="shared" si="5"/>
        <v>-5.8650025961622729</v>
      </c>
    </row>
    <row r="20" spans="2:26" x14ac:dyDescent="0.2">
      <c r="B20" s="123" t="s">
        <v>73</v>
      </c>
      <c r="C20" s="156">
        <v>0</v>
      </c>
      <c r="D20" s="4">
        <f t="shared" si="13"/>
        <v>-12</v>
      </c>
      <c r="E20" s="4">
        <f t="shared" si="6"/>
        <v>14967.862072751095</v>
      </c>
      <c r="F20" s="4">
        <f t="shared" si="7"/>
        <v>701.95500086538743</v>
      </c>
      <c r="G20" s="97">
        <v>5</v>
      </c>
      <c r="H20" s="148">
        <f t="shared" si="0"/>
        <v>467.74568977347172</v>
      </c>
      <c r="J20" s="85" t="s">
        <v>73</v>
      </c>
      <c r="K20" s="4">
        <f t="shared" si="1"/>
        <v>467.74568977347172</v>
      </c>
      <c r="L20" s="4">
        <f t="shared" si="2"/>
        <v>996.08999826922525</v>
      </c>
      <c r="M20" s="4">
        <f t="shared" si="8"/>
        <v>105.86500259616255</v>
      </c>
      <c r="N20" s="47">
        <f t="shared" si="9"/>
        <v>2024.9999999999998</v>
      </c>
      <c r="P20" s="123" t="str">
        <f t="shared" si="10"/>
        <v>A#</v>
      </c>
      <c r="Q20" s="4">
        <f t="shared" si="11"/>
        <v>468.80328986421182</v>
      </c>
      <c r="R20" s="4">
        <f t="shared" si="12"/>
        <v>-3.9100017307756363</v>
      </c>
      <c r="S20" s="145" t="str">
        <f t="shared" si="3"/>
        <v>A#</v>
      </c>
      <c r="T20" s="4">
        <f t="shared" si="4"/>
        <v>467.74568977347172</v>
      </c>
      <c r="U20" s="47">
        <f t="shared" si="5"/>
        <v>-3.9100017307756363</v>
      </c>
    </row>
    <row r="21" spans="2:26" x14ac:dyDescent="0.2">
      <c r="B21" s="123" t="s">
        <v>5</v>
      </c>
      <c r="C21" s="156">
        <v>0</v>
      </c>
      <c r="D21" s="4">
        <f t="shared" si="13"/>
        <v>-12</v>
      </c>
      <c r="E21" s="4">
        <f t="shared" si="6"/>
        <v>22451.793109126644</v>
      </c>
      <c r="F21" s="4">
        <f t="shared" si="7"/>
        <v>701.95500086538743</v>
      </c>
      <c r="G21" s="97">
        <v>6</v>
      </c>
      <c r="H21" s="148">
        <f t="shared" si="0"/>
        <v>350.80926733010381</v>
      </c>
      <c r="J21" s="85" t="s">
        <v>8</v>
      </c>
      <c r="K21" s="4">
        <f t="shared" si="1"/>
        <v>493.32589694884587</v>
      </c>
      <c r="L21" s="4">
        <f t="shared" si="2"/>
        <v>1088.2699948076752</v>
      </c>
      <c r="M21" s="4">
        <f t="shared" si="8"/>
        <v>92.179996538450069</v>
      </c>
      <c r="N21" s="47">
        <f t="shared" si="9"/>
        <v>1919.9985803492007</v>
      </c>
      <c r="P21" s="123" t="str">
        <f t="shared" si="10"/>
        <v>B</v>
      </c>
      <c r="Q21" s="4">
        <f t="shared" si="11"/>
        <v>496.67978412535552</v>
      </c>
      <c r="R21" s="4">
        <f t="shared" si="12"/>
        <v>-11.730005192325596</v>
      </c>
      <c r="S21" s="145" t="str">
        <f t="shared" si="3"/>
        <v>F</v>
      </c>
      <c r="T21" s="4">
        <f t="shared" si="4"/>
        <v>350.80926733010381</v>
      </c>
      <c r="U21" s="47">
        <f t="shared" si="5"/>
        <v>-1.955000865387585</v>
      </c>
    </row>
    <row r="22" spans="2:26" x14ac:dyDescent="0.2">
      <c r="B22" s="124" t="s">
        <v>78</v>
      </c>
      <c r="C22" s="157">
        <v>0</v>
      </c>
      <c r="D22" s="53">
        <f t="shared" si="13"/>
        <v>-12</v>
      </c>
      <c r="E22" s="53">
        <f t="shared" si="6"/>
        <v>33677.689663689962</v>
      </c>
      <c r="F22" s="53">
        <f t="shared" si="7"/>
        <v>701.95500086538721</v>
      </c>
      <c r="G22" s="98">
        <v>6</v>
      </c>
      <c r="H22" s="48">
        <f t="shared" si="0"/>
        <v>526.21390099515565</v>
      </c>
      <c r="J22" s="87" t="s">
        <v>78</v>
      </c>
      <c r="K22" s="53">
        <f t="shared" si="1"/>
        <v>526.21390099515565</v>
      </c>
      <c r="L22" s="53">
        <f t="shared" si="2"/>
        <v>1200</v>
      </c>
      <c r="M22" s="53">
        <f t="shared" si="8"/>
        <v>111.73000519232453</v>
      </c>
      <c r="N22" s="48">
        <f t="shared" si="9"/>
        <v>1800</v>
      </c>
      <c r="P22" s="49" t="str">
        <f t="shared" si="10"/>
        <v>c oct.</v>
      </c>
      <c r="Q22" s="53">
        <f t="shared" si="11"/>
        <v>526.213900995156</v>
      </c>
      <c r="R22" s="53">
        <f t="shared" si="12"/>
        <v>-1.1532335413733707E-12</v>
      </c>
      <c r="S22" s="50" t="str">
        <f t="shared" si="3"/>
        <v>c oct.</v>
      </c>
      <c r="T22" s="53">
        <f t="shared" si="4"/>
        <v>526.21390099515565</v>
      </c>
      <c r="U22" s="48">
        <f t="shared" si="5"/>
        <v>-1.1532335413733707E-12</v>
      </c>
    </row>
    <row r="23" spans="2:26" x14ac:dyDescent="0.2">
      <c r="B23" s="18"/>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48" x14ac:dyDescent="0.2">
      <c r="B27" s="83" t="s">
        <v>130</v>
      </c>
      <c r="C27" s="84" t="s">
        <v>131</v>
      </c>
      <c r="D27" s="84" t="s">
        <v>132</v>
      </c>
      <c r="E27" s="84" t="str" cm="1">
        <f t="array" aca="1" ref="E27" ca="1">_xlfn.CONCAT(_xlfn.TEXTAFTER(CELL("filename",A2),"]")," Interval in cents")</f>
        <v>Kirnberger col. 3 Interval in cents</v>
      </c>
      <c r="F27" s="84" t="s">
        <v>18</v>
      </c>
      <c r="G27" s="52" t="str">
        <f>_xlfn.CONCAT("diff ",$F$2)</f>
        <v>diff 1/12 Pythagorean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4">LOG(D28*VLOOKUP(C28,Master_Frequencies,2,FALSE)/VLOOKUP(B28,Master_Frequencies,2,FALSE),2)*1200</f>
        <v>386.31499394228803</v>
      </c>
      <c r="F28" s="4">
        <f t="shared" ref="F28:F39" si="15">VLOOKUP(B28,Master_Frequencies,2,FALSE)*5/4</f>
        <v>328.88368812197228</v>
      </c>
      <c r="G28" s="47">
        <f t="shared" ref="G28:G39" si="16">IF($D$2="Cents",LOG(D28*VLOOKUP(C28,Master_Frequencies,2,FALSE)/F28,2)*1200*$F$3,LOG(D28*VLOOKUP(C28,Master_Frequencies,2,FALSE)/F28,$F$3))</f>
        <v>-6.5477078601975183E-4</v>
      </c>
      <c r="I28" s="123" t="s">
        <v>2</v>
      </c>
      <c r="J28" s="145" t="s">
        <v>6</v>
      </c>
      <c r="K28" s="97">
        <v>1</v>
      </c>
      <c r="L28" s="191">
        <f t="shared" ref="L28:L39" si="17">K28*VLOOKUP(J28,Master_Frequencies,2,FALSE)/VLOOKUP(I28,Master_Frequencies,2,FALSE)</f>
        <v>1.4966160644124973</v>
      </c>
      <c r="M28" s="145" t="s">
        <v>2</v>
      </c>
      <c r="N28" s="145" t="s">
        <v>4</v>
      </c>
      <c r="O28" s="191">
        <f t="shared" ref="O28:O39" si="18">D28*VLOOKUP(N28,Master_Frequencies,2,FALSE)/VLOOKUP(M28,Master_Frequencies,2,FALSE)</f>
        <v>1.2500009242525059</v>
      </c>
      <c r="Q28" s="99">
        <v>1</v>
      </c>
      <c r="R28" s="18">
        <f>$E$10*Q28</f>
        <v>263.10695049757783</v>
      </c>
      <c r="S28" s="97">
        <v>0</v>
      </c>
      <c r="T28" s="4">
        <f>R28/POWER(2,S28)</f>
        <v>263.10695049757783</v>
      </c>
      <c r="U28" s="18" t="str" cm="1">
        <f t="array" ref="U28">_xlfn.XLOOKUP(0,ABS($C$45:$C$57-T28),$B$45:$B$57,,1)</f>
        <v>C</v>
      </c>
      <c r="V28" s="47">
        <f t="shared" ref="V28:V40" si="19">LOG(T28/VLOOKUP(U28,Master_Frequencies,2,FALSE),2)*1200</f>
        <v>0</v>
      </c>
      <c r="X28" s="85" t="s">
        <v>2</v>
      </c>
      <c r="Y28" s="4">
        <f t="shared" ref="Y28:Y40" si="20">VLOOKUP(X28,Master_Frequencies,2,FALSE)/POWER(2,$Z$26)</f>
        <v>65.776737624394457</v>
      </c>
      <c r="Z28" s="47">
        <f t="shared" ref="Z28:Z40" si="21">VLOOKUP(X28,Master_Frequencies,2,FALSE)*POWER(2,$Z$26)</f>
        <v>1052.4278019903113</v>
      </c>
    </row>
    <row r="29" spans="2:26" x14ac:dyDescent="0.2">
      <c r="B29" s="123" t="s">
        <v>74</v>
      </c>
      <c r="C29" s="145" t="s">
        <v>5</v>
      </c>
      <c r="D29" s="97">
        <v>1</v>
      </c>
      <c r="E29" s="4">
        <f t="shared" si="14"/>
        <v>407.82000346154967</v>
      </c>
      <c r="F29" s="4">
        <f t="shared" si="15"/>
        <v>346.47828872109017</v>
      </c>
      <c r="G29" s="47">
        <f t="shared" si="16"/>
        <v>-11.000654770786102</v>
      </c>
      <c r="I29" s="123" t="s">
        <v>74</v>
      </c>
      <c r="J29" s="145" t="s">
        <v>72</v>
      </c>
      <c r="K29" s="97">
        <v>1</v>
      </c>
      <c r="L29" s="191">
        <f t="shared" si="17"/>
        <v>1.5</v>
      </c>
      <c r="M29" s="145" t="s">
        <v>74</v>
      </c>
      <c r="N29" s="145" t="s">
        <v>5</v>
      </c>
      <c r="O29" s="191">
        <f t="shared" si="18"/>
        <v>1.265625</v>
      </c>
      <c r="Q29" s="99">
        <v>2</v>
      </c>
      <c r="R29" s="18">
        <f t="shared" ref="R29:R40" si="22">$E$10*Q29</f>
        <v>526.21390099515565</v>
      </c>
      <c r="S29" s="97">
        <v>0</v>
      </c>
      <c r="T29" s="4">
        <f t="shared" ref="T29:T40" si="23">R29/POWER(2,S29)</f>
        <v>526.21390099515565</v>
      </c>
      <c r="U29" s="18" t="str" cm="1">
        <f t="array" ref="U29">_xlfn.XLOOKUP(0,ABS($C$45:$C$57-T29),$B$45:$B$57,,1)</f>
        <v>c oct.</v>
      </c>
      <c r="V29" s="47">
        <f t="shared" si="19"/>
        <v>0</v>
      </c>
      <c r="X29" s="85" t="s">
        <v>74</v>
      </c>
      <c r="Y29" s="4">
        <f t="shared" si="20"/>
        <v>69.295657744218033</v>
      </c>
      <c r="Z29" s="47">
        <f t="shared" si="21"/>
        <v>1108.7305239074885</v>
      </c>
    </row>
    <row r="30" spans="2:26" x14ac:dyDescent="0.2">
      <c r="B30" s="123" t="s">
        <v>3</v>
      </c>
      <c r="C30" s="145" t="s">
        <v>70</v>
      </c>
      <c r="D30" s="97">
        <v>1</v>
      </c>
      <c r="E30" s="4">
        <f t="shared" si="14"/>
        <v>395.11249783653125</v>
      </c>
      <c r="F30" s="4">
        <f t="shared" si="15"/>
        <v>368.11874209305751</v>
      </c>
      <c r="G30" s="47">
        <f t="shared" si="16"/>
        <v>-4.500654770786003</v>
      </c>
      <c r="I30" s="123" t="s">
        <v>3</v>
      </c>
      <c r="J30" s="145" t="s">
        <v>7</v>
      </c>
      <c r="K30" s="97">
        <v>1</v>
      </c>
      <c r="L30" s="191">
        <f t="shared" si="17"/>
        <v>1.4940831234856398</v>
      </c>
      <c r="M30" s="145" t="s">
        <v>3</v>
      </c>
      <c r="N30" s="145" t="s">
        <v>70</v>
      </c>
      <c r="O30" s="191">
        <f t="shared" si="18"/>
        <v>1.2563691426301473</v>
      </c>
      <c r="Q30" s="99">
        <v>3</v>
      </c>
      <c r="R30" s="18">
        <f t="shared" si="22"/>
        <v>789.32085149273348</v>
      </c>
      <c r="S30" s="97">
        <v>1</v>
      </c>
      <c r="T30" s="4">
        <f t="shared" si="23"/>
        <v>394.66042574636674</v>
      </c>
      <c r="U30" s="18" t="str" cm="1">
        <f t="array" ref="U30">_xlfn.XLOOKUP(0,ABS($C$45:$C$57-T30),$B$45:$B$57,,1)</f>
        <v>G</v>
      </c>
      <c r="V30" s="47">
        <f t="shared" si="19"/>
        <v>3.9100017307747521</v>
      </c>
      <c r="X30" s="85" t="s">
        <v>3</v>
      </c>
      <c r="Y30" s="4">
        <f t="shared" si="20"/>
        <v>73.623748418611498</v>
      </c>
      <c r="Z30" s="47">
        <f t="shared" si="21"/>
        <v>1177.979974697784</v>
      </c>
    </row>
    <row r="31" spans="2:26" x14ac:dyDescent="0.2">
      <c r="B31" s="123" t="s">
        <v>76</v>
      </c>
      <c r="C31" s="145" t="s">
        <v>6</v>
      </c>
      <c r="D31" s="97">
        <v>1</v>
      </c>
      <c r="E31" s="4">
        <f t="shared" si="14"/>
        <v>403.91000173077492</v>
      </c>
      <c r="F31" s="4">
        <f t="shared" si="15"/>
        <v>389.78807481122647</v>
      </c>
      <c r="G31" s="47">
        <f t="shared" si="16"/>
        <v>-9.0006547707860651</v>
      </c>
      <c r="I31" s="123" t="s">
        <v>76</v>
      </c>
      <c r="J31" s="145" t="s">
        <v>73</v>
      </c>
      <c r="K31" s="97">
        <v>1</v>
      </c>
      <c r="L31" s="191">
        <f t="shared" si="17"/>
        <v>1.5</v>
      </c>
      <c r="M31" s="145" t="s">
        <v>76</v>
      </c>
      <c r="N31" s="145" t="s">
        <v>6</v>
      </c>
      <c r="O31" s="191">
        <f t="shared" si="18"/>
        <v>1.2627698043480446</v>
      </c>
      <c r="Q31" s="99">
        <v>4</v>
      </c>
      <c r="R31" s="18">
        <f t="shared" si="22"/>
        <v>1052.4278019903113</v>
      </c>
      <c r="S31" s="97">
        <v>1</v>
      </c>
      <c r="T31" s="4">
        <f t="shared" si="23"/>
        <v>526.21390099515565</v>
      </c>
      <c r="U31" s="18" t="str" cm="1">
        <f t="array" ref="U31">_xlfn.XLOOKUP(0,ABS($C$45:$C$57-T31),$B$45:$B$57,,1)</f>
        <v>c oct.</v>
      </c>
      <c r="V31" s="47">
        <f t="shared" si="19"/>
        <v>0</v>
      </c>
      <c r="X31" s="85" t="s">
        <v>76</v>
      </c>
      <c r="Y31" s="4">
        <f t="shared" si="20"/>
        <v>77.957614962245287</v>
      </c>
      <c r="Z31" s="47">
        <f t="shared" si="21"/>
        <v>1247.3218393959246</v>
      </c>
    </row>
    <row r="32" spans="2:26" x14ac:dyDescent="0.2">
      <c r="B32" s="123" t="s">
        <v>4</v>
      </c>
      <c r="C32" s="145" t="s">
        <v>72</v>
      </c>
      <c r="D32" s="97">
        <v>1</v>
      </c>
      <c r="E32" s="4">
        <f t="shared" si="14"/>
        <v>405.86500259616247</v>
      </c>
      <c r="F32" s="4">
        <f t="shared" si="15"/>
        <v>411.10491412403826</v>
      </c>
      <c r="G32" s="47">
        <f t="shared" si="16"/>
        <v>-10.00065477078614</v>
      </c>
      <c r="I32" s="123" t="s">
        <v>4</v>
      </c>
      <c r="J32" s="145" t="s">
        <v>8</v>
      </c>
      <c r="K32" s="97">
        <v>1</v>
      </c>
      <c r="L32" s="191">
        <f t="shared" si="17"/>
        <v>1.5</v>
      </c>
      <c r="M32" s="145" t="s">
        <v>4</v>
      </c>
      <c r="N32" s="145" t="s">
        <v>72</v>
      </c>
      <c r="O32" s="191">
        <f t="shared" si="18"/>
        <v>1.2641965961147001</v>
      </c>
      <c r="Q32" s="99">
        <v>5</v>
      </c>
      <c r="R32" s="18">
        <f t="shared" si="22"/>
        <v>1315.5347524878891</v>
      </c>
      <c r="S32" s="97">
        <v>2</v>
      </c>
      <c r="T32" s="4">
        <f t="shared" si="23"/>
        <v>328.88368812197228</v>
      </c>
      <c r="U32" s="18" t="str" cm="1">
        <f t="array" ref="U32">_xlfn.XLOOKUP(0,ABS($C$45:$C$57-T32),$B$45:$B$57,,1)</f>
        <v>E</v>
      </c>
      <c r="V32" s="47">
        <f t="shared" si="19"/>
        <v>-1.2800774531779515E-3</v>
      </c>
      <c r="X32" s="85" t="s">
        <v>4</v>
      </c>
      <c r="Y32" s="4">
        <f t="shared" si="20"/>
        <v>82.220982824807649</v>
      </c>
      <c r="Z32" s="47">
        <f t="shared" si="21"/>
        <v>1315.5357251969224</v>
      </c>
    </row>
    <row r="33" spans="2:26" x14ac:dyDescent="0.2">
      <c r="B33" s="123" t="s">
        <v>5</v>
      </c>
      <c r="C33" s="145" t="s">
        <v>7</v>
      </c>
      <c r="D33" s="97">
        <v>1</v>
      </c>
      <c r="E33" s="4">
        <f t="shared" si="14"/>
        <v>392.17999653844998</v>
      </c>
      <c r="F33" s="4">
        <f t="shared" si="15"/>
        <v>438.51158416262979</v>
      </c>
      <c r="G33" s="47">
        <f t="shared" si="16"/>
        <v>-3.00065477078586</v>
      </c>
      <c r="I33" s="123" t="s">
        <v>5</v>
      </c>
      <c r="J33" s="145" t="s">
        <v>78</v>
      </c>
      <c r="K33" s="97">
        <v>1</v>
      </c>
      <c r="L33" s="191">
        <f t="shared" si="17"/>
        <v>1.4999999999999998</v>
      </c>
      <c r="M33" s="145" t="s">
        <v>5</v>
      </c>
      <c r="N33" s="145" t="s">
        <v>7</v>
      </c>
      <c r="O33" s="191">
        <f t="shared" si="18"/>
        <v>1.2542428064933919</v>
      </c>
      <c r="Q33" s="99">
        <v>6</v>
      </c>
      <c r="R33" s="18">
        <f t="shared" si="22"/>
        <v>1578.641702985467</v>
      </c>
      <c r="S33" s="97">
        <v>2</v>
      </c>
      <c r="T33" s="4">
        <f t="shared" si="23"/>
        <v>394.66042574636674</v>
      </c>
      <c r="U33" s="18" t="str" cm="1">
        <f t="array" ref="U33">_xlfn.XLOOKUP(0,ABS($C$45:$C$57-T33),$B$45:$B$57,,1)</f>
        <v>G</v>
      </c>
      <c r="V33" s="47">
        <f t="shared" si="19"/>
        <v>3.9100017307747521</v>
      </c>
      <c r="X33" s="85" t="s">
        <v>5</v>
      </c>
      <c r="Y33" s="4">
        <f t="shared" si="20"/>
        <v>87.702316832525952</v>
      </c>
      <c r="Z33" s="47">
        <f t="shared" si="21"/>
        <v>1403.2370693204152</v>
      </c>
    </row>
    <row r="34" spans="2:26" x14ac:dyDescent="0.2">
      <c r="B34" s="123" t="s">
        <v>70</v>
      </c>
      <c r="C34" s="145" t="s">
        <v>73</v>
      </c>
      <c r="D34" s="97">
        <v>1</v>
      </c>
      <c r="E34" s="4">
        <f t="shared" si="14"/>
        <v>405.86500259616247</v>
      </c>
      <c r="F34" s="4">
        <f t="shared" si="15"/>
        <v>462.49302838954299</v>
      </c>
      <c r="G34" s="47">
        <f t="shared" si="16"/>
        <v>-10.000654770786335</v>
      </c>
      <c r="I34" s="123" t="s">
        <v>70</v>
      </c>
      <c r="J34" s="145" t="s">
        <v>74</v>
      </c>
      <c r="K34" s="97">
        <v>2</v>
      </c>
      <c r="L34" s="191">
        <f t="shared" si="17"/>
        <v>1.4983070768766817</v>
      </c>
      <c r="M34" s="145" t="s">
        <v>70</v>
      </c>
      <c r="N34" s="145" t="s">
        <v>73</v>
      </c>
      <c r="O34" s="191">
        <f t="shared" si="18"/>
        <v>1.2641965961147001</v>
      </c>
      <c r="Q34" s="99">
        <v>7</v>
      </c>
      <c r="R34" s="18">
        <f t="shared" si="22"/>
        <v>1841.7486534830448</v>
      </c>
      <c r="S34" s="97">
        <v>2</v>
      </c>
      <c r="T34" s="4">
        <f t="shared" si="23"/>
        <v>460.4371633707612</v>
      </c>
      <c r="U34" s="18" t="str" cm="1">
        <f t="array" ref="U34">_xlfn.XLOOKUP(0,ABS($C$45:$C$57-T34),$B$45:$B$57,,1)</f>
        <v>A#</v>
      </c>
      <c r="V34" s="47">
        <f t="shared" si="19"/>
        <v>-27.264091800100434</v>
      </c>
      <c r="X34" s="85" t="s">
        <v>70</v>
      </c>
      <c r="Y34" s="4">
        <f t="shared" si="20"/>
        <v>92.4986056779086</v>
      </c>
      <c r="Z34" s="47">
        <f t="shared" si="21"/>
        <v>1479.9776908465376</v>
      </c>
    </row>
    <row r="35" spans="2:26" x14ac:dyDescent="0.2">
      <c r="B35" s="123" t="s">
        <v>6</v>
      </c>
      <c r="C35" s="145" t="s">
        <v>8</v>
      </c>
      <c r="D35" s="97">
        <v>1</v>
      </c>
      <c r="E35" s="4">
        <f t="shared" si="14"/>
        <v>390.22499567306272</v>
      </c>
      <c r="F35" s="4">
        <f t="shared" si="15"/>
        <v>492.21261096657338</v>
      </c>
      <c r="G35" s="47">
        <f t="shared" si="16"/>
        <v>-2.0006547707859355</v>
      </c>
      <c r="I35" s="123" t="s">
        <v>6</v>
      </c>
      <c r="J35" s="145" t="s">
        <v>3</v>
      </c>
      <c r="K35" s="97">
        <v>2</v>
      </c>
      <c r="L35" s="191">
        <f t="shared" si="17"/>
        <v>1.4957712740036107</v>
      </c>
      <c r="M35" s="145" t="s">
        <v>6</v>
      </c>
      <c r="N35" s="145" t="s">
        <v>8</v>
      </c>
      <c r="O35" s="191">
        <f t="shared" si="18"/>
        <v>1.2528272487271463</v>
      </c>
      <c r="Q35" s="99">
        <v>8</v>
      </c>
      <c r="R35" s="18">
        <f t="shared" si="22"/>
        <v>2104.8556039806226</v>
      </c>
      <c r="S35" s="97">
        <v>3</v>
      </c>
      <c r="T35" s="4">
        <f t="shared" si="23"/>
        <v>263.10695049757783</v>
      </c>
      <c r="U35" s="18" t="str" cm="1">
        <f t="array" ref="U35">_xlfn.XLOOKUP(0,ABS($C$45:$C$57-T35),$B$45:$B$57,,1)</f>
        <v>C</v>
      </c>
      <c r="V35" s="47">
        <f t="shared" si="19"/>
        <v>0</v>
      </c>
      <c r="X35" s="85" t="s">
        <v>6</v>
      </c>
      <c r="Y35" s="4">
        <f t="shared" si="20"/>
        <v>98.442522193314673</v>
      </c>
      <c r="Z35" s="47">
        <f t="shared" si="21"/>
        <v>1575.0803550930348</v>
      </c>
    </row>
    <row r="36" spans="2:26" x14ac:dyDescent="0.2">
      <c r="B36" s="123" t="s">
        <v>72</v>
      </c>
      <c r="C36" s="145" t="s">
        <v>78</v>
      </c>
      <c r="D36" s="97">
        <v>1</v>
      </c>
      <c r="E36" s="4">
        <f t="shared" si="14"/>
        <v>407.82000346154967</v>
      </c>
      <c r="F36" s="4">
        <f t="shared" si="15"/>
        <v>519.71743308163525</v>
      </c>
      <c r="G36" s="47">
        <f t="shared" si="16"/>
        <v>-11.000654770786102</v>
      </c>
      <c r="I36" s="123" t="s">
        <v>72</v>
      </c>
      <c r="J36" s="145" t="s">
        <v>76</v>
      </c>
      <c r="K36" s="97">
        <v>2</v>
      </c>
      <c r="L36" s="191">
        <f t="shared" si="17"/>
        <v>1.5</v>
      </c>
      <c r="M36" s="145" t="s">
        <v>72</v>
      </c>
      <c r="N36" s="145" t="s">
        <v>78</v>
      </c>
      <c r="O36" s="191">
        <f t="shared" si="18"/>
        <v>1.265625</v>
      </c>
      <c r="Q36" s="99">
        <v>9</v>
      </c>
      <c r="R36" s="18">
        <f t="shared" si="22"/>
        <v>2367.9625544782002</v>
      </c>
      <c r="S36" s="97">
        <v>3</v>
      </c>
      <c r="T36" s="4">
        <f t="shared" si="23"/>
        <v>295.99531930977503</v>
      </c>
      <c r="U36" s="18" t="str" cm="1">
        <f t="array" ref="U36">_xlfn.XLOOKUP(0,ABS($C$45:$C$57-T36),$B$45:$B$57,,1)</f>
        <v>D</v>
      </c>
      <c r="V36" s="47">
        <f t="shared" si="19"/>
        <v>8.7975038942433859</v>
      </c>
      <c r="X36" s="85" t="s">
        <v>72</v>
      </c>
      <c r="Y36" s="4">
        <f t="shared" si="20"/>
        <v>103.94348661632705</v>
      </c>
      <c r="Z36" s="47">
        <f t="shared" si="21"/>
        <v>1663.0957858612328</v>
      </c>
    </row>
    <row r="37" spans="2:26" x14ac:dyDescent="0.2">
      <c r="B37" s="123" t="s">
        <v>7</v>
      </c>
      <c r="C37" s="145" t="s">
        <v>74</v>
      </c>
      <c r="D37" s="97">
        <v>2</v>
      </c>
      <c r="E37" s="4">
        <f t="shared" si="14"/>
        <v>400.0000000000004</v>
      </c>
      <c r="F37" s="4">
        <f t="shared" si="15"/>
        <v>550</v>
      </c>
      <c r="G37" s="47">
        <f t="shared" si="16"/>
        <v>-7.0006547707863023</v>
      </c>
      <c r="I37" s="123" t="s">
        <v>7</v>
      </c>
      <c r="J37" s="145" t="s">
        <v>4</v>
      </c>
      <c r="K37" s="97">
        <v>2</v>
      </c>
      <c r="L37" s="191">
        <f t="shared" si="17"/>
        <v>1.4949269604510482</v>
      </c>
      <c r="M37" s="145" t="s">
        <v>7</v>
      </c>
      <c r="N37" s="145" t="s">
        <v>74</v>
      </c>
      <c r="O37" s="191">
        <f t="shared" si="18"/>
        <v>1.2599210498948734</v>
      </c>
      <c r="Q37" s="99">
        <v>10</v>
      </c>
      <c r="R37" s="18">
        <f t="shared" si="22"/>
        <v>2631.0695049757783</v>
      </c>
      <c r="S37" s="97">
        <v>3</v>
      </c>
      <c r="T37" s="4">
        <f t="shared" si="23"/>
        <v>328.88368812197228</v>
      </c>
      <c r="U37" s="18" t="str" cm="1">
        <f t="array" ref="U37">_xlfn.XLOOKUP(0,ABS($C$45:$C$57-T37),$B$45:$B$57,,1)</f>
        <v>E</v>
      </c>
      <c r="V37" s="47">
        <f t="shared" si="19"/>
        <v>-1.2800774531779515E-3</v>
      </c>
      <c r="X37" s="85" t="s">
        <v>7</v>
      </c>
      <c r="Y37" s="4">
        <f t="shared" si="20"/>
        <v>110</v>
      </c>
      <c r="Z37" s="47">
        <f t="shared" si="21"/>
        <v>1760</v>
      </c>
    </row>
    <row r="38" spans="2:26" x14ac:dyDescent="0.2">
      <c r="B38" s="123" t="s">
        <v>73</v>
      </c>
      <c r="C38" s="145" t="s">
        <v>3</v>
      </c>
      <c r="D38" s="97">
        <v>2</v>
      </c>
      <c r="E38" s="4">
        <f t="shared" si="14"/>
        <v>399.022499567306</v>
      </c>
      <c r="F38" s="4">
        <f t="shared" si="15"/>
        <v>584.68211221683964</v>
      </c>
      <c r="G38" s="47">
        <f t="shared" si="16"/>
        <v>-6.5006547707859736</v>
      </c>
      <c r="I38" s="123" t="s">
        <v>73</v>
      </c>
      <c r="J38" s="145" t="s">
        <v>5</v>
      </c>
      <c r="K38" s="97">
        <v>2</v>
      </c>
      <c r="L38" s="191">
        <f t="shared" si="17"/>
        <v>1.5</v>
      </c>
      <c r="M38" s="145" t="s">
        <v>73</v>
      </c>
      <c r="N38" s="145" t="s">
        <v>3</v>
      </c>
      <c r="O38" s="191">
        <f t="shared" si="18"/>
        <v>1.2592098660153097</v>
      </c>
      <c r="Q38" s="99">
        <v>11</v>
      </c>
      <c r="R38" s="18">
        <f t="shared" si="22"/>
        <v>2894.1764554733563</v>
      </c>
      <c r="S38" s="97">
        <v>3</v>
      </c>
      <c r="T38" s="4">
        <f t="shared" si="23"/>
        <v>361.77205693416954</v>
      </c>
      <c r="U38" s="18" t="str" cm="1">
        <f t="array" ref="U38">_xlfn.XLOOKUP(0,ABS($C$45:$C$57-T38),$B$45:$B$57,,1)</f>
        <v>F#</v>
      </c>
      <c r="V38" s="47">
        <f t="shared" si="19"/>
        <v>-38.907053308305905</v>
      </c>
      <c r="X38" s="85" t="s">
        <v>73</v>
      </c>
      <c r="Y38" s="4">
        <f t="shared" si="20"/>
        <v>116.93642244336793</v>
      </c>
      <c r="Z38" s="47">
        <f t="shared" si="21"/>
        <v>1870.9827590938869</v>
      </c>
    </row>
    <row r="39" spans="2:26" x14ac:dyDescent="0.2">
      <c r="B39" s="124" t="s">
        <v>8</v>
      </c>
      <c r="C39" s="153" t="s">
        <v>76</v>
      </c>
      <c r="D39" s="98">
        <v>2</v>
      </c>
      <c r="E39" s="53">
        <f t="shared" si="14"/>
        <v>405.86500259616247</v>
      </c>
      <c r="F39" s="53">
        <f t="shared" si="15"/>
        <v>616.65737118605739</v>
      </c>
      <c r="G39" s="48">
        <f t="shared" si="16"/>
        <v>-10.00065477078614</v>
      </c>
      <c r="I39" s="124" t="s">
        <v>8</v>
      </c>
      <c r="J39" s="153" t="s">
        <v>70</v>
      </c>
      <c r="K39" s="98">
        <v>2</v>
      </c>
      <c r="L39" s="192">
        <f t="shared" si="17"/>
        <v>1.5</v>
      </c>
      <c r="M39" s="153" t="s">
        <v>8</v>
      </c>
      <c r="N39" s="153" t="s">
        <v>76</v>
      </c>
      <c r="O39" s="192">
        <f t="shared" si="18"/>
        <v>1.2641965961147001</v>
      </c>
      <c r="Q39" s="99">
        <v>12</v>
      </c>
      <c r="R39" s="18">
        <f t="shared" si="22"/>
        <v>3157.2834059709339</v>
      </c>
      <c r="S39" s="97">
        <v>3</v>
      </c>
      <c r="T39" s="4">
        <f t="shared" si="23"/>
        <v>394.66042574636674</v>
      </c>
      <c r="U39" s="18" t="str" cm="1">
        <f t="array" ref="U39">_xlfn.XLOOKUP(0,ABS($C$45:$C$57-T39),$B$45:$B$57,,1)</f>
        <v>G</v>
      </c>
      <c r="V39" s="47">
        <f t="shared" si="19"/>
        <v>3.9100017307747521</v>
      </c>
      <c r="X39" s="85" t="s">
        <v>8</v>
      </c>
      <c r="Y39" s="4">
        <f t="shared" si="20"/>
        <v>123.33147423721147</v>
      </c>
      <c r="Z39" s="47">
        <f t="shared" si="21"/>
        <v>1973.3035877953835</v>
      </c>
    </row>
    <row r="40" spans="2:26" x14ac:dyDescent="0.2">
      <c r="Q40" s="100">
        <v>13</v>
      </c>
      <c r="R40" s="50">
        <f t="shared" si="22"/>
        <v>3420.3903564685115</v>
      </c>
      <c r="S40" s="98">
        <v>3</v>
      </c>
      <c r="T40" s="53">
        <f t="shared" si="23"/>
        <v>427.54879455856394</v>
      </c>
      <c r="U40" s="50" t="str" cm="1">
        <f t="array" ref="U40">_xlfn.XLOOKUP(0,ABS($C$45:$C$57-T40),$B$45:$B$57,,1)</f>
        <v>G#</v>
      </c>
      <c r="V40" s="48">
        <f t="shared" si="19"/>
        <v>48.347665230859889</v>
      </c>
      <c r="X40" s="87" t="s">
        <v>78</v>
      </c>
      <c r="Y40" s="53">
        <f t="shared" si="20"/>
        <v>131.55347524878891</v>
      </c>
      <c r="Z40" s="48">
        <f t="shared" si="21"/>
        <v>2104.8556039806226</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263.10695049757783</v>
      </c>
    </row>
    <row r="46" spans="2:26" x14ac:dyDescent="0.2">
      <c r="B46" s="92" t="s">
        <v>74</v>
      </c>
      <c r="C46" s="93">
        <f t="shared" ref="C46:C57" si="24">VLOOKUP(B46,$B$10:$H$22,7,FALSE)</f>
        <v>277.18263097687213</v>
      </c>
    </row>
    <row r="47" spans="2:26" x14ac:dyDescent="0.2">
      <c r="B47" s="92" t="s">
        <v>3</v>
      </c>
      <c r="C47" s="93">
        <f t="shared" si="24"/>
        <v>294.49499367444599</v>
      </c>
    </row>
    <row r="48" spans="2:26" x14ac:dyDescent="0.2">
      <c r="B48" s="92" t="s">
        <v>76</v>
      </c>
      <c r="C48" s="93">
        <f t="shared" si="24"/>
        <v>311.83045984898115</v>
      </c>
    </row>
    <row r="49" spans="2:3" x14ac:dyDescent="0.2">
      <c r="B49" s="92" t="s">
        <v>4</v>
      </c>
      <c r="C49" s="93">
        <f t="shared" si="24"/>
        <v>328.8839312992306</v>
      </c>
    </row>
    <row r="50" spans="2:3" x14ac:dyDescent="0.2">
      <c r="B50" s="92" t="s">
        <v>5</v>
      </c>
      <c r="C50" s="93">
        <f t="shared" si="24"/>
        <v>350.80926733010381</v>
      </c>
    </row>
    <row r="51" spans="2:3" x14ac:dyDescent="0.2">
      <c r="B51" s="92" t="s">
        <v>70</v>
      </c>
      <c r="C51" s="93">
        <f t="shared" si="24"/>
        <v>369.9944227116344</v>
      </c>
    </row>
    <row r="52" spans="2:3" x14ac:dyDescent="0.2">
      <c r="B52" s="92" t="s">
        <v>6</v>
      </c>
      <c r="C52" s="93">
        <f t="shared" si="24"/>
        <v>393.77008877325869</v>
      </c>
    </row>
    <row r="53" spans="2:3" x14ac:dyDescent="0.2">
      <c r="B53" s="92" t="s">
        <v>72</v>
      </c>
      <c r="C53" s="93">
        <f t="shared" si="24"/>
        <v>415.7739464653082</v>
      </c>
    </row>
    <row r="54" spans="2:3" x14ac:dyDescent="0.2">
      <c r="B54" s="92" t="s">
        <v>7</v>
      </c>
      <c r="C54" s="93">
        <f t="shared" si="24"/>
        <v>440</v>
      </c>
    </row>
    <row r="55" spans="2:3" x14ac:dyDescent="0.2">
      <c r="B55" s="92" t="s">
        <v>73</v>
      </c>
      <c r="C55" s="93">
        <f t="shared" si="24"/>
        <v>467.74568977347172</v>
      </c>
    </row>
    <row r="56" spans="2:3" x14ac:dyDescent="0.2">
      <c r="B56" s="92" t="s">
        <v>8</v>
      </c>
      <c r="C56" s="93">
        <f t="shared" si="24"/>
        <v>493.32589694884587</v>
      </c>
    </row>
    <row r="57" spans="2:3" ht="16" thickBot="1" x14ac:dyDescent="0.25">
      <c r="B57" s="94" t="s">
        <v>78</v>
      </c>
      <c r="C57" s="95">
        <f t="shared" si="24"/>
        <v>526.21390099515565</v>
      </c>
    </row>
    <row r="58" spans="2:3" ht="16" thickTop="1" x14ac:dyDescent="0.2"/>
  </sheetData>
  <sheetProtection sheet="1" scenarios="1" formatCells="0"/>
  <mergeCells count="9">
    <mergeCell ref="X25:Z25"/>
    <mergeCell ref="B1:G1"/>
    <mergeCell ref="B43:C43"/>
    <mergeCell ref="B8:H8"/>
    <mergeCell ref="J8:N8"/>
    <mergeCell ref="P8:U8"/>
    <mergeCell ref="B26:D26"/>
    <mergeCell ref="I26:O26"/>
    <mergeCell ref="Q26:V26"/>
  </mergeCells>
  <conditionalFormatting sqref="A1:XFD1048576">
    <cfRule type="expression" dxfId="71" priority="1">
      <formula>CELL("protect",A1)=0</formula>
    </cfRule>
    <cfRule type="expression" dxfId="70" priority="2">
      <formula>_xlfn.ISFORMULA(A1)</formula>
    </cfRule>
  </conditionalFormatting>
  <hyperlinks>
    <hyperlink ref="B41" location="Overview!A1" display="Back to Overview" xr:uid="{80122FA8-83C2-E643-BE57-EC892ED30ED2}"/>
    <hyperlink ref="B5" location="Overview!A1" display="Back to Overview" xr:uid="{8E292974-6C39-514E-81E5-4C472DB47018}"/>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75AB77B9-3C3B-E846-B51E-B06197760060}">
          <x14:formula1>
            <xm:f>'Commas &amp; Cents'!$AD$1:$AD$3</xm:f>
          </x14:formula1>
          <xm:sqref>D2</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7AF54-C0B2-0445-9D84-0055E59D9D2E}">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313" t="s">
        <v>587</v>
      </c>
      <c r="C1" s="313"/>
      <c r="D1" s="313"/>
      <c r="E1" s="313"/>
      <c r="F1" s="313"/>
      <c r="G1" s="313"/>
      <c r="P1" s="4" t="s">
        <v>478</v>
      </c>
    </row>
    <row r="2" spans="2:23" s="70" customFormat="1" ht="48" x14ac:dyDescent="0.2">
      <c r="D2" s="154" t="s">
        <v>84</v>
      </c>
      <c r="E2" s="72" t="str">
        <f>D2</f>
        <v>Pythagorean Comma</v>
      </c>
      <c r="F2" s="72" t="str">
        <f>_xlfn.CONCAT("1/",D3," ",D2)</f>
        <v>1/4 Pythagorean Comma</v>
      </c>
      <c r="G2" s="102"/>
      <c r="H2" s="103" t="s">
        <v>143</v>
      </c>
      <c r="I2" s="161">
        <v>440</v>
      </c>
      <c r="J2" s="103" t="str">
        <f>_xlfn.CONCAT("C for A=", I2,":")</f>
        <v>C for A=440:</v>
      </c>
      <c r="K2" s="70">
        <f>I2*2*8/27*POWER($F$3,$D$12-$D$9)</f>
        <v>263.40423257498196</v>
      </c>
      <c r="L2" s="103"/>
      <c r="U2" s="103"/>
      <c r="V2" s="103"/>
      <c r="W2" s="103"/>
    </row>
    <row r="3" spans="2:23" ht="16" x14ac:dyDescent="0.2">
      <c r="B3" s="105"/>
      <c r="C3" s="74" t="s">
        <v>125</v>
      </c>
      <c r="D3" s="155">
        <v>4</v>
      </c>
      <c r="E3" s="1">
        <f>IF(D2="Pythagorean Comma",524288/531441,IF(D2="Syntonic Comma",80/81,IF(D2="Cents",1/POWER(2,1/1200),"Not in List")))</f>
        <v>0.98654036854514426</v>
      </c>
      <c r="F3" s="132">
        <f>POWER(E3,1/D3)</f>
        <v>0.99661797363403204</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263.40423257498196</v>
      </c>
      <c r="G9" s="97">
        <v>0</v>
      </c>
      <c r="H9" s="188">
        <f t="shared" ref="H9:H21" si="0">E9/POWER(2,G9)</f>
        <v>263.40423257498196</v>
      </c>
      <c r="J9" s="85" t="s">
        <v>2</v>
      </c>
      <c r="K9" s="4">
        <f t="shared" ref="K9:K21" si="1">VLOOKUP(J9,Master_Frequencies,2,FALSE)</f>
        <v>263.40423257498196</v>
      </c>
      <c r="L9" s="4">
        <f t="shared" ref="L9:L21" si="2">LOG(K9/K$9,2)*1200</f>
        <v>0</v>
      </c>
      <c r="N9" s="158">
        <v>3600</v>
      </c>
      <c r="P9" s="123" t="str">
        <f>J9</f>
        <v>C</v>
      </c>
      <c r="Q9" s="4">
        <f>E9</f>
        <v>263.40423257498196</v>
      </c>
      <c r="R9" s="4">
        <f>LOG(K9/Q9,2)*1200</f>
        <v>0</v>
      </c>
      <c r="S9" s="145" t="str">
        <f t="shared" ref="S9:S21" si="3">B9</f>
        <v>C</v>
      </c>
      <c r="T9" s="4">
        <f t="shared" ref="T9:T21" si="4">VLOOKUP(S9,Master_Frequencies,2,FALSE)</f>
        <v>263.40423257498196</v>
      </c>
      <c r="U9" s="47">
        <f t="shared" ref="U9:U21" si="5">VLOOKUP(S9,$P$9:$R$21,3,FALSE)</f>
        <v>0</v>
      </c>
    </row>
    <row r="10" spans="2:23" x14ac:dyDescent="0.2">
      <c r="B10" s="107" t="s">
        <v>6</v>
      </c>
      <c r="C10" s="185">
        <v>-1</v>
      </c>
      <c r="D10" s="4">
        <f>D9+C10</f>
        <v>-1</v>
      </c>
      <c r="E10" s="4">
        <f t="shared" ref="E10:E21" si="6">IF(C10&lt;0,(E9*3/2)*POWER($F$3,ABS(C10)),(E9*3/2)*POWER(1/$F$3,ABS(C10)))</f>
        <v>393.77008877325875</v>
      </c>
      <c r="F10" s="4">
        <f t="shared" ref="F10:F21" si="7">LOG(E10/E9,2)*1200</f>
        <v>696.08999826922525</v>
      </c>
      <c r="G10" s="97">
        <v>0</v>
      </c>
      <c r="H10" s="188">
        <f t="shared" si="0"/>
        <v>393.77008877325875</v>
      </c>
      <c r="J10" s="85" t="s">
        <v>74</v>
      </c>
      <c r="K10" s="4">
        <f t="shared" si="1"/>
        <v>277.49581703372587</v>
      </c>
      <c r="L10" s="4">
        <f t="shared" si="2"/>
        <v>90.224995673063063</v>
      </c>
      <c r="M10" s="4">
        <f t="shared" ref="M10:M21" si="8">LOG(K10/K9,2)*1200</f>
        <v>90.224995673063063</v>
      </c>
      <c r="N10" s="47">
        <f t="shared" ref="N10:N21" si="9">N$9*K$9/K10</f>
        <v>3417.1875</v>
      </c>
      <c r="P10" s="123" t="str">
        <f t="shared" ref="P10:P21" si="10">J10</f>
        <v>C#</v>
      </c>
      <c r="Q10" s="4">
        <f t="shared" ref="Q10:Q21" si="11">Q9*POWER($Q$9*2/$Q$9,1/12)</f>
        <v>279.06706331122587</v>
      </c>
      <c r="R10" s="4">
        <f t="shared" ref="R10:R21" si="12">LOG(K10/Q10,2)*1200</f>
        <v>-9.7750043269369336</v>
      </c>
      <c r="S10" s="145" t="str">
        <f t="shared" si="3"/>
        <v>G</v>
      </c>
      <c r="T10" s="4">
        <f t="shared" si="4"/>
        <v>393.77008877325875</v>
      </c>
      <c r="U10" s="47">
        <f t="shared" si="5"/>
        <v>-3.9100017307752508</v>
      </c>
    </row>
    <row r="11" spans="2:23" x14ac:dyDescent="0.2">
      <c r="B11" s="107" t="s">
        <v>3</v>
      </c>
      <c r="C11" s="185">
        <v>-1</v>
      </c>
      <c r="D11" s="4">
        <f t="shared" ref="D11:D21" si="13">D10+C11</f>
        <v>-2</v>
      </c>
      <c r="E11" s="4">
        <f t="shared" si="6"/>
        <v>588.65752192634704</v>
      </c>
      <c r="F11" s="4">
        <f t="shared" si="7"/>
        <v>696.08999826922502</v>
      </c>
      <c r="G11" s="97">
        <v>1</v>
      </c>
      <c r="H11" s="188">
        <f t="shared" si="0"/>
        <v>294.32876096317352</v>
      </c>
      <c r="J11" s="85" t="s">
        <v>3</v>
      </c>
      <c r="K11" s="4">
        <f t="shared" si="1"/>
        <v>294.32876096317352</v>
      </c>
      <c r="L11" s="4">
        <f t="shared" si="2"/>
        <v>192.17999653845041</v>
      </c>
      <c r="M11" s="4">
        <f t="shared" si="8"/>
        <v>101.95500086538728</v>
      </c>
      <c r="N11" s="47">
        <f t="shared" si="9"/>
        <v>3221.7552717812073</v>
      </c>
      <c r="P11" s="123" t="str">
        <f t="shared" si="10"/>
        <v>D</v>
      </c>
      <c r="Q11" s="4">
        <f t="shared" si="11"/>
        <v>295.66125442947271</v>
      </c>
      <c r="R11" s="4">
        <f t="shared" si="12"/>
        <v>-7.820003461549498</v>
      </c>
      <c r="S11" s="145" t="str">
        <f t="shared" si="3"/>
        <v>D</v>
      </c>
      <c r="T11" s="4">
        <f t="shared" si="4"/>
        <v>294.32876096317352</v>
      </c>
      <c r="U11" s="47">
        <f t="shared" si="5"/>
        <v>-7.820003461549498</v>
      </c>
    </row>
    <row r="12" spans="2:23" x14ac:dyDescent="0.2">
      <c r="B12" s="107" t="s">
        <v>7</v>
      </c>
      <c r="C12" s="185">
        <v>-1</v>
      </c>
      <c r="D12" s="4">
        <f t="shared" si="13"/>
        <v>-3</v>
      </c>
      <c r="E12" s="4">
        <f t="shared" si="6"/>
        <v>880.00000000000011</v>
      </c>
      <c r="F12" s="4">
        <f t="shared" si="7"/>
        <v>696.08999826922502</v>
      </c>
      <c r="G12" s="97">
        <v>1</v>
      </c>
      <c r="H12" s="188">
        <f t="shared" si="0"/>
        <v>440.00000000000006</v>
      </c>
      <c r="J12" s="85" t="s">
        <v>76</v>
      </c>
      <c r="K12" s="4">
        <f t="shared" si="1"/>
        <v>312.1827941629416</v>
      </c>
      <c r="L12" s="4">
        <f t="shared" si="2"/>
        <v>294.13499740383799</v>
      </c>
      <c r="M12" s="4">
        <f t="shared" si="8"/>
        <v>101.95500086538762</v>
      </c>
      <c r="N12" s="47">
        <f t="shared" si="9"/>
        <v>3037.5</v>
      </c>
      <c r="P12" s="123" t="str">
        <f t="shared" si="10"/>
        <v>D#</v>
      </c>
      <c r="Q12" s="4">
        <f t="shared" si="11"/>
        <v>313.24218750000006</v>
      </c>
      <c r="R12" s="4">
        <f t="shared" si="12"/>
        <v>-5.8650025961620802</v>
      </c>
      <c r="S12" s="145" t="str">
        <f t="shared" si="3"/>
        <v>A</v>
      </c>
      <c r="T12" s="4">
        <f t="shared" si="4"/>
        <v>440.00000000000006</v>
      </c>
      <c r="U12" s="47">
        <f t="shared" si="5"/>
        <v>-11.730005192325208</v>
      </c>
    </row>
    <row r="13" spans="2:23" x14ac:dyDescent="0.2">
      <c r="B13" s="107" t="s">
        <v>4</v>
      </c>
      <c r="C13" s="185">
        <v>-1</v>
      </c>
      <c r="D13" s="4">
        <f t="shared" si="13"/>
        <v>-4</v>
      </c>
      <c r="E13" s="4">
        <f t="shared" si="6"/>
        <v>1315.5357251969226</v>
      </c>
      <c r="F13" s="4">
        <f t="shared" si="7"/>
        <v>696.08999826922525</v>
      </c>
      <c r="G13" s="97">
        <v>2</v>
      </c>
      <c r="H13" s="188">
        <f t="shared" si="0"/>
        <v>328.88393129923065</v>
      </c>
      <c r="J13" s="85" t="s">
        <v>4</v>
      </c>
      <c r="K13" s="4">
        <f t="shared" si="1"/>
        <v>328.88393129923065</v>
      </c>
      <c r="L13" s="4">
        <f t="shared" si="2"/>
        <v>384.35999307690076</v>
      </c>
      <c r="M13" s="4">
        <f t="shared" si="8"/>
        <v>90.224995673062693</v>
      </c>
      <c r="N13" s="47">
        <f t="shared" si="9"/>
        <v>2883.251953125</v>
      </c>
      <c r="P13" s="123" t="str">
        <f t="shared" si="10"/>
        <v>E</v>
      </c>
      <c r="Q13" s="4">
        <f t="shared" si="11"/>
        <v>331.86853725262466</v>
      </c>
      <c r="R13" s="4">
        <f t="shared" si="12"/>
        <v>-15.640006923099472</v>
      </c>
      <c r="S13" s="145" t="str">
        <f t="shared" si="3"/>
        <v>E</v>
      </c>
      <c r="T13" s="4">
        <f t="shared" si="4"/>
        <v>328.88393129923065</v>
      </c>
      <c r="U13" s="47">
        <f t="shared" si="5"/>
        <v>-15.640006923099472</v>
      </c>
    </row>
    <row r="14" spans="2:23" x14ac:dyDescent="0.2">
      <c r="B14" s="107" t="s">
        <v>8</v>
      </c>
      <c r="C14" s="185">
        <v>0</v>
      </c>
      <c r="D14" s="4">
        <f t="shared" si="13"/>
        <v>-4</v>
      </c>
      <c r="E14" s="4">
        <f t="shared" si="6"/>
        <v>1973.3035877953839</v>
      </c>
      <c r="F14" s="4">
        <f t="shared" si="7"/>
        <v>701.95500086538743</v>
      </c>
      <c r="G14" s="97">
        <v>2</v>
      </c>
      <c r="H14" s="188">
        <f t="shared" si="0"/>
        <v>493.32589694884598</v>
      </c>
      <c r="J14" s="85" t="s">
        <v>5</v>
      </c>
      <c r="K14" s="4">
        <f t="shared" si="1"/>
        <v>351.20564343330932</v>
      </c>
      <c r="L14" s="4">
        <f t="shared" si="2"/>
        <v>498.04499913461279</v>
      </c>
      <c r="M14" s="4">
        <f t="shared" si="8"/>
        <v>113.68500605771193</v>
      </c>
      <c r="N14" s="47">
        <f t="shared" si="9"/>
        <v>2699.9999999999995</v>
      </c>
      <c r="P14" s="123" t="str">
        <f t="shared" si="10"/>
        <v>F</v>
      </c>
      <c r="Q14" s="4">
        <f t="shared" si="11"/>
        <v>351.60246739815881</v>
      </c>
      <c r="R14" s="4">
        <f t="shared" si="12"/>
        <v>-1.955000865387585</v>
      </c>
      <c r="S14" s="145" t="str">
        <f t="shared" si="3"/>
        <v>B</v>
      </c>
      <c r="T14" s="4">
        <f t="shared" si="4"/>
        <v>493.32589694884598</v>
      </c>
      <c r="U14" s="47">
        <f t="shared" si="5"/>
        <v>-13.685006057712577</v>
      </c>
    </row>
    <row r="15" spans="2:23" x14ac:dyDescent="0.2">
      <c r="B15" s="107" t="s">
        <v>70</v>
      </c>
      <c r="C15" s="185">
        <v>0</v>
      </c>
      <c r="D15" s="4">
        <f t="shared" si="13"/>
        <v>-4</v>
      </c>
      <c r="E15" s="4">
        <f t="shared" si="6"/>
        <v>2959.9553816930757</v>
      </c>
      <c r="F15" s="4">
        <f t="shared" si="7"/>
        <v>701.95500086538721</v>
      </c>
      <c r="G15" s="97">
        <v>3</v>
      </c>
      <c r="H15" s="188">
        <f t="shared" si="0"/>
        <v>369.99442271163446</v>
      </c>
      <c r="J15" s="85" t="s">
        <v>70</v>
      </c>
      <c r="K15" s="4">
        <f t="shared" si="1"/>
        <v>369.99442271163446</v>
      </c>
      <c r="L15" s="4">
        <f t="shared" si="2"/>
        <v>588.2699948076754</v>
      </c>
      <c r="M15" s="4">
        <f t="shared" si="8"/>
        <v>90.224995673062693</v>
      </c>
      <c r="N15" s="47">
        <f t="shared" si="9"/>
        <v>2562.890625</v>
      </c>
      <c r="P15" s="123" t="str">
        <f t="shared" si="10"/>
        <v>F#</v>
      </c>
      <c r="Q15" s="4">
        <f t="shared" si="11"/>
        <v>372.50983809401657</v>
      </c>
      <c r="R15" s="4">
        <f t="shared" si="12"/>
        <v>-11.730005192325015</v>
      </c>
      <c r="S15" s="145" t="str">
        <f t="shared" si="3"/>
        <v>F#</v>
      </c>
      <c r="T15" s="4">
        <f t="shared" si="4"/>
        <v>369.99442271163446</v>
      </c>
      <c r="U15" s="47">
        <f t="shared" si="5"/>
        <v>-11.730005192325015</v>
      </c>
    </row>
    <row r="16" spans="2:23" x14ac:dyDescent="0.2">
      <c r="B16" s="107" t="s">
        <v>74</v>
      </c>
      <c r="C16" s="185">
        <v>0</v>
      </c>
      <c r="D16" s="4">
        <f t="shared" si="13"/>
        <v>-4</v>
      </c>
      <c r="E16" s="4">
        <f t="shared" si="6"/>
        <v>4439.9330725396139</v>
      </c>
      <c r="F16" s="4">
        <f t="shared" si="7"/>
        <v>701.95500086538766</v>
      </c>
      <c r="G16" s="97">
        <v>4</v>
      </c>
      <c r="H16" s="188">
        <f t="shared" si="0"/>
        <v>277.49581703372587</v>
      </c>
      <c r="J16" s="85" t="s">
        <v>6</v>
      </c>
      <c r="K16" s="4">
        <f t="shared" si="1"/>
        <v>393.77008877325875</v>
      </c>
      <c r="L16" s="4">
        <f t="shared" si="2"/>
        <v>696.08999826922525</v>
      </c>
      <c r="M16" s="4">
        <f t="shared" si="8"/>
        <v>107.82000346154977</v>
      </c>
      <c r="N16" s="47">
        <f t="shared" si="9"/>
        <v>2408.1444078805102</v>
      </c>
      <c r="P16" s="123" t="str">
        <f t="shared" si="10"/>
        <v>G</v>
      </c>
      <c r="Q16" s="4">
        <f t="shared" si="11"/>
        <v>394.66042574636691</v>
      </c>
      <c r="R16" s="4">
        <f t="shared" si="12"/>
        <v>-3.9100017307752508</v>
      </c>
      <c r="S16" s="145" t="str">
        <f t="shared" si="3"/>
        <v>C#</v>
      </c>
      <c r="T16" s="4">
        <f t="shared" si="4"/>
        <v>277.49581703372587</v>
      </c>
      <c r="U16" s="47">
        <f t="shared" si="5"/>
        <v>-9.7750043269369336</v>
      </c>
    </row>
    <row r="17" spans="2:26" x14ac:dyDescent="0.2">
      <c r="B17" s="107" t="s">
        <v>72</v>
      </c>
      <c r="C17" s="185">
        <v>0</v>
      </c>
      <c r="D17" s="4">
        <f t="shared" si="13"/>
        <v>-4</v>
      </c>
      <c r="E17" s="4">
        <f t="shared" si="6"/>
        <v>6659.8996088094209</v>
      </c>
      <c r="F17" s="4">
        <f t="shared" si="7"/>
        <v>701.95500086538743</v>
      </c>
      <c r="G17" s="97">
        <v>4</v>
      </c>
      <c r="H17" s="188">
        <f t="shared" si="0"/>
        <v>416.24372555058881</v>
      </c>
      <c r="J17" s="85" t="s">
        <v>72</v>
      </c>
      <c r="K17" s="4">
        <f t="shared" si="1"/>
        <v>416.24372555058881</v>
      </c>
      <c r="L17" s="4">
        <f t="shared" si="2"/>
        <v>792.17999653845038</v>
      </c>
      <c r="M17" s="4">
        <f t="shared" si="8"/>
        <v>96.089998269225319</v>
      </c>
      <c r="N17" s="47">
        <f t="shared" si="9"/>
        <v>2278.125</v>
      </c>
      <c r="P17" s="123" t="str">
        <f t="shared" si="10"/>
        <v>G#</v>
      </c>
      <c r="Q17" s="4">
        <f t="shared" si="11"/>
        <v>418.12815588240278</v>
      </c>
      <c r="R17" s="4">
        <f t="shared" si="12"/>
        <v>-7.8200034615500771</v>
      </c>
      <c r="S17" s="145" t="str">
        <f t="shared" si="3"/>
        <v>G#</v>
      </c>
      <c r="T17" s="4">
        <f t="shared" si="4"/>
        <v>416.24372555058881</v>
      </c>
      <c r="U17" s="47">
        <f t="shared" si="5"/>
        <v>-7.8200034615500771</v>
      </c>
    </row>
    <row r="18" spans="2:26" x14ac:dyDescent="0.2">
      <c r="B18" s="107" t="s">
        <v>76</v>
      </c>
      <c r="C18" s="185">
        <v>0</v>
      </c>
      <c r="D18" s="4">
        <f t="shared" si="13"/>
        <v>-4</v>
      </c>
      <c r="E18" s="4">
        <f t="shared" si="6"/>
        <v>9989.8494132141313</v>
      </c>
      <c r="F18" s="4">
        <f t="shared" si="7"/>
        <v>701.95500086538743</v>
      </c>
      <c r="G18" s="97">
        <v>5</v>
      </c>
      <c r="H18" s="188">
        <f t="shared" si="0"/>
        <v>312.1827941629416</v>
      </c>
      <c r="J18" s="85" t="s">
        <v>7</v>
      </c>
      <c r="K18" s="4">
        <f t="shared" si="1"/>
        <v>440.00000000000006</v>
      </c>
      <c r="L18" s="4">
        <f t="shared" si="2"/>
        <v>888.26999480767529</v>
      </c>
      <c r="M18" s="4">
        <f t="shared" si="8"/>
        <v>96.089998269224949</v>
      </c>
      <c r="N18" s="47">
        <f t="shared" si="9"/>
        <v>2155.125539249852</v>
      </c>
      <c r="P18" s="123" t="str">
        <f t="shared" si="10"/>
        <v>A</v>
      </c>
      <c r="Q18" s="4">
        <f t="shared" si="11"/>
        <v>442.99134986991623</v>
      </c>
      <c r="R18" s="4">
        <f t="shared" si="12"/>
        <v>-11.730005192325208</v>
      </c>
      <c r="S18" s="145" t="str">
        <f t="shared" si="3"/>
        <v>D#</v>
      </c>
      <c r="T18" s="4">
        <f t="shared" si="4"/>
        <v>312.1827941629416</v>
      </c>
      <c r="U18" s="47">
        <f t="shared" si="5"/>
        <v>-5.8650025961620802</v>
      </c>
    </row>
    <row r="19" spans="2:26" x14ac:dyDescent="0.2">
      <c r="B19" s="107" t="s">
        <v>73</v>
      </c>
      <c r="C19" s="185">
        <v>0</v>
      </c>
      <c r="D19" s="4">
        <f t="shared" si="13"/>
        <v>-4</v>
      </c>
      <c r="E19" s="4">
        <f t="shared" si="6"/>
        <v>14984.774119821197</v>
      </c>
      <c r="F19" s="4">
        <f t="shared" si="7"/>
        <v>701.95500086538743</v>
      </c>
      <c r="G19" s="97">
        <v>5</v>
      </c>
      <c r="H19" s="188">
        <f t="shared" si="0"/>
        <v>468.27419124441241</v>
      </c>
      <c r="J19" s="85" t="s">
        <v>73</v>
      </c>
      <c r="K19" s="4">
        <f t="shared" si="1"/>
        <v>468.27419124441241</v>
      </c>
      <c r="L19" s="4">
        <f t="shared" si="2"/>
        <v>996.08999826922525</v>
      </c>
      <c r="M19" s="4">
        <f t="shared" si="8"/>
        <v>107.82000346154977</v>
      </c>
      <c r="N19" s="47">
        <f t="shared" si="9"/>
        <v>2025</v>
      </c>
      <c r="P19" s="123" t="str">
        <f t="shared" si="10"/>
        <v>A#</v>
      </c>
      <c r="Q19" s="4">
        <f t="shared" si="11"/>
        <v>469.33298630758264</v>
      </c>
      <c r="R19" s="4">
        <f t="shared" si="12"/>
        <v>-3.910001730775444</v>
      </c>
      <c r="S19" s="145" t="str">
        <f t="shared" si="3"/>
        <v>A#</v>
      </c>
      <c r="T19" s="4">
        <f t="shared" si="4"/>
        <v>468.27419124441241</v>
      </c>
      <c r="U19" s="47">
        <f t="shared" si="5"/>
        <v>-3.910001730775444</v>
      </c>
    </row>
    <row r="20" spans="2:26" x14ac:dyDescent="0.2">
      <c r="B20" s="107" t="s">
        <v>5</v>
      </c>
      <c r="C20" s="185">
        <v>0</v>
      </c>
      <c r="D20" s="4">
        <f t="shared" si="13"/>
        <v>-4</v>
      </c>
      <c r="E20" s="4">
        <f t="shared" si="6"/>
        <v>22477.161179731796</v>
      </c>
      <c r="F20" s="4">
        <f t="shared" si="7"/>
        <v>701.95500086538743</v>
      </c>
      <c r="G20" s="97">
        <v>6</v>
      </c>
      <c r="H20" s="188">
        <f t="shared" si="0"/>
        <v>351.20564343330932</v>
      </c>
      <c r="J20" s="85" t="s">
        <v>8</v>
      </c>
      <c r="K20" s="4">
        <f t="shared" si="1"/>
        <v>493.32589694884598</v>
      </c>
      <c r="L20" s="4">
        <f t="shared" si="2"/>
        <v>1086.3149939422883</v>
      </c>
      <c r="M20" s="4">
        <f t="shared" si="8"/>
        <v>90.224995673062693</v>
      </c>
      <c r="N20" s="47">
        <f t="shared" si="9"/>
        <v>1922.16796875</v>
      </c>
      <c r="P20" s="123" t="str">
        <f t="shared" si="10"/>
        <v>B</v>
      </c>
      <c r="Q20" s="4">
        <f t="shared" si="11"/>
        <v>497.24097795832029</v>
      </c>
      <c r="R20" s="4">
        <f t="shared" si="12"/>
        <v>-13.685006057712577</v>
      </c>
      <c r="S20" s="145" t="str">
        <f t="shared" si="3"/>
        <v>F</v>
      </c>
      <c r="T20" s="4">
        <f t="shared" si="4"/>
        <v>351.20564343330932</v>
      </c>
      <c r="U20" s="47">
        <f t="shared" si="5"/>
        <v>-1.955000865387585</v>
      </c>
    </row>
    <row r="21" spans="2:26" x14ac:dyDescent="0.2">
      <c r="B21" s="108" t="s">
        <v>78</v>
      </c>
      <c r="C21" s="186">
        <v>0</v>
      </c>
      <c r="D21" s="53">
        <f t="shared" si="13"/>
        <v>-4</v>
      </c>
      <c r="E21" s="53">
        <f t="shared" si="6"/>
        <v>33715.741769597691</v>
      </c>
      <c r="F21" s="53">
        <f t="shared" si="7"/>
        <v>701.95500086538721</v>
      </c>
      <c r="G21" s="98">
        <v>6</v>
      </c>
      <c r="H21" s="48">
        <f t="shared" si="0"/>
        <v>526.80846514996392</v>
      </c>
      <c r="J21" s="87" t="s">
        <v>78</v>
      </c>
      <c r="K21" s="53">
        <f t="shared" si="1"/>
        <v>526.80846514996392</v>
      </c>
      <c r="L21" s="53">
        <f t="shared" si="2"/>
        <v>1200</v>
      </c>
      <c r="M21" s="53">
        <f t="shared" si="8"/>
        <v>113.68500605771193</v>
      </c>
      <c r="N21" s="48">
        <f t="shared" si="9"/>
        <v>1800</v>
      </c>
      <c r="P21" s="108" t="str">
        <f t="shared" si="10"/>
        <v>c oct.</v>
      </c>
      <c r="Q21" s="53">
        <f t="shared" si="11"/>
        <v>526.80846514996415</v>
      </c>
      <c r="R21" s="53">
        <f t="shared" si="12"/>
        <v>-7.6882236091558047E-13</v>
      </c>
      <c r="S21" s="151" t="str">
        <f t="shared" si="3"/>
        <v>c oct.</v>
      </c>
      <c r="T21" s="53">
        <f t="shared" si="4"/>
        <v>526.80846514996392</v>
      </c>
      <c r="U21" s="48">
        <f t="shared" si="5"/>
        <v>-7.6882236091558047E-13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Kirnberger III P. Interval in cents</v>
      </c>
      <c r="F26" s="84" t="s">
        <v>18</v>
      </c>
      <c r="G26" s="52" t="str">
        <f>_xlfn.CONCAT("diff ",$F$2)</f>
        <v>diff 1/4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384.35999307690076</v>
      </c>
      <c r="F27" s="4">
        <f t="shared" ref="F27" si="15">VLOOKUP(B27,Master_Frequencies,2,FALSE)*5/4</f>
        <v>329.25529071872745</v>
      </c>
      <c r="G27" s="47">
        <f t="shared" ref="G27" si="16">IF($D$2="Cents",LOG(VLOOKUP(C27,Master_Frequencies,2,FALSE)/F27,2)*1200*$F$3,LOG(D27*VLOOKUP(C27,Master_Frequencies,2,FALSE)/F27,$F$3))</f>
        <v>0.33311507640464516</v>
      </c>
      <c r="I27" s="123" t="s">
        <v>2</v>
      </c>
      <c r="J27" s="145" t="s">
        <v>6</v>
      </c>
      <c r="K27" s="97">
        <v>1</v>
      </c>
      <c r="L27" s="191">
        <f t="shared" ref="L27" si="17">K27*VLOOKUP(J27,Master_Frequencies,2,FALSE)/VLOOKUP(I27,Master_Frequencies,2,FALSE)</f>
        <v>1.4949269604510482</v>
      </c>
      <c r="M27" s="145" t="s">
        <v>2</v>
      </c>
      <c r="N27" s="145" t="s">
        <v>4</v>
      </c>
      <c r="O27" s="191">
        <f t="shared" ref="O27" si="18">D27*VLOOKUP(N27,Master_Frequencies,2,FALSE)/VLOOKUP(M27,Master_Frequencies,2,FALSE)</f>
        <v>1.2485901539399482</v>
      </c>
      <c r="Q27" s="99">
        <v>1</v>
      </c>
      <c r="R27" s="18">
        <f>$E$9*Q27</f>
        <v>263.40423257498196</v>
      </c>
      <c r="S27" s="97">
        <v>0</v>
      </c>
      <c r="T27" s="4">
        <f>R27/POWER(2,S27)</f>
        <v>263.40423257498196</v>
      </c>
      <c r="U27" s="18" t="str" cm="1">
        <f t="array" ref="U27">_xlfn.XLOOKUP(0,ABS($C$44:$C$56-T27),$B$44:$B$56,,1)</f>
        <v>C</v>
      </c>
      <c r="V27" s="47">
        <f t="shared" ref="V27" si="19">LOG(T27/VLOOKUP(U27,Master_Frequencies,2,FALSE),2)*1200</f>
        <v>0</v>
      </c>
      <c r="X27" s="85" t="s">
        <v>2</v>
      </c>
      <c r="Y27" s="4">
        <f t="shared" ref="Y27" si="20">VLOOKUP(X27,Master_Frequencies,2,FALSE)/POWER(2,$Z$25)</f>
        <v>131.70211628749098</v>
      </c>
      <c r="Z27" s="47">
        <f t="shared" ref="Z27" si="21">VLOOKUP(X27,Master_Frequencies,2,FALSE)*POWER(2,$Z$25)</f>
        <v>526.80846514996392</v>
      </c>
    </row>
    <row r="28" spans="2:26" x14ac:dyDescent="0.2">
      <c r="B28" s="123" t="s">
        <v>74</v>
      </c>
      <c r="C28" s="145" t="s">
        <v>5</v>
      </c>
      <c r="D28" s="97">
        <v>1</v>
      </c>
      <c r="E28" s="4">
        <f t="shared" ref="E28" si="22">LOG(D28*VLOOKUP(C28,Master_Frequencies,2,FALSE)/VLOOKUP(B28,Master_Frequencies,2,FALSE),2)*1200</f>
        <v>407.82000346154967</v>
      </c>
      <c r="F28" s="4">
        <f t="shared" ref="F28" si="23">VLOOKUP(B28,Master_Frequencies,2,FALSE)*5/4</f>
        <v>346.86977129215734</v>
      </c>
      <c r="G28" s="47">
        <f t="shared" ref="G28" si="24">IF($D$2="Cents",LOG(VLOOKUP(C28,Master_Frequencies,2,FALSE)/F28,2)*1200*$F$3,LOG(D28*VLOOKUP(C28,Master_Frequencies,2,FALSE)/F28,$F$3))</f>
        <v>-3.6668849235953078</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1.265625</v>
      </c>
      <c r="Q28" s="99">
        <v>2</v>
      </c>
      <c r="R28" s="18">
        <f t="shared" ref="R28:R39" si="27">$E$9*Q28</f>
        <v>526.80846514996392</v>
      </c>
      <c r="S28" s="97">
        <v>0</v>
      </c>
      <c r="T28" s="4">
        <f t="shared" ref="T28:T39" si="28">R28/POWER(2,S28)</f>
        <v>526.80846514996392</v>
      </c>
      <c r="U28" s="18" t="str" cm="1">
        <f t="array" ref="U28">_xlfn.XLOOKUP(0,ABS($C$44:$C$56-T28),$B$44:$B$56,,1)</f>
        <v>c oct.</v>
      </c>
      <c r="V28" s="47">
        <f t="shared" ref="V28" si="29">LOG(T28/VLOOKUP(U28,Master_Frequencies,2,FALSE),2)*1200</f>
        <v>0</v>
      </c>
      <c r="X28" s="85" t="s">
        <v>74</v>
      </c>
      <c r="Y28" s="4">
        <f t="shared" ref="Y28" si="30">VLOOKUP(X28,Master_Frequencies,2,FALSE)/POWER(2,$Z$25)</f>
        <v>138.74790851686294</v>
      </c>
      <c r="Z28" s="47">
        <f t="shared" ref="Z28" si="31">VLOOKUP(X28,Master_Frequencies,2,FALSE)*POWER(2,$Z$25)</f>
        <v>554.99163406745174</v>
      </c>
    </row>
    <row r="29" spans="2:26" x14ac:dyDescent="0.2">
      <c r="B29" s="123" t="s">
        <v>3</v>
      </c>
      <c r="C29" s="145" t="s">
        <v>70</v>
      </c>
      <c r="D29" s="97">
        <v>1</v>
      </c>
      <c r="E29" s="4">
        <f t="shared" ref="E29" si="32">LOG(D29*VLOOKUP(C29,Master_Frequencies,2,FALSE)/VLOOKUP(B29,Master_Frequencies,2,FALSE),2)*1200</f>
        <v>396.08999826922508</v>
      </c>
      <c r="F29" s="4">
        <f t="shared" ref="F29" si="33">VLOOKUP(B29,Master_Frequencies,2,FALSE)*5/4</f>
        <v>367.91095120396687</v>
      </c>
      <c r="G29" s="47">
        <f t="shared" ref="G29" si="34">IF($D$2="Cents",LOG(VLOOKUP(C29,Master_Frequencies,2,FALSE)/F29,2)*1200*$F$3,LOG(D29*VLOOKUP(C29,Master_Frequencies,2,FALSE)/F29,$F$3))</f>
        <v>-1.666884923595346</v>
      </c>
      <c r="I29" s="123" t="s">
        <v>3</v>
      </c>
      <c r="J29" s="145" t="s">
        <v>7</v>
      </c>
      <c r="K29" s="97">
        <v>1</v>
      </c>
      <c r="L29" s="191">
        <f t="shared" ref="L29" si="35">K29*VLOOKUP(J29,Master_Frequencies,2,FALSE)/VLOOKUP(I29,Master_Frequencies,2,FALSE)</f>
        <v>1.494926960451048</v>
      </c>
      <c r="M29" s="145" t="s">
        <v>3</v>
      </c>
      <c r="N29" s="145" t="s">
        <v>70</v>
      </c>
      <c r="O29" s="191">
        <f t="shared" ref="O29" si="36">D29*VLOOKUP(N29,Master_Frequencies,2,FALSE)/VLOOKUP(M29,Master_Frequencies,2,FALSE)</f>
        <v>1.2570787221094177</v>
      </c>
      <c r="Q29" s="99">
        <v>3</v>
      </c>
      <c r="R29" s="18">
        <f t="shared" si="27"/>
        <v>790.21269772494588</v>
      </c>
      <c r="S29" s="97">
        <v>1</v>
      </c>
      <c r="T29" s="4">
        <f t="shared" si="28"/>
        <v>395.10634886247294</v>
      </c>
      <c r="U29" s="18" t="str" cm="1">
        <f t="array" ref="U29">_xlfn.XLOOKUP(0,ABS($C$44:$C$56-T29),$B$44:$B$56,,1)</f>
        <v>G</v>
      </c>
      <c r="V29" s="47">
        <f t="shared" ref="V29" si="37">LOG(T29/VLOOKUP(U29,Master_Frequencies,2,FALSE),2)*1200</f>
        <v>5.8650025961623031</v>
      </c>
      <c r="X29" s="85" t="s">
        <v>3</v>
      </c>
      <c r="Y29" s="4">
        <f t="shared" ref="Y29" si="38">VLOOKUP(X29,Master_Frequencies,2,FALSE)/POWER(2,$Z$25)</f>
        <v>147.16438048158676</v>
      </c>
      <c r="Z29" s="47">
        <f t="shared" ref="Z29" si="39">VLOOKUP(X29,Master_Frequencies,2,FALSE)*POWER(2,$Z$25)</f>
        <v>588.65752192634704</v>
      </c>
    </row>
    <row r="30" spans="2:26" x14ac:dyDescent="0.2">
      <c r="B30" s="123" t="s">
        <v>76</v>
      </c>
      <c r="C30" s="145" t="s">
        <v>6</v>
      </c>
      <c r="D30" s="97">
        <v>1</v>
      </c>
      <c r="E30" s="4">
        <f t="shared" ref="E30" si="40">LOG(D30*VLOOKUP(C30,Master_Frequencies,2,FALSE)/VLOOKUP(B30,Master_Frequencies,2,FALSE),2)*1200</f>
        <v>401.95500086538743</v>
      </c>
      <c r="F30" s="4">
        <f t="shared" ref="F30" si="41">VLOOKUP(B30,Master_Frequencies,2,FALSE)*5/4</f>
        <v>390.22849270367703</v>
      </c>
      <c r="G30" s="47">
        <f t="shared" ref="G30" si="42">IF($D$2="Cents",LOG(VLOOKUP(C30,Master_Frequencies,2,FALSE)/F30,2)*1200*$F$3,LOG(D30*VLOOKUP(C30,Master_Frequencies,2,FALSE)/F30,$F$3))</f>
        <v>-2.6668849235952834</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1.2613446228805718</v>
      </c>
      <c r="Q30" s="99">
        <v>4</v>
      </c>
      <c r="R30" s="18">
        <f t="shared" si="27"/>
        <v>1053.6169302999278</v>
      </c>
      <c r="S30" s="97">
        <v>1</v>
      </c>
      <c r="T30" s="4">
        <f t="shared" si="28"/>
        <v>526.80846514996392</v>
      </c>
      <c r="U30" s="18" t="str" cm="1">
        <f t="array" ref="U30">_xlfn.XLOOKUP(0,ABS($C$44:$C$56-T30),$B$44:$B$56,,1)</f>
        <v>c oct.</v>
      </c>
      <c r="V30" s="47">
        <f t="shared" ref="V30" si="45">LOG(T30/VLOOKUP(U30,Master_Frequencies,2,FALSE),2)*1200</f>
        <v>0</v>
      </c>
      <c r="X30" s="85" t="s">
        <v>76</v>
      </c>
      <c r="Y30" s="4">
        <f t="shared" ref="Y30" si="46">VLOOKUP(X30,Master_Frequencies,2,FALSE)/POWER(2,$Z$25)</f>
        <v>156.0913970814708</v>
      </c>
      <c r="Z30" s="47">
        <f t="shared" ref="Z30" si="47">VLOOKUP(X30,Master_Frequencies,2,FALSE)*POWER(2,$Z$25)</f>
        <v>624.36558832588321</v>
      </c>
    </row>
    <row r="31" spans="2:26" x14ac:dyDescent="0.2">
      <c r="B31" s="123" t="s">
        <v>4</v>
      </c>
      <c r="C31" s="145" t="s">
        <v>72</v>
      </c>
      <c r="D31" s="97">
        <v>1</v>
      </c>
      <c r="E31" s="4">
        <f t="shared" ref="E31" si="48">LOG(D31*VLOOKUP(C31,Master_Frequencies,2,FALSE)/VLOOKUP(B31,Master_Frequencies,2,FALSE),2)*1200</f>
        <v>407.82000346154967</v>
      </c>
      <c r="F31" s="4">
        <f t="shared" ref="F31" si="49">VLOOKUP(B31,Master_Frequencies,2,FALSE)*5/4</f>
        <v>411.10491412403832</v>
      </c>
      <c r="G31" s="47">
        <f t="shared" ref="G31" si="50">IF($D$2="Cents",LOG(VLOOKUP(C31,Master_Frequencies,2,FALSE)/F31,2)*1200*$F$3,LOG(D31*VLOOKUP(C31,Master_Frequencies,2,FALSE)/F31,$F$3))</f>
        <v>-3.6668849235953078</v>
      </c>
      <c r="I31" s="123" t="s">
        <v>4</v>
      </c>
      <c r="J31" s="145" t="s">
        <v>8</v>
      </c>
      <c r="K31" s="97">
        <v>1</v>
      </c>
      <c r="L31" s="191">
        <f t="shared" ref="L31" si="51">K31*VLOOKUP(J31,Master_Frequencies,2,FALSE)/VLOOKUP(I31,Master_Frequencies,2,FALSE)</f>
        <v>1.5</v>
      </c>
      <c r="M31" s="145" t="s">
        <v>4</v>
      </c>
      <c r="N31" s="145" t="s">
        <v>72</v>
      </c>
      <c r="O31" s="191">
        <f t="shared" ref="O31" si="52">D31*VLOOKUP(N31,Master_Frequencies,2,FALSE)/VLOOKUP(M31,Master_Frequencies,2,FALSE)</f>
        <v>1.265625</v>
      </c>
      <c r="Q31" s="99">
        <v>5</v>
      </c>
      <c r="R31" s="18">
        <f t="shared" si="27"/>
        <v>1317.0211628749098</v>
      </c>
      <c r="S31" s="97">
        <v>2</v>
      </c>
      <c r="T31" s="4">
        <f t="shared" si="28"/>
        <v>329.25529071872745</v>
      </c>
      <c r="U31" s="18" t="str" cm="1">
        <f t="array" ref="U31">_xlfn.XLOOKUP(0,ABS($C$44:$C$56-T31),$B$44:$B$56,,1)</f>
        <v>E</v>
      </c>
      <c r="V31" s="47">
        <f t="shared" ref="V31" si="53">LOG(T31/VLOOKUP(U31,Master_Frequencies,2,FALSE),2)*1200</f>
        <v>1.9537207879341596</v>
      </c>
      <c r="X31" s="85" t="s">
        <v>4</v>
      </c>
      <c r="Y31" s="4">
        <f t="shared" ref="Y31" si="54">VLOOKUP(X31,Master_Frequencies,2,FALSE)/POWER(2,$Z$25)</f>
        <v>164.44196564961533</v>
      </c>
      <c r="Z31" s="47">
        <f t="shared" ref="Z31" si="55">VLOOKUP(X31,Master_Frequencies,2,FALSE)*POWER(2,$Z$25)</f>
        <v>657.76786259846131</v>
      </c>
    </row>
    <row r="32" spans="2:26" x14ac:dyDescent="0.2">
      <c r="B32" s="123" t="s">
        <v>5</v>
      </c>
      <c r="C32" s="145" t="s">
        <v>7</v>
      </c>
      <c r="D32" s="97">
        <v>1</v>
      </c>
      <c r="E32" s="4">
        <f t="shared" ref="E32" si="56">LOG(D32*VLOOKUP(C32,Master_Frequencies,2,FALSE)/VLOOKUP(B32,Master_Frequencies,2,FALSE),2)*1200</f>
        <v>390.22499567306272</v>
      </c>
      <c r="F32" s="4">
        <f t="shared" ref="F32" si="57">VLOOKUP(B32,Master_Frequencies,2,FALSE)*5/4</f>
        <v>439.00705429163668</v>
      </c>
      <c r="G32" s="47">
        <f t="shared" ref="G32" si="58">IF($D$2="Cents",LOG(VLOOKUP(C32,Master_Frequencies,2,FALSE)/F32,2)*1200*$F$3,LOG(D32*VLOOKUP(C32,Master_Frequencies,2,FALSE)/F32,$F$3))</f>
        <v>-0.66688492359523566</v>
      </c>
      <c r="I32" s="123" t="s">
        <v>5</v>
      </c>
      <c r="J32" s="145" t="s">
        <v>78</v>
      </c>
      <c r="K32" s="97">
        <v>1</v>
      </c>
      <c r="L32" s="191">
        <f t="shared" ref="L32" si="59">K32*VLOOKUP(J32,Master_Frequencies,2,FALSE)/VLOOKUP(I32,Master_Frequencies,2,FALSE)</f>
        <v>1.4999999999999998</v>
      </c>
      <c r="M32" s="145" t="s">
        <v>5</v>
      </c>
      <c r="N32" s="145" t="s">
        <v>7</v>
      </c>
      <c r="O32" s="191">
        <f t="shared" ref="O32" si="60">D32*VLOOKUP(N32,Master_Frequencies,2,FALSE)/VLOOKUP(M32,Master_Frequencies,2,FALSE)</f>
        <v>1.2528272487271463</v>
      </c>
      <c r="Q32" s="99">
        <v>6</v>
      </c>
      <c r="R32" s="18">
        <f t="shared" si="27"/>
        <v>1580.4253954498918</v>
      </c>
      <c r="S32" s="97">
        <v>2</v>
      </c>
      <c r="T32" s="4">
        <f t="shared" si="28"/>
        <v>395.10634886247294</v>
      </c>
      <c r="U32" s="18" t="str" cm="1">
        <f t="array" ref="U32">_xlfn.XLOOKUP(0,ABS($C$44:$C$56-T32),$B$44:$B$56,,1)</f>
        <v>G</v>
      </c>
      <c r="V32" s="47">
        <f t="shared" ref="V32" si="61">LOG(T32/VLOOKUP(U32,Master_Frequencies,2,FALSE),2)*1200</f>
        <v>5.8650025961623031</v>
      </c>
      <c r="X32" s="85" t="s">
        <v>5</v>
      </c>
      <c r="Y32" s="4">
        <f t="shared" ref="Y32" si="62">VLOOKUP(X32,Master_Frequencies,2,FALSE)/POWER(2,$Z$25)</f>
        <v>175.60282171665466</v>
      </c>
      <c r="Z32" s="47">
        <f t="shared" ref="Z32" si="63">VLOOKUP(X32,Master_Frequencies,2,FALSE)*POWER(2,$Z$25)</f>
        <v>702.41128686661864</v>
      </c>
    </row>
    <row r="33" spans="2:26" x14ac:dyDescent="0.2">
      <c r="B33" s="123" t="s">
        <v>70</v>
      </c>
      <c r="C33" s="145" t="s">
        <v>73</v>
      </c>
      <c r="D33" s="97">
        <v>1</v>
      </c>
      <c r="E33" s="4">
        <f t="shared" ref="E33" si="64">LOG(D33*VLOOKUP(C33,Master_Frequencies,2,FALSE)/VLOOKUP(B33,Master_Frequencies,2,FALSE),2)*1200</f>
        <v>407.82000346154996</v>
      </c>
      <c r="F33" s="4">
        <f t="shared" ref="F33" si="65">VLOOKUP(B33,Master_Frequencies,2,FALSE)*5/4</f>
        <v>462.49302838954304</v>
      </c>
      <c r="G33" s="47">
        <f t="shared" ref="G33" si="66">IF($D$2="Cents",LOG(VLOOKUP(C33,Master_Frequencies,2,FALSE)/F33,2)*1200*$F$3,LOG(D33*VLOOKUP(C33,Master_Frequencies,2,FALSE)/F33,$F$3))</f>
        <v>-3.6668849235953722</v>
      </c>
      <c r="I33" s="123" t="s">
        <v>70</v>
      </c>
      <c r="J33" s="145" t="s">
        <v>74</v>
      </c>
      <c r="K33" s="97">
        <v>2</v>
      </c>
      <c r="L33" s="191">
        <f t="shared" ref="L33" si="67">K33*VLOOKUP(J33,Master_Frequencies,2,FALSE)/VLOOKUP(I33,Master_Frequencies,2,FALSE)</f>
        <v>1.5000000000000002</v>
      </c>
      <c r="M33" s="145" t="s">
        <v>70</v>
      </c>
      <c r="N33" s="145" t="s">
        <v>73</v>
      </c>
      <c r="O33" s="191">
        <f t="shared" ref="O33" si="68">D33*VLOOKUP(N33,Master_Frequencies,2,FALSE)/VLOOKUP(M33,Master_Frequencies,2,FALSE)</f>
        <v>1.2656250000000002</v>
      </c>
      <c r="Q33" s="99">
        <v>7</v>
      </c>
      <c r="R33" s="18">
        <f t="shared" si="27"/>
        <v>1843.8296280248737</v>
      </c>
      <c r="S33" s="97">
        <v>2</v>
      </c>
      <c r="T33" s="4">
        <f t="shared" si="28"/>
        <v>460.95740700621843</v>
      </c>
      <c r="U33" s="18" t="str" cm="1">
        <f t="array" ref="U33">_xlfn.XLOOKUP(0,ABS($C$44:$C$56-T33),$B$44:$B$56,,1)</f>
        <v>A#</v>
      </c>
      <c r="V33" s="47">
        <f t="shared" ref="V33" si="69">LOG(T33/VLOOKUP(U33,Master_Frequencies,2,FALSE),2)*1200</f>
        <v>-27.264091800100434</v>
      </c>
      <c r="X33" s="85" t="s">
        <v>70</v>
      </c>
      <c r="Y33" s="4">
        <f t="shared" ref="Y33" si="70">VLOOKUP(X33,Master_Frequencies,2,FALSE)/POWER(2,$Z$25)</f>
        <v>184.99721135581723</v>
      </c>
      <c r="Z33" s="47">
        <f t="shared" ref="Z33" si="71">VLOOKUP(X33,Master_Frequencies,2,FALSE)*POWER(2,$Z$25)</f>
        <v>739.98884542326891</v>
      </c>
    </row>
    <row r="34" spans="2:26" x14ac:dyDescent="0.2">
      <c r="B34" s="123" t="s">
        <v>6</v>
      </c>
      <c r="C34" s="145" t="s">
        <v>8</v>
      </c>
      <c r="D34" s="97">
        <v>1</v>
      </c>
      <c r="E34" s="4">
        <f t="shared" ref="E34" si="72">LOG(D34*VLOOKUP(C34,Master_Frequencies,2,FALSE)/VLOOKUP(B34,Master_Frequencies,2,FALSE),2)*1200</f>
        <v>390.22499567306272</v>
      </c>
      <c r="F34" s="4">
        <f t="shared" ref="F34" si="73">VLOOKUP(B34,Master_Frequencies,2,FALSE)*5/4</f>
        <v>492.21261096657344</v>
      </c>
      <c r="G34" s="47">
        <f t="shared" ref="G34" si="74">IF($D$2="Cents",LOG(VLOOKUP(C34,Master_Frequencies,2,FALSE)/F34,2)*1200*$F$3,LOG(D34*VLOOKUP(C34,Master_Frequencies,2,FALSE)/F34,$F$3))</f>
        <v>-0.66688492359530105</v>
      </c>
      <c r="I34" s="123" t="s">
        <v>6</v>
      </c>
      <c r="J34" s="145" t="s">
        <v>3</v>
      </c>
      <c r="K34" s="97">
        <v>2</v>
      </c>
      <c r="L34" s="191">
        <f t="shared" ref="L34" si="75">K34*VLOOKUP(J34,Master_Frequencies,2,FALSE)/VLOOKUP(I34,Master_Frequencies,2,FALSE)</f>
        <v>1.494926960451048</v>
      </c>
      <c r="M34" s="145" t="s">
        <v>6</v>
      </c>
      <c r="N34" s="145" t="s">
        <v>8</v>
      </c>
      <c r="O34" s="191">
        <f t="shared" ref="O34" si="76">D34*VLOOKUP(N34,Master_Frequencies,2,FALSE)/VLOOKUP(M34,Master_Frequencies,2,FALSE)</f>
        <v>1.2528272487271463</v>
      </c>
      <c r="Q34" s="99">
        <v>8</v>
      </c>
      <c r="R34" s="18">
        <f t="shared" si="27"/>
        <v>2107.2338605998557</v>
      </c>
      <c r="S34" s="97">
        <v>3</v>
      </c>
      <c r="T34" s="4">
        <f t="shared" si="28"/>
        <v>263.40423257498196</v>
      </c>
      <c r="U34" s="18" t="str" cm="1">
        <f t="array" ref="U34">_xlfn.XLOOKUP(0,ABS($C$44:$C$56-T34),$B$44:$B$56,,1)</f>
        <v>C</v>
      </c>
      <c r="V34" s="47">
        <f t="shared" ref="V34" si="77">LOG(T34/VLOOKUP(U34,Master_Frequencies,2,FALSE),2)*1200</f>
        <v>0</v>
      </c>
      <c r="X34" s="85" t="s">
        <v>6</v>
      </c>
      <c r="Y34" s="4">
        <f t="shared" ref="Y34" si="78">VLOOKUP(X34,Master_Frequencies,2,FALSE)/POWER(2,$Z$25)</f>
        <v>196.88504438662937</v>
      </c>
      <c r="Z34" s="47">
        <f t="shared" ref="Z34" si="79">VLOOKUP(X34,Master_Frequencies,2,FALSE)*POWER(2,$Z$25)</f>
        <v>787.5401775465175</v>
      </c>
    </row>
    <row r="35" spans="2:26" x14ac:dyDescent="0.2">
      <c r="B35" s="123" t="s">
        <v>72</v>
      </c>
      <c r="C35" s="145" t="s">
        <v>78</v>
      </c>
      <c r="D35" s="97">
        <v>1</v>
      </c>
      <c r="E35" s="4">
        <f t="shared" ref="E35" si="80">LOG(D35*VLOOKUP(C35,Master_Frequencies,2,FALSE)/VLOOKUP(B35,Master_Frequencies,2,FALSE),2)*1200</f>
        <v>407.82000346154967</v>
      </c>
      <c r="F35" s="4">
        <f t="shared" ref="F35" si="81">VLOOKUP(B35,Master_Frequencies,2,FALSE)*5/4</f>
        <v>520.30465693823601</v>
      </c>
      <c r="G35" s="47">
        <f t="shared" ref="G35" si="82">IF($D$2="Cents",LOG(VLOOKUP(C35,Master_Frequencies,2,FALSE)/F35,2)*1200*$F$3,LOG(D35*VLOOKUP(C35,Master_Frequencies,2,FALSE)/F35,$F$3))</f>
        <v>-3.6668849235953078</v>
      </c>
      <c r="I35" s="123" t="s">
        <v>72</v>
      </c>
      <c r="J35" s="145" t="s">
        <v>76</v>
      </c>
      <c r="K35" s="97">
        <v>2</v>
      </c>
      <c r="L35" s="191">
        <f t="shared" ref="L35" si="83">K35*VLOOKUP(J35,Master_Frequencies,2,FALSE)/VLOOKUP(I35,Master_Frequencies,2,FALSE)</f>
        <v>1.5</v>
      </c>
      <c r="M35" s="145" t="s">
        <v>72</v>
      </c>
      <c r="N35" s="145" t="s">
        <v>78</v>
      </c>
      <c r="O35" s="191">
        <f t="shared" ref="O35" si="84">D35*VLOOKUP(N35,Master_Frequencies,2,FALSE)/VLOOKUP(M35,Master_Frequencies,2,FALSE)</f>
        <v>1.265625</v>
      </c>
      <c r="Q35" s="99">
        <v>9</v>
      </c>
      <c r="R35" s="18">
        <f t="shared" si="27"/>
        <v>2370.6380931748376</v>
      </c>
      <c r="S35" s="97">
        <v>3</v>
      </c>
      <c r="T35" s="4">
        <f t="shared" si="28"/>
        <v>296.32976164685471</v>
      </c>
      <c r="U35" s="18" t="str" cm="1">
        <f t="array" ref="U35">_xlfn.XLOOKUP(0,ABS($C$44:$C$56-T35),$B$44:$B$56,,1)</f>
        <v>D</v>
      </c>
      <c r="V35" s="47">
        <f t="shared" ref="V35" si="85">LOG(T35/VLOOKUP(U35,Master_Frequencies,2,FALSE),2)*1200</f>
        <v>11.730005192324361</v>
      </c>
      <c r="X35" s="85" t="s">
        <v>72</v>
      </c>
      <c r="Y35" s="4">
        <f t="shared" ref="Y35" si="86">VLOOKUP(X35,Master_Frequencies,2,FALSE)/POWER(2,$Z$25)</f>
        <v>208.1218627752944</v>
      </c>
      <c r="Z35" s="47">
        <f t="shared" ref="Z35" si="87">VLOOKUP(X35,Master_Frequencies,2,FALSE)*POWER(2,$Z$25)</f>
        <v>832.48745110117761</v>
      </c>
    </row>
    <row r="36" spans="2:26" x14ac:dyDescent="0.2">
      <c r="B36" s="123" t="s">
        <v>7</v>
      </c>
      <c r="C36" s="145" t="s">
        <v>74</v>
      </c>
      <c r="D36" s="97">
        <v>2</v>
      </c>
      <c r="E36" s="4">
        <f t="shared" ref="E36" si="88">LOG(D36*VLOOKUP(C36,Master_Frequencies,2,FALSE)/VLOOKUP(B36,Master_Frequencies,2,FALSE),2)*1200</f>
        <v>401.95500086538777</v>
      </c>
      <c r="F36" s="4">
        <f t="shared" ref="F36" si="89">VLOOKUP(B36,Master_Frequencies,2,FALSE)*5/4</f>
        <v>550.00000000000011</v>
      </c>
      <c r="G36" s="47">
        <f t="shared" ref="G36" si="90">IF($D$2="Cents",LOG(VLOOKUP(C36,Master_Frequencies,2,FALSE)/F36,2)*1200*$F$3,LOG(D36*VLOOKUP(C36,Master_Frequencies,2,FALSE)/F36,$F$3))</f>
        <v>-2.6668849235953482</v>
      </c>
      <c r="I36" s="123" t="s">
        <v>7</v>
      </c>
      <c r="J36" s="145" t="s">
        <v>4</v>
      </c>
      <c r="K36" s="97">
        <v>2</v>
      </c>
      <c r="L36" s="191">
        <f t="shared" ref="L36" si="91">K36*VLOOKUP(J36,Master_Frequencies,2,FALSE)/VLOOKUP(I36,Master_Frequencies,2,FALSE)</f>
        <v>1.4949269604510482</v>
      </c>
      <c r="M36" s="145" t="s">
        <v>7</v>
      </c>
      <c r="N36" s="145" t="s">
        <v>74</v>
      </c>
      <c r="O36" s="191">
        <f t="shared" ref="O36" si="92">D36*VLOOKUP(N36,Master_Frequencies,2,FALSE)/VLOOKUP(M36,Master_Frequencies,2,FALSE)</f>
        <v>1.261344622880572</v>
      </c>
      <c r="Q36" s="99">
        <v>10</v>
      </c>
      <c r="R36" s="18">
        <f t="shared" si="27"/>
        <v>2634.0423257498196</v>
      </c>
      <c r="S36" s="97">
        <v>3</v>
      </c>
      <c r="T36" s="4">
        <f t="shared" si="28"/>
        <v>329.25529071872745</v>
      </c>
      <c r="U36" s="18" t="str" cm="1">
        <f t="array" ref="U36">_xlfn.XLOOKUP(0,ABS($C$44:$C$56-T36),$B$44:$B$56,,1)</f>
        <v>E</v>
      </c>
      <c r="V36" s="47">
        <f t="shared" ref="V36" si="93">LOG(T36/VLOOKUP(U36,Master_Frequencies,2,FALSE),2)*1200</f>
        <v>1.9537207879341596</v>
      </c>
      <c r="X36" s="85" t="s">
        <v>7</v>
      </c>
      <c r="Y36" s="4">
        <f t="shared" ref="Y36" si="94">VLOOKUP(X36,Master_Frequencies,2,FALSE)/POWER(2,$Z$25)</f>
        <v>220.00000000000003</v>
      </c>
      <c r="Z36" s="47">
        <f t="shared" ref="Z36" si="95">VLOOKUP(X36,Master_Frequencies,2,FALSE)*POWER(2,$Z$25)</f>
        <v>880.00000000000011</v>
      </c>
    </row>
    <row r="37" spans="2:26" x14ac:dyDescent="0.2">
      <c r="B37" s="123" t="s">
        <v>73</v>
      </c>
      <c r="C37" s="145" t="s">
        <v>3</v>
      </c>
      <c r="D37" s="97">
        <v>2</v>
      </c>
      <c r="E37" s="4">
        <f t="shared" ref="E37" si="96">LOG(D37*VLOOKUP(C37,Master_Frequencies,2,FALSE)/VLOOKUP(B37,Master_Frequencies,2,FALSE),2)*1200</f>
        <v>396.08999826922508</v>
      </c>
      <c r="F37" s="4">
        <f t="shared" ref="F37" si="97">VLOOKUP(B37,Master_Frequencies,2,FALSE)*5/4</f>
        <v>585.34273905551549</v>
      </c>
      <c r="G37" s="47">
        <f t="shared" ref="G37" si="98">IF($D$2="Cents",LOG(VLOOKUP(C37,Master_Frequencies,2,FALSE)/F37,2)*1200*$F$3,LOG(D37*VLOOKUP(C37,Master_Frequencies,2,FALSE)/F37,$F$3))</f>
        <v>-1.666884923595346</v>
      </c>
      <c r="I37" s="123" t="s">
        <v>73</v>
      </c>
      <c r="J37" s="145" t="s">
        <v>5</v>
      </c>
      <c r="K37" s="97">
        <v>2</v>
      </c>
      <c r="L37" s="191">
        <f t="shared" ref="L37" si="99">K37*VLOOKUP(J37,Master_Frequencies,2,FALSE)/VLOOKUP(I37,Master_Frequencies,2,FALSE)</f>
        <v>1.5</v>
      </c>
      <c r="M37" s="145" t="s">
        <v>73</v>
      </c>
      <c r="N37" s="145" t="s">
        <v>3</v>
      </c>
      <c r="O37" s="191">
        <f t="shared" ref="O37" si="100">D37*VLOOKUP(N37,Master_Frequencies,2,FALSE)/VLOOKUP(M37,Master_Frequencies,2,FALSE)</f>
        <v>1.2570787221094177</v>
      </c>
      <c r="Q37" s="99">
        <v>11</v>
      </c>
      <c r="R37" s="18">
        <f t="shared" si="27"/>
        <v>2897.4465583248016</v>
      </c>
      <c r="S37" s="97">
        <v>3</v>
      </c>
      <c r="T37" s="4">
        <f t="shared" si="28"/>
        <v>362.1808197906002</v>
      </c>
      <c r="U37" s="18" t="str" cm="1">
        <f t="array" ref="U37">_xlfn.XLOOKUP(0,ABS($C$44:$C$56-T37),$B$44:$B$56,,1)</f>
        <v>F#</v>
      </c>
      <c r="V37" s="47">
        <f t="shared" ref="V37" si="101">LOG(T37/VLOOKUP(U37,Master_Frequencies,2,FALSE),2)*1200</f>
        <v>-36.952052442918792</v>
      </c>
      <c r="X37" s="85" t="s">
        <v>73</v>
      </c>
      <c r="Y37" s="4">
        <f t="shared" ref="Y37" si="102">VLOOKUP(X37,Master_Frequencies,2,FALSE)/POWER(2,$Z$25)</f>
        <v>234.1370956222062</v>
      </c>
      <c r="Z37" s="47">
        <f t="shared" ref="Z37" si="103">VLOOKUP(X37,Master_Frequencies,2,FALSE)*POWER(2,$Z$25)</f>
        <v>936.54838248882481</v>
      </c>
    </row>
    <row r="38" spans="2:26" x14ac:dyDescent="0.2">
      <c r="B38" s="124" t="s">
        <v>8</v>
      </c>
      <c r="C38" s="153" t="s">
        <v>76</v>
      </c>
      <c r="D38" s="98">
        <v>2</v>
      </c>
      <c r="E38" s="53">
        <f t="shared" ref="E38" si="104">LOG(D38*VLOOKUP(C38,Master_Frequencies,2,FALSE)/VLOOKUP(B38,Master_Frequencies,2,FALSE),2)*1200</f>
        <v>407.82000346154967</v>
      </c>
      <c r="F38" s="53">
        <f t="shared" ref="F38" si="105">VLOOKUP(B38,Master_Frequencies,2,FALSE)*5/4</f>
        <v>616.6573711860575</v>
      </c>
      <c r="G38" s="48">
        <f t="shared" ref="G38" si="106">IF($D$2="Cents",LOG(VLOOKUP(C38,Master_Frequencies,2,FALSE)/F38,2)*1200*$F$3,LOG(D38*VLOOKUP(C38,Master_Frequencies,2,FALSE)/F38,$F$3))</f>
        <v>-3.6668849235953078</v>
      </c>
      <c r="I38" s="124" t="s">
        <v>8</v>
      </c>
      <c r="J38" s="153" t="s">
        <v>70</v>
      </c>
      <c r="K38" s="98">
        <v>2</v>
      </c>
      <c r="L38" s="192">
        <f t="shared" ref="L38" si="107">K38*VLOOKUP(J38,Master_Frequencies,2,FALSE)/VLOOKUP(I38,Master_Frequencies,2,FALSE)</f>
        <v>1.4999999999999998</v>
      </c>
      <c r="M38" s="153" t="s">
        <v>8</v>
      </c>
      <c r="N38" s="153" t="s">
        <v>76</v>
      </c>
      <c r="O38" s="192">
        <f t="shared" ref="O38" si="108">D38*VLOOKUP(N38,Master_Frequencies,2,FALSE)/VLOOKUP(M38,Master_Frequencies,2,FALSE)</f>
        <v>1.265625</v>
      </c>
      <c r="Q38" s="99">
        <v>12</v>
      </c>
      <c r="R38" s="18">
        <f t="shared" si="27"/>
        <v>3160.8507908997835</v>
      </c>
      <c r="S38" s="97">
        <v>3</v>
      </c>
      <c r="T38" s="4">
        <f t="shared" si="28"/>
        <v>395.10634886247294</v>
      </c>
      <c r="U38" s="18" t="str" cm="1">
        <f t="array" ref="U38">_xlfn.XLOOKUP(0,ABS($C$44:$C$56-T38),$B$44:$B$56,,1)</f>
        <v>G</v>
      </c>
      <c r="V38" s="47">
        <f t="shared" ref="V38" si="109">LOG(T38/VLOOKUP(U38,Master_Frequencies,2,FALSE),2)*1200</f>
        <v>5.8650025961623031</v>
      </c>
      <c r="X38" s="85" t="s">
        <v>8</v>
      </c>
      <c r="Y38" s="4">
        <f t="shared" ref="Y38" si="110">VLOOKUP(X38,Master_Frequencies,2,FALSE)/POWER(2,$Z$25)</f>
        <v>246.66294847442299</v>
      </c>
      <c r="Z38" s="47">
        <f t="shared" ref="Z38" si="111">VLOOKUP(X38,Master_Frequencies,2,FALSE)*POWER(2,$Z$25)</f>
        <v>986.65179389769196</v>
      </c>
    </row>
    <row r="39" spans="2:26" x14ac:dyDescent="0.2">
      <c r="Q39" s="100">
        <v>13</v>
      </c>
      <c r="R39" s="50">
        <f t="shared" si="27"/>
        <v>3424.2550234747655</v>
      </c>
      <c r="S39" s="98">
        <v>3</v>
      </c>
      <c r="T39" s="53">
        <f t="shared" si="28"/>
        <v>428.03187793434569</v>
      </c>
      <c r="U39" s="50" t="str" cm="1">
        <f t="array" ref="U39">_xlfn.XLOOKUP(0,ABS($C$44:$C$56-T39),$B$44:$B$56,,1)</f>
        <v>G#</v>
      </c>
      <c r="V39" s="48">
        <f t="shared" ref="V39" si="112">LOG(T39/VLOOKUP(U39,Master_Frequencies,2,FALSE),2)*1200</f>
        <v>48.347665230860265</v>
      </c>
      <c r="X39" s="87" t="s">
        <v>78</v>
      </c>
      <c r="Y39" s="53">
        <f t="shared" ref="Y39" si="113">VLOOKUP(X39,Master_Frequencies,2,FALSE)/POWER(2,$Z$25)</f>
        <v>263.40423257498196</v>
      </c>
      <c r="Z39" s="48">
        <f t="shared" ref="Z39" si="114">VLOOKUP(X39,Master_Frequencies,2,FALSE)*POWER(2,$Z$25)</f>
        <v>1053.6169302999278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263.40423257498196</v>
      </c>
    </row>
    <row r="45" spans="2:26" x14ac:dyDescent="0.2">
      <c r="B45" s="92" t="s">
        <v>74</v>
      </c>
      <c r="C45" s="93">
        <f t="shared" ref="C45:C56" si="115">VLOOKUP(B45,$B$9:$H$21,7,FALSE)</f>
        <v>277.49581703372587</v>
      </c>
    </row>
    <row r="46" spans="2:26" x14ac:dyDescent="0.2">
      <c r="B46" s="92" t="s">
        <v>3</v>
      </c>
      <c r="C46" s="93">
        <f t="shared" si="115"/>
        <v>294.32876096317352</v>
      </c>
    </row>
    <row r="47" spans="2:26" x14ac:dyDescent="0.2">
      <c r="B47" s="92" t="s">
        <v>76</v>
      </c>
      <c r="C47" s="93">
        <f t="shared" si="115"/>
        <v>312.1827941629416</v>
      </c>
    </row>
    <row r="48" spans="2:26" x14ac:dyDescent="0.2">
      <c r="B48" s="92" t="s">
        <v>4</v>
      </c>
      <c r="C48" s="93">
        <f t="shared" si="115"/>
        <v>328.88393129923065</v>
      </c>
    </row>
    <row r="49" spans="2:3" x14ac:dyDescent="0.2">
      <c r="B49" s="92" t="s">
        <v>5</v>
      </c>
      <c r="C49" s="93">
        <f t="shared" si="115"/>
        <v>351.20564343330932</v>
      </c>
    </row>
    <row r="50" spans="2:3" x14ac:dyDescent="0.2">
      <c r="B50" s="92" t="s">
        <v>70</v>
      </c>
      <c r="C50" s="93">
        <f t="shared" si="115"/>
        <v>369.99442271163446</v>
      </c>
    </row>
    <row r="51" spans="2:3" x14ac:dyDescent="0.2">
      <c r="B51" s="92" t="s">
        <v>6</v>
      </c>
      <c r="C51" s="93">
        <f t="shared" si="115"/>
        <v>393.77008877325875</v>
      </c>
    </row>
    <row r="52" spans="2:3" x14ac:dyDescent="0.2">
      <c r="B52" s="92" t="s">
        <v>72</v>
      </c>
      <c r="C52" s="93">
        <f t="shared" si="115"/>
        <v>416.24372555058881</v>
      </c>
    </row>
    <row r="53" spans="2:3" x14ac:dyDescent="0.2">
      <c r="B53" s="92" t="s">
        <v>7</v>
      </c>
      <c r="C53" s="93">
        <f t="shared" si="115"/>
        <v>440.00000000000006</v>
      </c>
    </row>
    <row r="54" spans="2:3" x14ac:dyDescent="0.2">
      <c r="B54" s="92" t="s">
        <v>73</v>
      </c>
      <c r="C54" s="93">
        <f t="shared" si="115"/>
        <v>468.27419124441241</v>
      </c>
    </row>
    <row r="55" spans="2:3" x14ac:dyDescent="0.2">
      <c r="B55" s="92" t="s">
        <v>8</v>
      </c>
      <c r="C55" s="93">
        <f t="shared" si="115"/>
        <v>493.32589694884598</v>
      </c>
    </row>
    <row r="56" spans="2:3" ht="16" thickBot="1" x14ac:dyDescent="0.25">
      <c r="B56" s="94" t="s">
        <v>78</v>
      </c>
      <c r="C56" s="95">
        <f t="shared" si="115"/>
        <v>526.80846514996392</v>
      </c>
    </row>
    <row r="57" spans="2:3" ht="16" thickTop="1" x14ac:dyDescent="0.2"/>
  </sheetData>
  <sheetProtection sheet="1" scenarios="1" formatCells="0"/>
  <mergeCells count="9">
    <mergeCell ref="B1:G1"/>
    <mergeCell ref="B7:H7"/>
    <mergeCell ref="J7:N7"/>
    <mergeCell ref="P7:U7"/>
    <mergeCell ref="X24:Z24"/>
    <mergeCell ref="B25:D25"/>
    <mergeCell ref="I25:O25"/>
    <mergeCell ref="Q25:V25"/>
    <mergeCell ref="B42:C42"/>
  </mergeCells>
  <conditionalFormatting sqref="A1 H1:XFD1 A2:XFD1048576">
    <cfRule type="expression" dxfId="69" priority="1">
      <formula>CELL("protect",A1)=0</formula>
    </cfRule>
    <cfRule type="expression" dxfId="68"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58A02E4A-A5F8-D840-9455-5DA4482B57BC}">
      <formula1>Units</formula1>
    </dataValidation>
  </dataValidations>
  <hyperlinks>
    <hyperlink ref="B40" location="Overview!A1" display="Back to Overview" xr:uid="{9E09D05B-B712-5F41-B680-D4C601A41B21}"/>
    <hyperlink ref="B4" location="Overview!A1" display="Back to Overview" xr:uid="{AFB12FD4-07D8-884E-A453-4754D30B6AED}"/>
  </hyperlink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B1A8-0C80-EF4F-BD51-4D5F75BE3E93}">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586</v>
      </c>
      <c r="C1" s="289"/>
      <c r="D1" s="289"/>
      <c r="E1" s="289"/>
      <c r="F1" s="289"/>
      <c r="G1" s="289"/>
      <c r="P1" s="4" t="s">
        <v>478</v>
      </c>
    </row>
    <row r="2" spans="2:23" s="70" customFormat="1" ht="32" x14ac:dyDescent="0.2">
      <c r="D2" s="154" t="s">
        <v>48</v>
      </c>
      <c r="E2" s="72" t="str">
        <f>D2</f>
        <v>Syntonic Comma</v>
      </c>
      <c r="F2" s="72" t="str">
        <f>_xlfn.CONCAT("1/",D3," ",D2)</f>
        <v>1/4 Syntonic Comma</v>
      </c>
      <c r="G2" s="102"/>
      <c r="H2" s="103" t="s">
        <v>143</v>
      </c>
      <c r="I2" s="161">
        <v>440</v>
      </c>
      <c r="J2" s="103" t="str">
        <f>_xlfn.CONCAT("C for A=", I2,":")</f>
        <v>C for A=440:</v>
      </c>
      <c r="K2" s="70">
        <f>I2*2*8/27*POWER($F$3,$D$12-$D$9)</f>
        <v>263.18138549493494</v>
      </c>
      <c r="L2" s="103"/>
      <c r="U2" s="103"/>
      <c r="V2" s="103"/>
      <c r="W2" s="103"/>
    </row>
    <row r="3" spans="2:23" ht="16" x14ac:dyDescent="0.2">
      <c r="B3" s="105"/>
      <c r="C3" s="74" t="s">
        <v>125</v>
      </c>
      <c r="D3" s="155">
        <v>4</v>
      </c>
      <c r="E3" s="1">
        <f>IF(D2="Pythagorean Comma",524288/531441,IF(D2="Syntonic Comma",80/81,IF(D2="Cents",1/POWER(2,1/1200),"Not in List")))</f>
        <v>0.98765432098765427</v>
      </c>
      <c r="F3" s="132">
        <f>POWER(E3,1/D3)</f>
        <v>0.99689918748081363</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248">
        <v>0</v>
      </c>
      <c r="D9" s="4">
        <f>C9</f>
        <v>0</v>
      </c>
      <c r="E9" s="109">
        <f>K2</f>
        <v>263.18138549493494</v>
      </c>
      <c r="G9" s="97">
        <v>0</v>
      </c>
      <c r="H9" s="188">
        <f t="shared" ref="H9:H21" si="0">E9/POWER(2,G9)</f>
        <v>263.18138549493494</v>
      </c>
      <c r="J9" s="85" t="s">
        <v>2</v>
      </c>
      <c r="K9" s="4">
        <f t="shared" ref="K9:K21" si="1">VLOOKUP(J9,Master_Frequencies,2,FALSE)</f>
        <v>263.18138549493494</v>
      </c>
      <c r="L9" s="4">
        <f t="shared" ref="L9:L21" si="2">LOG(K9/K$9,2)*1200</f>
        <v>0</v>
      </c>
      <c r="N9" s="158">
        <v>3600</v>
      </c>
      <c r="P9" s="123" t="str">
        <f>J9</f>
        <v>C</v>
      </c>
      <c r="Q9" s="4">
        <f>E9</f>
        <v>263.18138549493494</v>
      </c>
      <c r="R9" s="4">
        <f>LOG(K9/Q9,2)*1200</f>
        <v>0</v>
      </c>
      <c r="S9" s="145" t="str">
        <f t="shared" ref="S9:S21" si="3">B9</f>
        <v>C</v>
      </c>
      <c r="T9" s="4">
        <f t="shared" ref="T9:T21" si="4">VLOOKUP(S9,Master_Frequencies,2,FALSE)</f>
        <v>263.18138549493494</v>
      </c>
      <c r="U9" s="47">
        <f t="shared" ref="U9:U21" si="5">VLOOKUP(S9,$P$9:$R$21,3,FALSE)</f>
        <v>0</v>
      </c>
    </row>
    <row r="10" spans="2:23" x14ac:dyDescent="0.2">
      <c r="B10" s="107" t="s">
        <v>6</v>
      </c>
      <c r="C10" s="248">
        <v>-1</v>
      </c>
      <c r="D10" s="4">
        <f>D9+C10</f>
        <v>-1</v>
      </c>
      <c r="E10" s="4">
        <f t="shared" ref="E10:E21" si="6">IF(C10&lt;0,(E9*3/2)*POWER($F$3,ABS(C10)),(E9*3/2)*POWER(1/$F$3,ABS(C10)))</f>
        <v>393.54796403996318</v>
      </c>
      <c r="F10" s="4">
        <f t="shared" ref="F10:F21" si="7">LOG(E10/E9,2)*1200</f>
        <v>696.57842846620861</v>
      </c>
      <c r="G10" s="97">
        <v>0</v>
      </c>
      <c r="H10" s="188">
        <f t="shared" si="0"/>
        <v>393.54796403996318</v>
      </c>
      <c r="J10" s="85" t="s">
        <v>74</v>
      </c>
      <c r="K10" s="4">
        <f t="shared" si="1"/>
        <v>277.26104809342939</v>
      </c>
      <c r="L10" s="4">
        <f t="shared" si="2"/>
        <v>90.224995673062693</v>
      </c>
      <c r="M10" s="4">
        <f t="shared" ref="M10:M21" si="8">LOG(K10/K9,2)*1200</f>
        <v>90.224995673062693</v>
      </c>
      <c r="N10" s="47">
        <f t="shared" ref="N10:N21" si="9">N$9*K$9/K10</f>
        <v>3417.1875</v>
      </c>
      <c r="P10" s="123" t="str">
        <f t="shared" ref="P10:P21" si="10">J10</f>
        <v>C#</v>
      </c>
      <c r="Q10" s="4">
        <f t="shared" ref="Q10:Q21" si="11">Q9*POWER($Q$9*2/$Q$9,1/12)</f>
        <v>278.83096505423032</v>
      </c>
      <c r="R10" s="4">
        <f t="shared" ref="R10:R21" si="12">LOG(K10/Q10,2)*1200</f>
        <v>-9.7750043269371272</v>
      </c>
      <c r="S10" s="145" t="str">
        <f t="shared" si="3"/>
        <v>G</v>
      </c>
      <c r="T10" s="4">
        <f t="shared" si="4"/>
        <v>393.54796403996318</v>
      </c>
      <c r="U10" s="47">
        <f t="shared" si="5"/>
        <v>-3.4215715337915875</v>
      </c>
    </row>
    <row r="11" spans="2:23" x14ac:dyDescent="0.2">
      <c r="B11" s="107" t="s">
        <v>3</v>
      </c>
      <c r="C11" s="248">
        <v>-1</v>
      </c>
      <c r="D11" s="4">
        <f t="shared" ref="D11:D21" si="13">D10+C11</f>
        <v>-2</v>
      </c>
      <c r="E11" s="4">
        <f t="shared" si="6"/>
        <v>588.49146837925173</v>
      </c>
      <c r="F11" s="4">
        <f t="shared" si="7"/>
        <v>696.57842846620895</v>
      </c>
      <c r="G11" s="97">
        <v>1</v>
      </c>
      <c r="H11" s="188">
        <f t="shared" si="0"/>
        <v>294.24573418962586</v>
      </c>
      <c r="J11" s="85" t="s">
        <v>3</v>
      </c>
      <c r="K11" s="4">
        <f t="shared" si="1"/>
        <v>294.24573418962586</v>
      </c>
      <c r="L11" s="4">
        <f t="shared" si="2"/>
        <v>193.1568569324175</v>
      </c>
      <c r="M11" s="4">
        <f t="shared" si="8"/>
        <v>102.93186125935478</v>
      </c>
      <c r="N11" s="47">
        <f t="shared" si="9"/>
        <v>3219.9378875996968</v>
      </c>
      <c r="P11" s="123" t="str">
        <f t="shared" si="10"/>
        <v>D</v>
      </c>
      <c r="Q11" s="4">
        <f t="shared" si="11"/>
        <v>295.4111170395434</v>
      </c>
      <c r="R11" s="4">
        <f t="shared" si="12"/>
        <v>-6.8431430675824663</v>
      </c>
      <c r="S11" s="145" t="str">
        <f t="shared" si="3"/>
        <v>D</v>
      </c>
      <c r="T11" s="4">
        <f t="shared" si="4"/>
        <v>294.24573418962586</v>
      </c>
      <c r="U11" s="47">
        <f t="shared" si="5"/>
        <v>-6.8431430675824663</v>
      </c>
    </row>
    <row r="12" spans="2:23" x14ac:dyDescent="0.2">
      <c r="B12" s="107" t="s">
        <v>7</v>
      </c>
      <c r="C12" s="248">
        <v>-1</v>
      </c>
      <c r="D12" s="4">
        <f t="shared" si="13"/>
        <v>-3</v>
      </c>
      <c r="E12" s="4">
        <f t="shared" si="6"/>
        <v>880.00000000000045</v>
      </c>
      <c r="F12" s="4">
        <f t="shared" si="7"/>
        <v>696.57842846620861</v>
      </c>
      <c r="G12" s="97">
        <v>1</v>
      </c>
      <c r="H12" s="188">
        <f t="shared" si="0"/>
        <v>440.00000000000023</v>
      </c>
      <c r="J12" s="85" t="s">
        <v>76</v>
      </c>
      <c r="K12" s="4">
        <f t="shared" si="1"/>
        <v>311.91867910510808</v>
      </c>
      <c r="L12" s="4">
        <f t="shared" si="2"/>
        <v>294.13499740383764</v>
      </c>
      <c r="M12" s="4">
        <f t="shared" si="8"/>
        <v>100.9781404714202</v>
      </c>
      <c r="N12" s="47">
        <f t="shared" si="9"/>
        <v>3037.5</v>
      </c>
      <c r="P12" s="123" t="str">
        <f t="shared" si="10"/>
        <v>D#</v>
      </c>
      <c r="Q12" s="4">
        <f t="shared" si="11"/>
        <v>312.9771761668506</v>
      </c>
      <c r="R12" s="4">
        <f t="shared" si="12"/>
        <v>-5.8650025961624666</v>
      </c>
      <c r="S12" s="145" t="str">
        <f t="shared" si="3"/>
        <v>A</v>
      </c>
      <c r="T12" s="4">
        <f t="shared" si="4"/>
        <v>440.00000000000023</v>
      </c>
      <c r="U12" s="47">
        <f t="shared" si="5"/>
        <v>-10.264714601374356</v>
      </c>
    </row>
    <row r="13" spans="2:23" x14ac:dyDescent="0.2">
      <c r="B13" s="107" t="s">
        <v>4</v>
      </c>
      <c r="C13" s="248">
        <v>-1</v>
      </c>
      <c r="D13" s="4">
        <f t="shared" si="13"/>
        <v>-4</v>
      </c>
      <c r="E13" s="4">
        <f t="shared" si="6"/>
        <v>1315.9069274746746</v>
      </c>
      <c r="F13" s="4">
        <f t="shared" si="7"/>
        <v>696.57842846620838</v>
      </c>
      <c r="G13" s="97">
        <v>2</v>
      </c>
      <c r="H13" s="188">
        <f t="shared" si="0"/>
        <v>328.97673186866865</v>
      </c>
      <c r="J13" s="85" t="s">
        <v>4</v>
      </c>
      <c r="K13" s="4">
        <f t="shared" si="1"/>
        <v>328.97673186866865</v>
      </c>
      <c r="L13" s="4">
        <f t="shared" si="2"/>
        <v>386.31371386483482</v>
      </c>
      <c r="M13" s="4">
        <f t="shared" si="8"/>
        <v>92.17871646099708</v>
      </c>
      <c r="N13" s="47">
        <f t="shared" si="9"/>
        <v>2880</v>
      </c>
      <c r="P13" s="123" t="str">
        <f t="shared" si="10"/>
        <v>E</v>
      </c>
      <c r="Q13" s="4">
        <f t="shared" si="11"/>
        <v>331.58776752556582</v>
      </c>
      <c r="R13" s="4">
        <f t="shared" si="12"/>
        <v>-13.686286135165501</v>
      </c>
      <c r="S13" s="145" t="str">
        <f t="shared" si="3"/>
        <v>E</v>
      </c>
      <c r="T13" s="4">
        <f t="shared" si="4"/>
        <v>328.97673186866865</v>
      </c>
      <c r="U13" s="47">
        <f t="shared" si="5"/>
        <v>-13.686286135165501</v>
      </c>
    </row>
    <row r="14" spans="2:23" x14ac:dyDescent="0.2">
      <c r="B14" s="107" t="s">
        <v>8</v>
      </c>
      <c r="C14" s="248">
        <v>0</v>
      </c>
      <c r="D14" s="4">
        <f t="shared" si="13"/>
        <v>-4</v>
      </c>
      <c r="E14" s="4">
        <f t="shared" si="6"/>
        <v>1973.860391212012</v>
      </c>
      <c r="F14" s="4">
        <f t="shared" si="7"/>
        <v>701.95500086538743</v>
      </c>
      <c r="G14" s="97">
        <v>2</v>
      </c>
      <c r="H14" s="188">
        <f t="shared" si="0"/>
        <v>493.465097803003</v>
      </c>
      <c r="J14" s="85" t="s">
        <v>5</v>
      </c>
      <c r="K14" s="4">
        <f t="shared" si="1"/>
        <v>350.90851399324657</v>
      </c>
      <c r="L14" s="4">
        <f t="shared" si="2"/>
        <v>498.04499913461245</v>
      </c>
      <c r="M14" s="4">
        <f t="shared" si="8"/>
        <v>111.73128526977776</v>
      </c>
      <c r="N14" s="47">
        <f t="shared" si="9"/>
        <v>2700</v>
      </c>
      <c r="P14" s="123" t="str">
        <f t="shared" si="10"/>
        <v>F</v>
      </c>
      <c r="Q14" s="4">
        <f t="shared" si="11"/>
        <v>351.30500223432659</v>
      </c>
      <c r="R14" s="4">
        <f t="shared" si="12"/>
        <v>-1.9550008653877775</v>
      </c>
      <c r="S14" s="145" t="str">
        <f t="shared" si="3"/>
        <v>B</v>
      </c>
      <c r="T14" s="4">
        <f t="shared" si="4"/>
        <v>493.465097803003</v>
      </c>
      <c r="U14" s="47">
        <f t="shared" si="5"/>
        <v>-11.7312852697782</v>
      </c>
    </row>
    <row r="15" spans="2:23" x14ac:dyDescent="0.2">
      <c r="B15" s="107" t="s">
        <v>70</v>
      </c>
      <c r="C15" s="248">
        <v>0</v>
      </c>
      <c r="D15" s="4">
        <f t="shared" si="13"/>
        <v>-4</v>
      </c>
      <c r="E15" s="4">
        <f t="shared" si="6"/>
        <v>2960.7905868180178</v>
      </c>
      <c r="F15" s="4">
        <f t="shared" si="7"/>
        <v>701.95500086538721</v>
      </c>
      <c r="G15" s="97">
        <v>3</v>
      </c>
      <c r="H15" s="188">
        <f t="shared" si="0"/>
        <v>370.09882335225223</v>
      </c>
      <c r="J15" s="85" t="s">
        <v>70</v>
      </c>
      <c r="K15" s="4">
        <f t="shared" si="1"/>
        <v>370.09882335225223</v>
      </c>
      <c r="L15" s="4">
        <f t="shared" si="2"/>
        <v>590.22371559560929</v>
      </c>
      <c r="M15" s="4">
        <f t="shared" si="8"/>
        <v>92.17871646099708</v>
      </c>
      <c r="N15" s="47">
        <f t="shared" si="9"/>
        <v>2560</v>
      </c>
      <c r="P15" s="123" t="str">
        <f t="shared" si="10"/>
        <v>F#</v>
      </c>
      <c r="Q15" s="4">
        <f t="shared" si="11"/>
        <v>372.19468473107878</v>
      </c>
      <c r="R15" s="4">
        <f t="shared" si="12"/>
        <v>-9.7762844043906689</v>
      </c>
      <c r="S15" s="145" t="str">
        <f t="shared" si="3"/>
        <v>F#</v>
      </c>
      <c r="T15" s="4">
        <f t="shared" si="4"/>
        <v>370.09882335225223</v>
      </c>
      <c r="U15" s="47">
        <f t="shared" si="5"/>
        <v>-9.7762844043906689</v>
      </c>
    </row>
    <row r="16" spans="2:23" x14ac:dyDescent="0.2">
      <c r="B16" s="107" t="s">
        <v>74</v>
      </c>
      <c r="C16" s="248">
        <v>-0.36337663531370945</v>
      </c>
      <c r="D16" s="4">
        <f t="shared" si="13"/>
        <v>-4.3633766353137098</v>
      </c>
      <c r="E16" s="4">
        <f t="shared" si="6"/>
        <v>4436.1767694948703</v>
      </c>
      <c r="F16" s="4">
        <f t="shared" si="7"/>
        <v>700.00128007745332</v>
      </c>
      <c r="G16" s="97">
        <v>4</v>
      </c>
      <c r="H16" s="188">
        <f t="shared" si="0"/>
        <v>277.26104809342939</v>
      </c>
      <c r="J16" s="85" t="s">
        <v>6</v>
      </c>
      <c r="K16" s="4">
        <f t="shared" si="1"/>
        <v>393.54796403996318</v>
      </c>
      <c r="L16" s="4">
        <f t="shared" si="2"/>
        <v>696.57842846620861</v>
      </c>
      <c r="M16" s="4">
        <f t="shared" si="8"/>
        <v>106.35471287059919</v>
      </c>
      <c r="N16" s="47">
        <f t="shared" si="9"/>
        <v>2407.4650979151193</v>
      </c>
      <c r="P16" s="123" t="str">
        <f t="shared" si="10"/>
        <v>G</v>
      </c>
      <c r="Q16" s="4">
        <f t="shared" si="11"/>
        <v>394.32653238927111</v>
      </c>
      <c r="R16" s="4">
        <f t="shared" si="12"/>
        <v>-3.4215715337915875</v>
      </c>
      <c r="S16" s="145" t="str">
        <f t="shared" si="3"/>
        <v>C#</v>
      </c>
      <c r="T16" s="4">
        <f t="shared" si="4"/>
        <v>277.26104809342939</v>
      </c>
      <c r="U16" s="47">
        <f t="shared" si="5"/>
        <v>-9.7750043269371272</v>
      </c>
    </row>
    <row r="17" spans="2:26" x14ac:dyDescent="0.2">
      <c r="B17" s="107" t="s">
        <v>72</v>
      </c>
      <c r="C17" s="248">
        <v>0</v>
      </c>
      <c r="D17" s="4">
        <f t="shared" si="13"/>
        <v>-4.3633766353137098</v>
      </c>
      <c r="E17" s="4">
        <f t="shared" si="6"/>
        <v>6654.2651542423055</v>
      </c>
      <c r="F17" s="4">
        <f t="shared" si="7"/>
        <v>701.95500086538743</v>
      </c>
      <c r="G17" s="97">
        <v>4</v>
      </c>
      <c r="H17" s="188">
        <f t="shared" si="0"/>
        <v>415.89157214014409</v>
      </c>
      <c r="J17" s="85" t="s">
        <v>72</v>
      </c>
      <c r="K17" s="4">
        <f t="shared" si="1"/>
        <v>415.89157214014409</v>
      </c>
      <c r="L17" s="4">
        <f t="shared" si="2"/>
        <v>792.17999653845015</v>
      </c>
      <c r="M17" s="4">
        <f t="shared" si="8"/>
        <v>95.601568072241406</v>
      </c>
      <c r="N17" s="47">
        <f t="shared" si="9"/>
        <v>2278.125</v>
      </c>
      <c r="P17" s="123" t="str">
        <f t="shared" si="10"/>
        <v>G#</v>
      </c>
      <c r="Q17" s="4">
        <f t="shared" si="11"/>
        <v>417.77440819310806</v>
      </c>
      <c r="R17" s="4">
        <f t="shared" si="12"/>
        <v>-7.8200034615500771</v>
      </c>
      <c r="S17" s="145" t="str">
        <f t="shared" si="3"/>
        <v>G#</v>
      </c>
      <c r="T17" s="4">
        <f t="shared" si="4"/>
        <v>415.89157214014409</v>
      </c>
      <c r="U17" s="47">
        <f t="shared" si="5"/>
        <v>-7.8200034615500771</v>
      </c>
    </row>
    <row r="18" spans="2:26" x14ac:dyDescent="0.2">
      <c r="B18" s="107" t="s">
        <v>76</v>
      </c>
      <c r="C18" s="248">
        <v>0</v>
      </c>
      <c r="D18" s="4">
        <f t="shared" si="13"/>
        <v>-4.3633766353137098</v>
      </c>
      <c r="E18" s="4">
        <f t="shared" si="6"/>
        <v>9981.3977313634587</v>
      </c>
      <c r="F18" s="4">
        <f t="shared" si="7"/>
        <v>701.95500086538743</v>
      </c>
      <c r="G18" s="97">
        <v>5</v>
      </c>
      <c r="H18" s="188">
        <f t="shared" si="0"/>
        <v>311.91867910510808</v>
      </c>
      <c r="J18" s="85" t="s">
        <v>7</v>
      </c>
      <c r="K18" s="4">
        <f t="shared" si="1"/>
        <v>440.00000000000023</v>
      </c>
      <c r="L18" s="4">
        <f t="shared" si="2"/>
        <v>889.73528539862605</v>
      </c>
      <c r="M18" s="4">
        <f t="shared" si="8"/>
        <v>97.555288860175764</v>
      </c>
      <c r="N18" s="47">
        <f t="shared" si="9"/>
        <v>2153.3022449585574</v>
      </c>
      <c r="P18" s="123" t="str">
        <f t="shared" si="10"/>
        <v>A</v>
      </c>
      <c r="Q18" s="4">
        <f t="shared" si="11"/>
        <v>442.61656724839361</v>
      </c>
      <c r="R18" s="4">
        <f t="shared" si="12"/>
        <v>-10.264714601374356</v>
      </c>
      <c r="S18" s="145" t="str">
        <f t="shared" si="3"/>
        <v>D#</v>
      </c>
      <c r="T18" s="4">
        <f t="shared" si="4"/>
        <v>311.91867910510808</v>
      </c>
      <c r="U18" s="47">
        <f t="shared" si="5"/>
        <v>-5.8650025961624666</v>
      </c>
    </row>
    <row r="19" spans="2:26" x14ac:dyDescent="0.2">
      <c r="B19" s="107" t="s">
        <v>73</v>
      </c>
      <c r="C19" s="248">
        <v>0</v>
      </c>
      <c r="D19" s="4">
        <f t="shared" si="13"/>
        <v>-4.3633766353137098</v>
      </c>
      <c r="E19" s="4">
        <f t="shared" si="6"/>
        <v>14972.096597045187</v>
      </c>
      <c r="F19" s="4">
        <f t="shared" si="7"/>
        <v>701.95500086538743</v>
      </c>
      <c r="G19" s="97">
        <v>5</v>
      </c>
      <c r="H19" s="188">
        <f t="shared" si="0"/>
        <v>467.8780186576621</v>
      </c>
      <c r="J19" s="85" t="s">
        <v>73</v>
      </c>
      <c r="K19" s="4">
        <f t="shared" si="1"/>
        <v>467.8780186576621</v>
      </c>
      <c r="L19" s="4">
        <f t="shared" si="2"/>
        <v>996.08999826922513</v>
      </c>
      <c r="M19" s="4">
        <f t="shared" si="8"/>
        <v>106.35471287059882</v>
      </c>
      <c r="N19" s="47">
        <f t="shared" si="9"/>
        <v>2025</v>
      </c>
      <c r="P19" s="123" t="str">
        <f t="shared" si="10"/>
        <v>A#</v>
      </c>
      <c r="Q19" s="4">
        <f t="shared" si="11"/>
        <v>468.9359179516722</v>
      </c>
      <c r="R19" s="4">
        <f t="shared" si="12"/>
        <v>-3.910001730775444</v>
      </c>
      <c r="S19" s="145" t="str">
        <f t="shared" si="3"/>
        <v>A#</v>
      </c>
      <c r="T19" s="4">
        <f t="shared" si="4"/>
        <v>467.8780186576621</v>
      </c>
      <c r="U19" s="47">
        <f t="shared" si="5"/>
        <v>-3.910001730775444</v>
      </c>
    </row>
    <row r="20" spans="2:26" x14ac:dyDescent="0.2">
      <c r="B20" s="107" t="s">
        <v>5</v>
      </c>
      <c r="C20" s="248">
        <v>0</v>
      </c>
      <c r="D20" s="4">
        <f t="shared" si="13"/>
        <v>-4.3633766353137098</v>
      </c>
      <c r="E20" s="4">
        <f t="shared" si="6"/>
        <v>22458.144895567781</v>
      </c>
      <c r="F20" s="4">
        <f t="shared" si="7"/>
        <v>701.95500086538743</v>
      </c>
      <c r="G20" s="97">
        <v>6</v>
      </c>
      <c r="H20" s="188">
        <f t="shared" si="0"/>
        <v>350.90851399324657</v>
      </c>
      <c r="J20" s="85" t="s">
        <v>8</v>
      </c>
      <c r="K20" s="4">
        <f t="shared" si="1"/>
        <v>493.465097803003</v>
      </c>
      <c r="L20" s="4">
        <f t="shared" si="2"/>
        <v>1088.2687147302222</v>
      </c>
      <c r="M20" s="4">
        <f t="shared" si="8"/>
        <v>92.17871646099708</v>
      </c>
      <c r="N20" s="47">
        <f t="shared" si="9"/>
        <v>1920</v>
      </c>
      <c r="P20" s="123" t="str">
        <f t="shared" si="10"/>
        <v>B</v>
      </c>
      <c r="Q20" s="4">
        <f t="shared" si="11"/>
        <v>496.82029868929521</v>
      </c>
      <c r="R20" s="4">
        <f t="shared" si="12"/>
        <v>-11.7312852697782</v>
      </c>
      <c r="S20" s="145" t="str">
        <f t="shared" si="3"/>
        <v>F</v>
      </c>
      <c r="T20" s="4">
        <f t="shared" si="4"/>
        <v>350.90851399324657</v>
      </c>
      <c r="U20" s="47">
        <f t="shared" si="5"/>
        <v>-1.9550008653877775</v>
      </c>
    </row>
    <row r="21" spans="2:26" x14ac:dyDescent="0.2">
      <c r="B21" s="108" t="s">
        <v>78</v>
      </c>
      <c r="C21" s="249">
        <v>0</v>
      </c>
      <c r="D21" s="53">
        <f t="shared" si="13"/>
        <v>-4.3633766353137098</v>
      </c>
      <c r="E21" s="53">
        <f t="shared" si="6"/>
        <v>33687.217343351673</v>
      </c>
      <c r="F21" s="53">
        <f t="shared" si="7"/>
        <v>701.95500086538743</v>
      </c>
      <c r="G21" s="98">
        <v>6</v>
      </c>
      <c r="H21" s="48">
        <f t="shared" si="0"/>
        <v>526.36277098986989</v>
      </c>
      <c r="J21" s="87" t="s">
        <v>78</v>
      </c>
      <c r="K21" s="53">
        <f t="shared" si="1"/>
        <v>526.36277098986989</v>
      </c>
      <c r="L21" s="53">
        <f t="shared" si="2"/>
        <v>1200</v>
      </c>
      <c r="M21" s="53">
        <f t="shared" si="8"/>
        <v>111.73128526977776</v>
      </c>
      <c r="N21" s="48">
        <f t="shared" si="9"/>
        <v>1800</v>
      </c>
      <c r="P21" s="108" t="str">
        <f t="shared" si="10"/>
        <v>c oct.</v>
      </c>
      <c r="Q21" s="53">
        <f t="shared" si="11"/>
        <v>526.36277098987</v>
      </c>
      <c r="R21" s="53">
        <f t="shared" si="12"/>
        <v>-3.8441118045779024E-13</v>
      </c>
      <c r="S21" s="151" t="str">
        <f t="shared" si="3"/>
        <v>c oct.</v>
      </c>
      <c r="T21" s="53">
        <f t="shared" si="4"/>
        <v>526.36277098986989</v>
      </c>
      <c r="U21" s="48">
        <f t="shared" si="5"/>
        <v>-3.8441118045779024E-13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Kirnberger III S. Interval in cents</v>
      </c>
      <c r="F26" s="84" t="s">
        <v>18</v>
      </c>
      <c r="G26" s="52" t="str">
        <f>_xlfn.CONCAT("diff ",$F$2)</f>
        <v>diff 1/4 Syntonic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386.31371386483482</v>
      </c>
      <c r="F27" s="4">
        <f t="shared" ref="F27" si="15">VLOOKUP(B27,Master_Frequencies,2,FALSE)*5/4</f>
        <v>328.97673186866871</v>
      </c>
      <c r="G27" s="47">
        <f t="shared" ref="G27" si="16">IF($D$2="Cents",LOG(VLOOKUP(C27,Master_Frequencies,2,FALSE)/F27,2)*1200*$F$3,LOG(D27*VLOOKUP(C27,Master_Frequencies,2,FALSE)/F27,$F$3))</f>
        <v>7.1497443337041678E-14</v>
      </c>
      <c r="I27" s="123" t="s">
        <v>2</v>
      </c>
      <c r="J27" s="145" t="s">
        <v>6</v>
      </c>
      <c r="K27" s="97">
        <v>1</v>
      </c>
      <c r="L27" s="191">
        <f t="shared" ref="L27" si="17">K27*VLOOKUP(J27,Master_Frequencies,2,FALSE)/VLOOKUP(I27,Master_Frequencies,2,FALSE)</f>
        <v>1.4953487812212205</v>
      </c>
      <c r="M27" s="145" t="s">
        <v>2</v>
      </c>
      <c r="N27" s="145" t="s">
        <v>4</v>
      </c>
      <c r="O27" s="191">
        <f t="shared" ref="O27" si="18">D27*VLOOKUP(N27,Master_Frequencies,2,FALSE)/VLOOKUP(M27,Master_Frequencies,2,FALSE)</f>
        <v>1.25</v>
      </c>
      <c r="Q27" s="99">
        <v>1</v>
      </c>
      <c r="R27" s="18">
        <f>$E$9*Q27</f>
        <v>263.18138549493494</v>
      </c>
      <c r="S27" s="97">
        <v>0</v>
      </c>
      <c r="T27" s="4">
        <f>R27/POWER(2,S27)</f>
        <v>263.18138549493494</v>
      </c>
      <c r="U27" s="18" t="str" cm="1">
        <f t="array" ref="U27">_xlfn.XLOOKUP(0,ABS($C$44:$C$56-T27),$B$44:$B$56,,1)</f>
        <v>C</v>
      </c>
      <c r="V27" s="47">
        <f t="shared" ref="V27" si="19">LOG(T27/VLOOKUP(U27,Master_Frequencies,2,FALSE),2)*1200</f>
        <v>0</v>
      </c>
      <c r="X27" s="85" t="s">
        <v>2</v>
      </c>
      <c r="Y27" s="4">
        <f t="shared" ref="Y27" si="20">VLOOKUP(X27,Master_Frequencies,2,FALSE)/POWER(2,$Z$25)</f>
        <v>131.59069274746747</v>
      </c>
      <c r="Z27" s="47">
        <f t="shared" ref="Z27" si="21">VLOOKUP(X27,Master_Frequencies,2,FALSE)*POWER(2,$Z$25)</f>
        <v>526.36277098986989</v>
      </c>
    </row>
    <row r="28" spans="2:26" x14ac:dyDescent="0.2">
      <c r="B28" s="123" t="s">
        <v>74</v>
      </c>
      <c r="C28" s="145" t="s">
        <v>5</v>
      </c>
      <c r="D28" s="97">
        <v>1</v>
      </c>
      <c r="E28" s="4">
        <f t="shared" ref="E28" si="22">LOG(D28*VLOOKUP(C28,Master_Frequencies,2,FALSE)/VLOOKUP(B28,Master_Frequencies,2,FALSE),2)*1200</f>
        <v>407.82000346154967</v>
      </c>
      <c r="F28" s="4">
        <f t="shared" ref="F28" si="23">VLOOKUP(B28,Master_Frequencies,2,FALSE)*5/4</f>
        <v>346.57631011678677</v>
      </c>
      <c r="G28" s="47">
        <f t="shared" ref="G28" si="24">IF($D$2="Cents",LOG(VLOOKUP(C28,Master_Frequencies,2,FALSE)/F28,2)*1200*$F$3,LOG(D28*VLOOKUP(C28,Master_Frequencies,2,FALSE)/F28,$F$3))</f>
        <v>-3.9999999999999041</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1.265625</v>
      </c>
      <c r="Q28" s="99">
        <v>2</v>
      </c>
      <c r="R28" s="18">
        <f t="shared" ref="R28:R39" si="27">$E$9*Q28</f>
        <v>526.36277098986989</v>
      </c>
      <c r="S28" s="97">
        <v>0</v>
      </c>
      <c r="T28" s="4">
        <f t="shared" ref="T28:T39" si="28">R28/POWER(2,S28)</f>
        <v>526.36277098986989</v>
      </c>
      <c r="U28" s="18" t="str" cm="1">
        <f t="array" ref="U28">_xlfn.XLOOKUP(0,ABS($C$44:$C$56-T28),$B$44:$B$56,,1)</f>
        <v>c oct.</v>
      </c>
      <c r="V28" s="47">
        <f t="shared" ref="V28" si="29">LOG(T28/VLOOKUP(U28,Master_Frequencies,2,FALSE),2)*1200</f>
        <v>0</v>
      </c>
      <c r="X28" s="85" t="s">
        <v>74</v>
      </c>
      <c r="Y28" s="4">
        <f t="shared" ref="Y28" si="30">VLOOKUP(X28,Master_Frequencies,2,FALSE)/POWER(2,$Z$25)</f>
        <v>138.6305240467147</v>
      </c>
      <c r="Z28" s="47">
        <f t="shared" ref="Z28" si="31">VLOOKUP(X28,Master_Frequencies,2,FALSE)*POWER(2,$Z$25)</f>
        <v>554.52209618685879</v>
      </c>
    </row>
    <row r="29" spans="2:26" x14ac:dyDescent="0.2">
      <c r="B29" s="123" t="s">
        <v>3</v>
      </c>
      <c r="C29" s="145" t="s">
        <v>70</v>
      </c>
      <c r="D29" s="97">
        <v>1</v>
      </c>
      <c r="E29" s="4">
        <f t="shared" ref="E29" si="32">LOG(D29*VLOOKUP(C29,Master_Frequencies,2,FALSE)/VLOOKUP(B29,Master_Frequencies,2,FALSE),2)*1200</f>
        <v>397.06685866319202</v>
      </c>
      <c r="F29" s="4">
        <f t="shared" ref="F29" si="33">VLOOKUP(B29,Master_Frequencies,2,FALSE)*5/4</f>
        <v>367.80716773703233</v>
      </c>
      <c r="G29" s="47">
        <f t="shared" ref="G29" si="34">IF($D$2="Cents",LOG(VLOOKUP(C29,Master_Frequencies,2,FALSE)/F29,2)*1200*$F$3,LOG(D29*VLOOKUP(C29,Master_Frequencies,2,FALSE)/F29,$F$3))</f>
        <v>-1.9999999999998752</v>
      </c>
      <c r="I29" s="123" t="s">
        <v>3</v>
      </c>
      <c r="J29" s="145" t="s">
        <v>7</v>
      </c>
      <c r="K29" s="97">
        <v>1</v>
      </c>
      <c r="L29" s="191">
        <f t="shared" ref="L29" si="35">K29*VLOOKUP(J29,Master_Frequencies,2,FALSE)/VLOOKUP(I29,Master_Frequencies,2,FALSE)</f>
        <v>1.4953487812212205</v>
      </c>
      <c r="M29" s="145" t="s">
        <v>3</v>
      </c>
      <c r="N29" s="145" t="s">
        <v>70</v>
      </c>
      <c r="O29" s="191">
        <f t="shared" ref="O29" si="36">D29*VLOOKUP(N29,Master_Frequencies,2,FALSE)/VLOOKUP(M29,Master_Frequencies,2,FALSE)</f>
        <v>1.2577882373436315</v>
      </c>
      <c r="Q29" s="99">
        <v>3</v>
      </c>
      <c r="R29" s="18">
        <f t="shared" si="27"/>
        <v>789.54415648480483</v>
      </c>
      <c r="S29" s="97">
        <v>1</v>
      </c>
      <c r="T29" s="4">
        <f t="shared" si="28"/>
        <v>394.77207824240242</v>
      </c>
      <c r="U29" s="18" t="str" cm="1">
        <f t="array" ref="U29">_xlfn.XLOOKUP(0,ABS($C$44:$C$56-T29),$B$44:$B$56,,1)</f>
        <v>G</v>
      </c>
      <c r="V29" s="47">
        <f t="shared" ref="V29" si="37">LOG(T29/VLOOKUP(U29,Master_Frequencies,2,FALSE),2)*1200</f>
        <v>5.3765723991786674</v>
      </c>
      <c r="X29" s="85" t="s">
        <v>3</v>
      </c>
      <c r="Y29" s="4">
        <f t="shared" ref="Y29" si="38">VLOOKUP(X29,Master_Frequencies,2,FALSE)/POWER(2,$Z$25)</f>
        <v>147.12286709481293</v>
      </c>
      <c r="Z29" s="47">
        <f t="shared" ref="Z29" si="39">VLOOKUP(X29,Master_Frequencies,2,FALSE)*POWER(2,$Z$25)</f>
        <v>588.49146837925173</v>
      </c>
    </row>
    <row r="30" spans="2:26" x14ac:dyDescent="0.2">
      <c r="B30" s="123" t="s">
        <v>76</v>
      </c>
      <c r="C30" s="145" t="s">
        <v>6</v>
      </c>
      <c r="D30" s="97">
        <v>1</v>
      </c>
      <c r="E30" s="4">
        <f t="shared" ref="E30" si="40">LOG(D30*VLOOKUP(C30,Master_Frequencies,2,FALSE)/VLOOKUP(B30,Master_Frequencies,2,FALSE),2)*1200</f>
        <v>402.44343106237102</v>
      </c>
      <c r="F30" s="4">
        <f t="shared" ref="F30" si="41">VLOOKUP(B30,Master_Frequencies,2,FALSE)*5/4</f>
        <v>389.89834888138512</v>
      </c>
      <c r="G30" s="47">
        <f t="shared" ref="G30" si="42">IF($D$2="Cents",LOG(VLOOKUP(C30,Master_Frequencies,2,FALSE)/F30,2)*1200*$F$3,LOG(D30*VLOOKUP(C30,Master_Frequencies,2,FALSE)/F30,$F$3))</f>
        <v>-2.9999999999998979</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1.2617005341554048</v>
      </c>
      <c r="Q30" s="99">
        <v>4</v>
      </c>
      <c r="R30" s="18">
        <f t="shared" si="27"/>
        <v>1052.7255419797398</v>
      </c>
      <c r="S30" s="97">
        <v>1</v>
      </c>
      <c r="T30" s="4">
        <f t="shared" si="28"/>
        <v>526.36277098986989</v>
      </c>
      <c r="U30" s="18" t="str" cm="1">
        <f t="array" ref="U30">_xlfn.XLOOKUP(0,ABS($C$44:$C$56-T30),$B$44:$B$56,,1)</f>
        <v>c oct.</v>
      </c>
      <c r="V30" s="47">
        <f t="shared" ref="V30" si="45">LOG(T30/VLOOKUP(U30,Master_Frequencies,2,FALSE),2)*1200</f>
        <v>0</v>
      </c>
      <c r="X30" s="85" t="s">
        <v>76</v>
      </c>
      <c r="Y30" s="4">
        <f t="shared" ref="Y30" si="46">VLOOKUP(X30,Master_Frequencies,2,FALSE)/POWER(2,$Z$25)</f>
        <v>155.95933955255404</v>
      </c>
      <c r="Z30" s="47">
        <f t="shared" ref="Z30" si="47">VLOOKUP(X30,Master_Frequencies,2,FALSE)*POWER(2,$Z$25)</f>
        <v>623.83735821021617</v>
      </c>
    </row>
    <row r="31" spans="2:26" x14ac:dyDescent="0.2">
      <c r="B31" s="123" t="s">
        <v>4</v>
      </c>
      <c r="C31" s="145" t="s">
        <v>72</v>
      </c>
      <c r="D31" s="97">
        <v>1</v>
      </c>
      <c r="E31" s="4">
        <f t="shared" ref="E31" si="48">LOG(D31*VLOOKUP(C31,Master_Frequencies,2,FALSE)/VLOOKUP(B31,Master_Frequencies,2,FALSE),2)*1200</f>
        <v>405.8662826736155</v>
      </c>
      <c r="F31" s="4">
        <f t="shared" ref="F31" si="49">VLOOKUP(B31,Master_Frequencies,2,FALSE)*5/4</f>
        <v>411.2209148358358</v>
      </c>
      <c r="G31" s="47">
        <f t="shared" ref="G31" si="50">IF($D$2="Cents",LOG(VLOOKUP(C31,Master_Frequencies,2,FALSE)/F31,2)*1200*$F$3,LOG(D31*VLOOKUP(C31,Master_Frequencies,2,FALSE)/F31,$F$3))</f>
        <v>-3.6366233646862161</v>
      </c>
      <c r="I31" s="123" t="s">
        <v>4</v>
      </c>
      <c r="J31" s="145" t="s">
        <v>8</v>
      </c>
      <c r="K31" s="97">
        <v>1</v>
      </c>
      <c r="L31" s="191">
        <f t="shared" ref="L31" si="51">K31*VLOOKUP(J31,Master_Frequencies,2,FALSE)/VLOOKUP(I31,Master_Frequencies,2,FALSE)</f>
        <v>1.5</v>
      </c>
      <c r="M31" s="145" t="s">
        <v>4</v>
      </c>
      <c r="N31" s="145" t="s">
        <v>72</v>
      </c>
      <c r="O31" s="191">
        <f t="shared" ref="O31" si="52">D31*VLOOKUP(N31,Master_Frequencies,2,FALSE)/VLOOKUP(M31,Master_Frequencies,2,FALSE)</f>
        <v>1.2641975308641975</v>
      </c>
      <c r="Q31" s="99">
        <v>5</v>
      </c>
      <c r="R31" s="18">
        <f t="shared" si="27"/>
        <v>1315.9069274746748</v>
      </c>
      <c r="S31" s="97">
        <v>2</v>
      </c>
      <c r="T31" s="4">
        <f t="shared" si="28"/>
        <v>328.97673186866871</v>
      </c>
      <c r="U31" s="18" t="str" cm="1">
        <f t="array" ref="U31">_xlfn.XLOOKUP(0,ABS($C$44:$C$56-T31),$B$44:$B$56,,1)</f>
        <v>E</v>
      </c>
      <c r="V31" s="47">
        <f t="shared" ref="V31" si="53">LOG(T31/VLOOKUP(U31,Master_Frequencies,2,FALSE),2)*1200</f>
        <v>3.8441118045779013E-13</v>
      </c>
      <c r="X31" s="85" t="s">
        <v>4</v>
      </c>
      <c r="Y31" s="4">
        <f t="shared" ref="Y31" si="54">VLOOKUP(X31,Master_Frequencies,2,FALSE)/POWER(2,$Z$25)</f>
        <v>164.48836593433433</v>
      </c>
      <c r="Z31" s="47">
        <f t="shared" ref="Z31" si="55">VLOOKUP(X31,Master_Frequencies,2,FALSE)*POWER(2,$Z$25)</f>
        <v>657.9534637373373</v>
      </c>
    </row>
    <row r="32" spans="2:26" x14ac:dyDescent="0.2">
      <c r="B32" s="123" t="s">
        <v>5</v>
      </c>
      <c r="C32" s="145" t="s">
        <v>7</v>
      </c>
      <c r="D32" s="97">
        <v>1</v>
      </c>
      <c r="E32" s="4">
        <f t="shared" ref="E32" si="56">LOG(D32*VLOOKUP(C32,Master_Frequencies,2,FALSE)/VLOOKUP(B32,Master_Frequencies,2,FALSE),2)*1200</f>
        <v>391.69028626401371</v>
      </c>
      <c r="F32" s="4">
        <f t="shared" ref="F32" si="57">VLOOKUP(B32,Master_Frequencies,2,FALSE)*5/4</f>
        <v>438.6356424915582</v>
      </c>
      <c r="G32" s="47">
        <f t="shared" ref="G32" si="58">IF($D$2="Cents",LOG(VLOOKUP(C32,Master_Frequencies,2,FALSE)/F32,2)*1200*$F$3,LOG(D32*VLOOKUP(C32,Master_Frequencies,2,FALSE)/F32,$F$3))</f>
        <v>-1.0000000000000424</v>
      </c>
      <c r="I32" s="123" t="s">
        <v>5</v>
      </c>
      <c r="J32" s="145" t="s">
        <v>78</v>
      </c>
      <c r="K32" s="97">
        <v>1</v>
      </c>
      <c r="L32" s="191">
        <f t="shared" ref="L32" si="59">K32*VLOOKUP(J32,Master_Frequencies,2,FALSE)/VLOOKUP(I32,Master_Frequencies,2,FALSE)</f>
        <v>1.5</v>
      </c>
      <c r="M32" s="145" t="s">
        <v>5</v>
      </c>
      <c r="N32" s="145" t="s">
        <v>7</v>
      </c>
      <c r="O32" s="191">
        <f t="shared" ref="O32" si="60">D32*VLOOKUP(N32,Master_Frequencies,2,FALSE)/VLOOKUP(M32,Master_Frequencies,2,FALSE)</f>
        <v>1.2538880718307914</v>
      </c>
      <c r="Q32" s="99">
        <v>6</v>
      </c>
      <c r="R32" s="18">
        <f t="shared" si="27"/>
        <v>1579.0883129696097</v>
      </c>
      <c r="S32" s="97">
        <v>2</v>
      </c>
      <c r="T32" s="4">
        <f t="shared" si="28"/>
        <v>394.77207824240242</v>
      </c>
      <c r="U32" s="18" t="str" cm="1">
        <f t="array" ref="U32">_xlfn.XLOOKUP(0,ABS($C$44:$C$56-T32),$B$44:$B$56,,1)</f>
        <v>G</v>
      </c>
      <c r="V32" s="47">
        <f t="shared" ref="V32" si="61">LOG(T32/VLOOKUP(U32,Master_Frequencies,2,FALSE),2)*1200</f>
        <v>5.3765723991786674</v>
      </c>
      <c r="X32" s="85" t="s">
        <v>5</v>
      </c>
      <c r="Y32" s="4">
        <f t="shared" ref="Y32" si="62">VLOOKUP(X32,Master_Frequencies,2,FALSE)/POWER(2,$Z$25)</f>
        <v>175.45425699662329</v>
      </c>
      <c r="Z32" s="47">
        <f t="shared" ref="Z32" si="63">VLOOKUP(X32,Master_Frequencies,2,FALSE)*POWER(2,$Z$25)</f>
        <v>701.81702798649314</v>
      </c>
    </row>
    <row r="33" spans="2:26" x14ac:dyDescent="0.2">
      <c r="B33" s="123" t="s">
        <v>70</v>
      </c>
      <c r="C33" s="145" t="s">
        <v>73</v>
      </c>
      <c r="D33" s="97">
        <v>1</v>
      </c>
      <c r="E33" s="4">
        <f t="shared" ref="E33" si="64">LOG(D33*VLOOKUP(C33,Master_Frequencies,2,FALSE)/VLOOKUP(B33,Master_Frequencies,2,FALSE),2)*1200</f>
        <v>405.8662826736155</v>
      </c>
      <c r="F33" s="4">
        <f t="shared" ref="F33" si="65">VLOOKUP(B33,Master_Frequencies,2,FALSE)*5/4</f>
        <v>462.62352919031525</v>
      </c>
      <c r="G33" s="47">
        <f t="shared" ref="G33" si="66">IF($D$2="Cents",LOG(VLOOKUP(C33,Master_Frequencies,2,FALSE)/F33,2)*1200*$F$3,LOG(D33*VLOOKUP(C33,Master_Frequencies,2,FALSE)/F33,$F$3))</f>
        <v>-3.6366233646862161</v>
      </c>
      <c r="I33" s="123" t="s">
        <v>70</v>
      </c>
      <c r="J33" s="145" t="s">
        <v>74</v>
      </c>
      <c r="K33" s="97">
        <v>2</v>
      </c>
      <c r="L33" s="191">
        <f t="shared" ref="L33" si="67">K33*VLOOKUP(J33,Master_Frequencies,2,FALSE)/VLOOKUP(I33,Master_Frequencies,2,FALSE)</f>
        <v>1.4983081847279378</v>
      </c>
      <c r="M33" s="145" t="s">
        <v>70</v>
      </c>
      <c r="N33" s="145" t="s">
        <v>73</v>
      </c>
      <c r="O33" s="191">
        <f t="shared" ref="O33" si="68">D33*VLOOKUP(N33,Master_Frequencies,2,FALSE)/VLOOKUP(M33,Master_Frequencies,2,FALSE)</f>
        <v>1.2641975308641975</v>
      </c>
      <c r="Q33" s="99">
        <v>7</v>
      </c>
      <c r="R33" s="18">
        <f t="shared" si="27"/>
        <v>1842.2696984645445</v>
      </c>
      <c r="S33" s="97">
        <v>2</v>
      </c>
      <c r="T33" s="4">
        <f t="shared" si="28"/>
        <v>460.56742461613612</v>
      </c>
      <c r="U33" s="18" t="str" cm="1">
        <f t="array" ref="U33">_xlfn.XLOOKUP(0,ABS($C$44:$C$56-T33),$B$44:$B$56,,1)</f>
        <v>A#</v>
      </c>
      <c r="V33" s="47">
        <f t="shared" ref="V33" si="69">LOG(T33/VLOOKUP(U33,Master_Frequencies,2,FALSE),2)*1200</f>
        <v>-27.264091800100235</v>
      </c>
      <c r="X33" s="85" t="s">
        <v>70</v>
      </c>
      <c r="Y33" s="4">
        <f t="shared" ref="Y33" si="70">VLOOKUP(X33,Master_Frequencies,2,FALSE)/POWER(2,$Z$25)</f>
        <v>185.04941167612611</v>
      </c>
      <c r="Z33" s="47">
        <f t="shared" ref="Z33" si="71">VLOOKUP(X33,Master_Frequencies,2,FALSE)*POWER(2,$Z$25)</f>
        <v>740.19764670450445</v>
      </c>
    </row>
    <row r="34" spans="2:26" x14ac:dyDescent="0.2">
      <c r="B34" s="123" t="s">
        <v>6</v>
      </c>
      <c r="C34" s="145" t="s">
        <v>8</v>
      </c>
      <c r="D34" s="97">
        <v>1</v>
      </c>
      <c r="E34" s="4">
        <f t="shared" ref="E34" si="72">LOG(D34*VLOOKUP(C34,Master_Frequencies,2,FALSE)/VLOOKUP(B34,Master_Frequencies,2,FALSE),2)*1200</f>
        <v>391.69028626401337</v>
      </c>
      <c r="F34" s="4">
        <f t="shared" ref="F34" si="73">VLOOKUP(B34,Master_Frequencies,2,FALSE)*5/4</f>
        <v>491.93495504995394</v>
      </c>
      <c r="G34" s="47">
        <f t="shared" ref="G34" si="74">IF($D$2="Cents",LOG(VLOOKUP(C34,Master_Frequencies,2,FALSE)/F34,2)*1200*$F$3,LOG(D34*VLOOKUP(C34,Master_Frequencies,2,FALSE)/F34,$F$3))</f>
        <v>-0.99999999999997091</v>
      </c>
      <c r="I34" s="123" t="s">
        <v>6</v>
      </c>
      <c r="J34" s="145" t="s">
        <v>3</v>
      </c>
      <c r="K34" s="97">
        <v>2</v>
      </c>
      <c r="L34" s="191">
        <f t="shared" ref="L34" si="75">K34*VLOOKUP(J34,Master_Frequencies,2,FALSE)/VLOOKUP(I34,Master_Frequencies,2,FALSE)</f>
        <v>1.4953487812212207</v>
      </c>
      <c r="M34" s="145" t="s">
        <v>6</v>
      </c>
      <c r="N34" s="145" t="s">
        <v>8</v>
      </c>
      <c r="O34" s="191">
        <f t="shared" ref="O34" si="76">D34*VLOOKUP(N34,Master_Frequencies,2,FALSE)/VLOOKUP(M34,Master_Frequencies,2,FALSE)</f>
        <v>1.2538880718307912</v>
      </c>
      <c r="Q34" s="99">
        <v>8</v>
      </c>
      <c r="R34" s="18">
        <f t="shared" si="27"/>
        <v>2105.4510839594795</v>
      </c>
      <c r="S34" s="97">
        <v>3</v>
      </c>
      <c r="T34" s="4">
        <f t="shared" si="28"/>
        <v>263.18138549493494</v>
      </c>
      <c r="U34" s="18" t="str" cm="1">
        <f t="array" ref="U34">_xlfn.XLOOKUP(0,ABS($C$44:$C$56-T34),$B$44:$B$56,,1)</f>
        <v>C</v>
      </c>
      <c r="V34" s="47">
        <f t="shared" ref="V34" si="77">LOG(T34/VLOOKUP(U34,Master_Frequencies,2,FALSE),2)*1200</f>
        <v>0</v>
      </c>
      <c r="X34" s="85" t="s">
        <v>6</v>
      </c>
      <c r="Y34" s="4">
        <f t="shared" ref="Y34" si="78">VLOOKUP(X34,Master_Frequencies,2,FALSE)/POWER(2,$Z$25)</f>
        <v>196.77398201998159</v>
      </c>
      <c r="Z34" s="47">
        <f t="shared" ref="Z34" si="79">VLOOKUP(X34,Master_Frequencies,2,FALSE)*POWER(2,$Z$25)</f>
        <v>787.09592807992635</v>
      </c>
    </row>
    <row r="35" spans="2:26" x14ac:dyDescent="0.2">
      <c r="B35" s="123" t="s">
        <v>72</v>
      </c>
      <c r="C35" s="145" t="s">
        <v>78</v>
      </c>
      <c r="D35" s="97">
        <v>1</v>
      </c>
      <c r="E35" s="4">
        <f t="shared" ref="E35" si="80">LOG(D35*VLOOKUP(C35,Master_Frequencies,2,FALSE)/VLOOKUP(B35,Master_Frequencies,2,FALSE),2)*1200</f>
        <v>407.82000346154967</v>
      </c>
      <c r="F35" s="4">
        <f t="shared" ref="F35" si="81">VLOOKUP(B35,Master_Frequencies,2,FALSE)*5/4</f>
        <v>519.86446517518016</v>
      </c>
      <c r="G35" s="47">
        <f t="shared" ref="G35" si="82">IF($D$2="Cents",LOG(VLOOKUP(C35,Master_Frequencies,2,FALSE)/F35,2)*1200*$F$3,LOG(D35*VLOOKUP(C35,Master_Frequencies,2,FALSE)/F35,$F$3))</f>
        <v>-3.9999999999999041</v>
      </c>
      <c r="I35" s="123" t="s">
        <v>72</v>
      </c>
      <c r="J35" s="145" t="s">
        <v>76</v>
      </c>
      <c r="K35" s="97">
        <v>2</v>
      </c>
      <c r="L35" s="191">
        <f t="shared" ref="L35" si="83">K35*VLOOKUP(J35,Master_Frequencies,2,FALSE)/VLOOKUP(I35,Master_Frequencies,2,FALSE)</f>
        <v>1.5</v>
      </c>
      <c r="M35" s="145" t="s">
        <v>72</v>
      </c>
      <c r="N35" s="145" t="s">
        <v>78</v>
      </c>
      <c r="O35" s="191">
        <f t="shared" ref="O35" si="84">D35*VLOOKUP(N35,Master_Frequencies,2,FALSE)/VLOOKUP(M35,Master_Frequencies,2,FALSE)</f>
        <v>1.265625</v>
      </c>
      <c r="Q35" s="99">
        <v>9</v>
      </c>
      <c r="R35" s="18">
        <f t="shared" si="27"/>
        <v>2368.6324694544146</v>
      </c>
      <c r="S35" s="97">
        <v>3</v>
      </c>
      <c r="T35" s="4">
        <f t="shared" si="28"/>
        <v>296.07905868180183</v>
      </c>
      <c r="U35" s="18" t="str" cm="1">
        <f t="array" ref="U35">_xlfn.XLOOKUP(0,ABS($C$44:$C$56-T35),$B$44:$B$56,,1)</f>
        <v>D</v>
      </c>
      <c r="V35" s="47">
        <f t="shared" ref="V35" si="85">LOG(T35/VLOOKUP(U35,Master_Frequencies,2,FALSE),2)*1200</f>
        <v>10.753144798357358</v>
      </c>
      <c r="X35" s="85" t="s">
        <v>72</v>
      </c>
      <c r="Y35" s="4">
        <f t="shared" ref="Y35" si="86">VLOOKUP(X35,Master_Frequencies,2,FALSE)/POWER(2,$Z$25)</f>
        <v>207.94578607007205</v>
      </c>
      <c r="Z35" s="47">
        <f t="shared" ref="Z35" si="87">VLOOKUP(X35,Master_Frequencies,2,FALSE)*POWER(2,$Z$25)</f>
        <v>831.78314428028818</v>
      </c>
    </row>
    <row r="36" spans="2:26" x14ac:dyDescent="0.2">
      <c r="B36" s="123" t="s">
        <v>7</v>
      </c>
      <c r="C36" s="145" t="s">
        <v>74</v>
      </c>
      <c r="D36" s="97">
        <v>2</v>
      </c>
      <c r="E36" s="4">
        <f t="shared" ref="E36" si="88">LOG(D36*VLOOKUP(C36,Master_Frequencies,2,FALSE)/VLOOKUP(B36,Master_Frequencies,2,FALSE),2)*1200</f>
        <v>400.48971027443673</v>
      </c>
      <c r="F36" s="4">
        <f t="shared" ref="F36" si="89">VLOOKUP(B36,Master_Frequencies,2,FALSE)*5/4</f>
        <v>550.00000000000023</v>
      </c>
      <c r="G36" s="47">
        <f t="shared" ref="G36" si="90">IF($D$2="Cents",LOG(VLOOKUP(C36,Master_Frequencies,2,FALSE)/F36,2)*1200*$F$3,LOG(D36*VLOOKUP(C36,Master_Frequencies,2,FALSE)/F36,$F$3))</f>
        <v>-2.6366233646862334</v>
      </c>
      <c r="I36" s="123" t="s">
        <v>7</v>
      </c>
      <c r="J36" s="145" t="s">
        <v>4</v>
      </c>
      <c r="K36" s="97">
        <v>2</v>
      </c>
      <c r="L36" s="191">
        <f t="shared" ref="L36" si="91">K36*VLOOKUP(J36,Master_Frequencies,2,FALSE)/VLOOKUP(I36,Master_Frequencies,2,FALSE)</f>
        <v>1.4953487812212203</v>
      </c>
      <c r="M36" s="145" t="s">
        <v>7</v>
      </c>
      <c r="N36" s="145" t="s">
        <v>74</v>
      </c>
      <c r="O36" s="191">
        <f t="shared" ref="O36" si="92">D36*VLOOKUP(N36,Master_Frequencies,2,FALSE)/VLOOKUP(M36,Master_Frequencies,2,FALSE)</f>
        <v>1.2602774913337693</v>
      </c>
      <c r="Q36" s="99">
        <v>10</v>
      </c>
      <c r="R36" s="18">
        <f t="shared" si="27"/>
        <v>2631.8138549493497</v>
      </c>
      <c r="S36" s="97">
        <v>3</v>
      </c>
      <c r="T36" s="4">
        <f t="shared" si="28"/>
        <v>328.97673186866871</v>
      </c>
      <c r="U36" s="18" t="str" cm="1">
        <f t="array" ref="U36">_xlfn.XLOOKUP(0,ABS($C$44:$C$56-T36),$B$44:$B$56,,1)</f>
        <v>E</v>
      </c>
      <c r="V36" s="47">
        <f t="shared" ref="V36" si="93">LOG(T36/VLOOKUP(U36,Master_Frequencies,2,FALSE),2)*1200</f>
        <v>3.8441118045779013E-13</v>
      </c>
      <c r="X36" s="85" t="s">
        <v>7</v>
      </c>
      <c r="Y36" s="4">
        <f t="shared" ref="Y36" si="94">VLOOKUP(X36,Master_Frequencies,2,FALSE)/POWER(2,$Z$25)</f>
        <v>220.00000000000011</v>
      </c>
      <c r="Z36" s="47">
        <f t="shared" ref="Z36" si="95">VLOOKUP(X36,Master_Frequencies,2,FALSE)*POWER(2,$Z$25)</f>
        <v>880.00000000000045</v>
      </c>
    </row>
    <row r="37" spans="2:26" x14ac:dyDescent="0.2">
      <c r="B37" s="123" t="s">
        <v>73</v>
      </c>
      <c r="C37" s="145" t="s">
        <v>3</v>
      </c>
      <c r="D37" s="97">
        <v>2</v>
      </c>
      <c r="E37" s="4">
        <f t="shared" ref="E37" si="96">LOG(D37*VLOOKUP(C37,Master_Frequencies,2,FALSE)/VLOOKUP(B37,Master_Frequencies,2,FALSE),2)*1200</f>
        <v>397.06685866319265</v>
      </c>
      <c r="F37" s="4">
        <f t="shared" ref="F37" si="97">VLOOKUP(B37,Master_Frequencies,2,FALSE)*5/4</f>
        <v>584.84752332207768</v>
      </c>
      <c r="G37" s="47">
        <f t="shared" ref="G37" si="98">IF($D$2="Cents",LOG(VLOOKUP(C37,Master_Frequencies,2,FALSE)/F37,2)*1200*$F$3,LOG(D37*VLOOKUP(C37,Master_Frequencies,2,FALSE)/F37,$F$3))</f>
        <v>-1.999999999999946</v>
      </c>
      <c r="I37" s="123" t="s">
        <v>73</v>
      </c>
      <c r="J37" s="145" t="s">
        <v>5</v>
      </c>
      <c r="K37" s="97">
        <v>2</v>
      </c>
      <c r="L37" s="191">
        <f t="shared" ref="L37" si="99">K37*VLOOKUP(J37,Master_Frequencies,2,FALSE)/VLOOKUP(I37,Master_Frequencies,2,FALSE)</f>
        <v>1.5</v>
      </c>
      <c r="M37" s="145" t="s">
        <v>73</v>
      </c>
      <c r="N37" s="145" t="s">
        <v>3</v>
      </c>
      <c r="O37" s="191">
        <f t="shared" ref="O37" si="100">D37*VLOOKUP(N37,Master_Frequencies,2,FALSE)/VLOOKUP(M37,Master_Frequencies,2,FALSE)</f>
        <v>1.257788237343632</v>
      </c>
      <c r="Q37" s="99">
        <v>11</v>
      </c>
      <c r="R37" s="18">
        <f t="shared" si="27"/>
        <v>2894.9952404442843</v>
      </c>
      <c r="S37" s="97">
        <v>3</v>
      </c>
      <c r="T37" s="4">
        <f t="shared" si="28"/>
        <v>361.87440505553553</v>
      </c>
      <c r="U37" s="18" t="str" cm="1">
        <f t="array" ref="U37">_xlfn.XLOOKUP(0,ABS($C$44:$C$56-T37),$B$44:$B$56,,1)</f>
        <v>F#</v>
      </c>
      <c r="V37" s="47">
        <f t="shared" ref="V37" si="101">LOG(T37/VLOOKUP(U37,Master_Frequencies,2,FALSE),2)*1200</f>
        <v>-38.905773230852809</v>
      </c>
      <c r="X37" s="85" t="s">
        <v>73</v>
      </c>
      <c r="Y37" s="4">
        <f t="shared" ref="Y37" si="102">VLOOKUP(X37,Master_Frequencies,2,FALSE)/POWER(2,$Z$25)</f>
        <v>233.93900932883105</v>
      </c>
      <c r="Z37" s="47">
        <f t="shared" ref="Z37" si="103">VLOOKUP(X37,Master_Frequencies,2,FALSE)*POWER(2,$Z$25)</f>
        <v>935.75603731532419</v>
      </c>
    </row>
    <row r="38" spans="2:26" x14ac:dyDescent="0.2">
      <c r="B38" s="124" t="s">
        <v>8</v>
      </c>
      <c r="C38" s="153" t="s">
        <v>76</v>
      </c>
      <c r="D38" s="98">
        <v>2</v>
      </c>
      <c r="E38" s="53">
        <f t="shared" ref="E38" si="104">LOG(D38*VLOOKUP(C38,Master_Frequencies,2,FALSE)/VLOOKUP(B38,Master_Frequencies,2,FALSE),2)*1200</f>
        <v>405.8662826736155</v>
      </c>
      <c r="F38" s="53">
        <f t="shared" ref="F38" si="105">VLOOKUP(B38,Master_Frequencies,2,FALSE)*5/4</f>
        <v>616.83137225375378</v>
      </c>
      <c r="G38" s="48">
        <f t="shared" ref="G38" si="106">IF($D$2="Cents",LOG(VLOOKUP(C38,Master_Frequencies,2,FALSE)/F38,2)*1200*$F$3,LOG(D38*VLOOKUP(C38,Master_Frequencies,2,FALSE)/F38,$F$3))</f>
        <v>-3.6366233646862161</v>
      </c>
      <c r="I38" s="124" t="s">
        <v>8</v>
      </c>
      <c r="J38" s="153" t="s">
        <v>70</v>
      </c>
      <c r="K38" s="98">
        <v>2</v>
      </c>
      <c r="L38" s="192">
        <f t="shared" ref="L38" si="107">K38*VLOOKUP(J38,Master_Frequencies,2,FALSE)/VLOOKUP(I38,Master_Frequencies,2,FALSE)</f>
        <v>1.4999999999999998</v>
      </c>
      <c r="M38" s="153" t="s">
        <v>8</v>
      </c>
      <c r="N38" s="153" t="s">
        <v>76</v>
      </c>
      <c r="O38" s="192">
        <f t="shared" ref="O38" si="108">D38*VLOOKUP(N38,Master_Frequencies,2,FALSE)/VLOOKUP(M38,Master_Frequencies,2,FALSE)</f>
        <v>1.2641975308641975</v>
      </c>
      <c r="Q38" s="99">
        <v>12</v>
      </c>
      <c r="R38" s="18">
        <f t="shared" si="27"/>
        <v>3158.1766259392193</v>
      </c>
      <c r="S38" s="97">
        <v>3</v>
      </c>
      <c r="T38" s="4">
        <f t="shared" si="28"/>
        <v>394.77207824240242</v>
      </c>
      <c r="U38" s="18" t="str" cm="1">
        <f t="array" ref="U38">_xlfn.XLOOKUP(0,ABS($C$44:$C$56-T38),$B$44:$B$56,,1)</f>
        <v>G</v>
      </c>
      <c r="V38" s="47">
        <f t="shared" ref="V38" si="109">LOG(T38/VLOOKUP(U38,Master_Frequencies,2,FALSE),2)*1200</f>
        <v>5.3765723991786674</v>
      </c>
      <c r="X38" s="85" t="s">
        <v>8</v>
      </c>
      <c r="Y38" s="4">
        <f t="shared" ref="Y38" si="110">VLOOKUP(X38,Master_Frequencies,2,FALSE)/POWER(2,$Z$25)</f>
        <v>246.7325489015015</v>
      </c>
      <c r="Z38" s="47">
        <f t="shared" ref="Z38" si="111">VLOOKUP(X38,Master_Frequencies,2,FALSE)*POWER(2,$Z$25)</f>
        <v>986.93019560600601</v>
      </c>
    </row>
    <row r="39" spans="2:26" x14ac:dyDescent="0.2">
      <c r="Q39" s="100">
        <v>13</v>
      </c>
      <c r="R39" s="50">
        <f t="shared" si="27"/>
        <v>3421.3580114341544</v>
      </c>
      <c r="S39" s="98">
        <v>3</v>
      </c>
      <c r="T39" s="53">
        <f t="shared" si="28"/>
        <v>427.6697514292693</v>
      </c>
      <c r="U39" s="50" t="str" cm="1">
        <f t="array" ref="U39">_xlfn.XLOOKUP(0,ABS($C$44:$C$56-T39),$B$44:$B$56,,1)</f>
        <v>G#</v>
      </c>
      <c r="V39" s="48">
        <f t="shared" ref="V39" si="112">LOG(T39/VLOOKUP(U39,Master_Frequencies,2,FALSE),2)*1200</f>
        <v>48.347665230860265</v>
      </c>
      <c r="X39" s="87" t="s">
        <v>78</v>
      </c>
      <c r="Y39" s="53">
        <f t="shared" ref="Y39" si="113">VLOOKUP(X39,Master_Frequencies,2,FALSE)/POWER(2,$Z$25)</f>
        <v>263.18138549493494</v>
      </c>
      <c r="Z39" s="48">
        <f t="shared" ref="Z39" si="114">VLOOKUP(X39,Master_Frequencies,2,FALSE)*POWER(2,$Z$25)</f>
        <v>1052.7255419797398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263.18138549493494</v>
      </c>
    </row>
    <row r="45" spans="2:26" x14ac:dyDescent="0.2">
      <c r="B45" s="92" t="s">
        <v>74</v>
      </c>
      <c r="C45" s="93">
        <f t="shared" ref="C45:C56" si="115">VLOOKUP(B45,$B$9:$H$21,7,FALSE)</f>
        <v>277.26104809342939</v>
      </c>
    </row>
    <row r="46" spans="2:26" x14ac:dyDescent="0.2">
      <c r="B46" s="92" t="s">
        <v>3</v>
      </c>
      <c r="C46" s="93">
        <f t="shared" si="115"/>
        <v>294.24573418962586</v>
      </c>
    </row>
    <row r="47" spans="2:26" x14ac:dyDescent="0.2">
      <c r="B47" s="92" t="s">
        <v>76</v>
      </c>
      <c r="C47" s="93">
        <f t="shared" si="115"/>
        <v>311.91867910510808</v>
      </c>
    </row>
    <row r="48" spans="2:26" x14ac:dyDescent="0.2">
      <c r="B48" s="92" t="s">
        <v>4</v>
      </c>
      <c r="C48" s="93">
        <f t="shared" si="115"/>
        <v>328.97673186866865</v>
      </c>
    </row>
    <row r="49" spans="2:3" x14ac:dyDescent="0.2">
      <c r="B49" s="92" t="s">
        <v>5</v>
      </c>
      <c r="C49" s="93">
        <f t="shared" si="115"/>
        <v>350.90851399324657</v>
      </c>
    </row>
    <row r="50" spans="2:3" x14ac:dyDescent="0.2">
      <c r="B50" s="92" t="s">
        <v>70</v>
      </c>
      <c r="C50" s="93">
        <f t="shared" si="115"/>
        <v>370.09882335225223</v>
      </c>
    </row>
    <row r="51" spans="2:3" x14ac:dyDescent="0.2">
      <c r="B51" s="92" t="s">
        <v>6</v>
      </c>
      <c r="C51" s="93">
        <f t="shared" si="115"/>
        <v>393.54796403996318</v>
      </c>
    </row>
    <row r="52" spans="2:3" x14ac:dyDescent="0.2">
      <c r="B52" s="92" t="s">
        <v>72</v>
      </c>
      <c r="C52" s="93">
        <f t="shared" si="115"/>
        <v>415.89157214014409</v>
      </c>
    </row>
    <row r="53" spans="2:3" x14ac:dyDescent="0.2">
      <c r="B53" s="92" t="s">
        <v>7</v>
      </c>
      <c r="C53" s="93">
        <f t="shared" si="115"/>
        <v>440.00000000000023</v>
      </c>
    </row>
    <row r="54" spans="2:3" x14ac:dyDescent="0.2">
      <c r="B54" s="92" t="s">
        <v>73</v>
      </c>
      <c r="C54" s="93">
        <f t="shared" si="115"/>
        <v>467.8780186576621</v>
      </c>
    </row>
    <row r="55" spans="2:3" x14ac:dyDescent="0.2">
      <c r="B55" s="92" t="s">
        <v>8</v>
      </c>
      <c r="C55" s="93">
        <f t="shared" si="115"/>
        <v>493.465097803003</v>
      </c>
    </row>
    <row r="56" spans="2:3" ht="16" thickBot="1" x14ac:dyDescent="0.25">
      <c r="B56" s="94" t="s">
        <v>78</v>
      </c>
      <c r="C56" s="95">
        <f t="shared" si="115"/>
        <v>526.36277098986989</v>
      </c>
    </row>
    <row r="57" spans="2:3" ht="16" thickTop="1" x14ac:dyDescent="0.2"/>
  </sheetData>
  <sheetProtection sheet="1" scenarios="1" formatCells="0"/>
  <mergeCells count="9">
    <mergeCell ref="B1:G1"/>
    <mergeCell ref="B7:H7"/>
    <mergeCell ref="J7:N7"/>
    <mergeCell ref="P7:U7"/>
    <mergeCell ref="X24:Z24"/>
    <mergeCell ref="B25:D25"/>
    <mergeCell ref="I25:O25"/>
    <mergeCell ref="Q25:V25"/>
    <mergeCell ref="B42:C42"/>
  </mergeCells>
  <conditionalFormatting sqref="A1 H1:XFD1 A2:XFD1048576">
    <cfRule type="expression" dxfId="67" priority="1">
      <formula>CELL("protect",A1)=0</formula>
    </cfRule>
    <cfRule type="expression" dxfId="66"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28CFD90E-17F2-7543-A20B-C74894A8D230}">
      <formula1>Units</formula1>
    </dataValidation>
  </dataValidations>
  <hyperlinks>
    <hyperlink ref="B40" location="Overview!A1" display="Back to Overview" xr:uid="{E7432B9D-8D5C-124D-8B0C-CF7F336A2E3C}"/>
    <hyperlink ref="B4" location="Overview!A1" display="Back to Overview" xr:uid="{DCEE3590-7F05-6542-802D-9F7AF9A411C4}"/>
  </hyperlink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E88C-5D1E-CA4E-9B61-C7D08F8A0B36}">
  <sheetPr codeName="Sheet14">
    <tabColor theme="8"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150</v>
      </c>
      <c r="C1" s="289"/>
      <c r="D1" s="289"/>
      <c r="E1" s="289"/>
      <c r="F1" s="289"/>
      <c r="G1" s="289"/>
    </row>
    <row r="2" spans="2:23" s="70" customFormat="1" ht="32" x14ac:dyDescent="0.2">
      <c r="D2" s="154" t="s">
        <v>48</v>
      </c>
      <c r="E2" s="72" t="str">
        <f>D2</f>
        <v>Syntonic Comma</v>
      </c>
      <c r="F2" s="72" t="str">
        <f>_xlfn.CONCAT("1/",D3," ",D2)</f>
        <v>1/4 Syntonic Comma</v>
      </c>
      <c r="G2" s="102"/>
      <c r="H2" s="103" t="s">
        <v>143</v>
      </c>
      <c r="I2" s="161">
        <v>440</v>
      </c>
      <c r="J2" s="103" t="str">
        <f>_xlfn.CONCAT("C for A=", I2,":")</f>
        <v>C for A=440:</v>
      </c>
      <c r="K2" s="70">
        <f>I2*2*8/27*POWER($F$3,$D$13-$D$10)</f>
        <v>263.18138549493494</v>
      </c>
      <c r="L2" s="103"/>
      <c r="U2" s="103"/>
      <c r="V2" s="103"/>
      <c r="W2" s="103"/>
    </row>
    <row r="3" spans="2:23" ht="16" x14ac:dyDescent="0.2">
      <c r="B3" s="105"/>
      <c r="C3" s="74" t="s">
        <v>125</v>
      </c>
      <c r="D3" s="155">
        <v>4</v>
      </c>
      <c r="E3" s="1">
        <f>IF(D2="Pythagorean Comma",524288/531441,IF(D2="Syntonic Comma",80/81,IF(D2="Cents",1/POWER(2,1/1200),"Not in List")))</f>
        <v>0.98765432098765427</v>
      </c>
      <c r="F3" s="132">
        <f>POWER(E3,1/D3)</f>
        <v>0.99689918748081363</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156">
        <v>0</v>
      </c>
      <c r="D10" s="4">
        <f>C10</f>
        <v>0</v>
      </c>
      <c r="E10" s="109">
        <f>K2</f>
        <v>263.18138549493494</v>
      </c>
      <c r="G10" s="97">
        <v>0</v>
      </c>
      <c r="H10" s="148">
        <f t="shared" ref="H10:H22" si="0">E10/POWER(2,G10)</f>
        <v>263.18138549493494</v>
      </c>
      <c r="J10" s="85" t="s">
        <v>2</v>
      </c>
      <c r="K10" s="4">
        <f t="shared" ref="K10:K22" si="1">VLOOKUP(J10,Master_Frequencies,2,FALSE)</f>
        <v>263.18138549493494</v>
      </c>
      <c r="L10" s="4">
        <f t="shared" ref="L10:L22" si="2">LOG(K10/K$10,2)*1200</f>
        <v>0</v>
      </c>
      <c r="N10" s="158">
        <v>3600</v>
      </c>
      <c r="P10" s="123" t="s">
        <v>2</v>
      </c>
      <c r="Q10" s="4">
        <f>E10</f>
        <v>263.18138549493494</v>
      </c>
      <c r="R10" s="4">
        <f t="shared" ref="R10:R22" si="3">LOG(VLOOKUP(P10,Master_Frequencies,2,FALSE)/Q10,2)*1200</f>
        <v>0</v>
      </c>
      <c r="S10" s="145" t="s">
        <v>2</v>
      </c>
      <c r="T10" s="4">
        <f>VLOOKUP(S10,$P$10:$Q$22,2,FALSE)</f>
        <v>263.18138549493494</v>
      </c>
      <c r="U10" s="47">
        <f t="shared" ref="U10:U22" si="4">VLOOKUP(S10,$P$10:$R$22,3,FALSE)</f>
        <v>0</v>
      </c>
    </row>
    <row r="11" spans="2:23" x14ac:dyDescent="0.2">
      <c r="B11" s="123" t="s">
        <v>6</v>
      </c>
      <c r="C11" s="156">
        <v>-1</v>
      </c>
      <c r="D11" s="4">
        <f>D10+C11</f>
        <v>-1</v>
      </c>
      <c r="E11" s="4">
        <f t="shared" ref="E11:E19" si="5">IF(C11&lt;0,(E10*3/2)*POWER($F$3,ABS(C11)),(E10*3/2)*POWER(1/$F$3,ABS(C11)))</f>
        <v>393.54796403996318</v>
      </c>
      <c r="F11" s="4">
        <f t="shared" ref="F11:F22" si="6">LOG(E11/E10,2)*1200</f>
        <v>696.57842846620861</v>
      </c>
      <c r="G11" s="97">
        <v>0</v>
      </c>
      <c r="H11" s="148">
        <f t="shared" si="0"/>
        <v>393.54796403996318</v>
      </c>
      <c r="J11" s="85" t="s">
        <v>74</v>
      </c>
      <c r="K11" s="4">
        <f t="shared" si="1"/>
        <v>275.00000000000011</v>
      </c>
      <c r="L11" s="4">
        <f t="shared" si="2"/>
        <v>76.048999263460743</v>
      </c>
      <c r="M11" s="4">
        <f t="shared" ref="M11:M22" si="7">LOG(K11/K10,2)*1200</f>
        <v>76.048999263460743</v>
      </c>
      <c r="N11" s="47">
        <f t="shared" ref="N11:N22" si="8">N$10*K$10/K11</f>
        <v>3445.2835919336922</v>
      </c>
      <c r="P11" s="123" t="s">
        <v>74</v>
      </c>
      <c r="Q11" s="4">
        <f t="shared" ref="Q11:Q22" si="9">Q10*POWER($Q$10*2/$Q$10,1/12)</f>
        <v>278.83096505423032</v>
      </c>
      <c r="R11" s="4">
        <f t="shared" si="3"/>
        <v>-23.951000736539221</v>
      </c>
      <c r="S11" s="145" t="s">
        <v>6</v>
      </c>
      <c r="T11" s="4">
        <f t="shared" ref="T11:T22" si="10">VLOOKUP(S11,$P$10:$Q$22,2,FALSE)</f>
        <v>394.32653238927111</v>
      </c>
      <c r="U11" s="47">
        <f t="shared" si="4"/>
        <v>-3.4215715337915875</v>
      </c>
    </row>
    <row r="12" spans="2:23" x14ac:dyDescent="0.2">
      <c r="B12" s="123" t="s">
        <v>3</v>
      </c>
      <c r="C12" s="156">
        <v>-1</v>
      </c>
      <c r="D12" s="4">
        <f t="shared" ref="D12:D19" si="11">D11+C12</f>
        <v>-2</v>
      </c>
      <c r="E12" s="4">
        <f t="shared" si="5"/>
        <v>588.49146837925173</v>
      </c>
      <c r="F12" s="4">
        <f t="shared" si="6"/>
        <v>696.57842846620895</v>
      </c>
      <c r="G12" s="97">
        <v>1</v>
      </c>
      <c r="H12" s="148">
        <f t="shared" si="0"/>
        <v>294.24573418962586</v>
      </c>
      <c r="J12" s="85" t="s">
        <v>3</v>
      </c>
      <c r="K12" s="4">
        <f t="shared" si="1"/>
        <v>294.24573418962586</v>
      </c>
      <c r="L12" s="4">
        <f t="shared" si="2"/>
        <v>193.1568569324175</v>
      </c>
      <c r="M12" s="4">
        <f t="shared" si="7"/>
        <v>117.10785766895694</v>
      </c>
      <c r="N12" s="47">
        <f t="shared" si="8"/>
        <v>3219.9378875996968</v>
      </c>
      <c r="P12" s="123" t="s">
        <v>3</v>
      </c>
      <c r="Q12" s="4">
        <f t="shared" si="9"/>
        <v>295.4111170395434</v>
      </c>
      <c r="R12" s="4">
        <f t="shared" si="3"/>
        <v>-6.8431430675824663</v>
      </c>
      <c r="S12" s="145" t="s">
        <v>3</v>
      </c>
      <c r="T12" s="4">
        <f t="shared" si="10"/>
        <v>295.4111170395434</v>
      </c>
      <c r="U12" s="47">
        <f t="shared" si="4"/>
        <v>-6.8431430675824663</v>
      </c>
    </row>
    <row r="13" spans="2:23" x14ac:dyDescent="0.2">
      <c r="B13" s="123" t="s">
        <v>7</v>
      </c>
      <c r="C13" s="156">
        <v>-1</v>
      </c>
      <c r="D13" s="4">
        <f t="shared" si="11"/>
        <v>-3</v>
      </c>
      <c r="E13" s="4">
        <f t="shared" si="5"/>
        <v>880.00000000000045</v>
      </c>
      <c r="F13" s="4">
        <f t="shared" si="6"/>
        <v>696.57842846620861</v>
      </c>
      <c r="G13" s="97">
        <v>1</v>
      </c>
      <c r="H13" s="148">
        <f t="shared" si="0"/>
        <v>440.00000000000023</v>
      </c>
      <c r="J13" s="85" t="s">
        <v>76</v>
      </c>
      <c r="K13" s="4">
        <f t="shared" si="1"/>
        <v>307.45934690622119</v>
      </c>
      <c r="L13" s="4">
        <f t="shared" si="2"/>
        <v>269.20585619587797</v>
      </c>
      <c r="M13" s="4">
        <f t="shared" si="7"/>
        <v>76.048999263460388</v>
      </c>
      <c r="N13" s="47">
        <f t="shared" si="8"/>
        <v>3081.5553253313528</v>
      </c>
      <c r="P13" s="123" t="s">
        <v>76</v>
      </c>
      <c r="Q13" s="4">
        <f t="shared" si="9"/>
        <v>312.9771761668506</v>
      </c>
      <c r="R13" s="4">
        <f t="shared" si="3"/>
        <v>-30.794143804122168</v>
      </c>
      <c r="S13" s="145" t="s">
        <v>7</v>
      </c>
      <c r="T13" s="4">
        <f t="shared" si="10"/>
        <v>442.61656724839361</v>
      </c>
      <c r="U13" s="47">
        <f t="shared" si="4"/>
        <v>-10.264714601374356</v>
      </c>
    </row>
    <row r="14" spans="2:23" x14ac:dyDescent="0.2">
      <c r="B14" s="123" t="s">
        <v>4</v>
      </c>
      <c r="C14" s="156">
        <v>-1</v>
      </c>
      <c r="D14" s="4">
        <f t="shared" si="11"/>
        <v>-4</v>
      </c>
      <c r="E14" s="4">
        <f t="shared" si="5"/>
        <v>1315.9069274746746</v>
      </c>
      <c r="F14" s="4">
        <f t="shared" si="6"/>
        <v>696.57842846620838</v>
      </c>
      <c r="G14" s="97">
        <v>2</v>
      </c>
      <c r="H14" s="148">
        <f t="shared" si="0"/>
        <v>328.97673186866865</v>
      </c>
      <c r="J14" s="85" t="s">
        <v>4</v>
      </c>
      <c r="K14" s="4">
        <f t="shared" si="1"/>
        <v>328.97673186866865</v>
      </c>
      <c r="L14" s="4">
        <f t="shared" si="2"/>
        <v>386.31371386483482</v>
      </c>
      <c r="M14" s="4">
        <f t="shared" si="7"/>
        <v>117.1078576689566</v>
      </c>
      <c r="N14" s="47">
        <f t="shared" si="8"/>
        <v>2880</v>
      </c>
      <c r="P14" s="123" t="s">
        <v>4</v>
      </c>
      <c r="Q14" s="4">
        <f t="shared" si="9"/>
        <v>331.58776752556582</v>
      </c>
      <c r="R14" s="4">
        <f t="shared" si="3"/>
        <v>-13.686286135165501</v>
      </c>
      <c r="S14" s="145" t="s">
        <v>4</v>
      </c>
      <c r="T14" s="4">
        <f t="shared" si="10"/>
        <v>331.58776752556582</v>
      </c>
      <c r="U14" s="47">
        <f t="shared" si="4"/>
        <v>-13.686286135165501</v>
      </c>
    </row>
    <row r="15" spans="2:23" x14ac:dyDescent="0.2">
      <c r="B15" s="123" t="s">
        <v>8</v>
      </c>
      <c r="C15" s="156">
        <v>-1</v>
      </c>
      <c r="D15" s="4">
        <f t="shared" si="11"/>
        <v>-5</v>
      </c>
      <c r="E15" s="4">
        <f t="shared" si="5"/>
        <v>1967.7398201998158</v>
      </c>
      <c r="F15" s="4">
        <f t="shared" si="6"/>
        <v>696.57842846620861</v>
      </c>
      <c r="G15" s="97">
        <v>2</v>
      </c>
      <c r="H15" s="148">
        <f t="shared" si="0"/>
        <v>491.93495504995394</v>
      </c>
      <c r="J15" s="85" t="s">
        <v>5</v>
      </c>
      <c r="K15" s="4">
        <f t="shared" si="1"/>
        <v>352.00000000000017</v>
      </c>
      <c r="L15" s="4">
        <f t="shared" si="2"/>
        <v>503.42157153379134</v>
      </c>
      <c r="M15" s="4">
        <f t="shared" si="7"/>
        <v>117.1078576689566</v>
      </c>
      <c r="N15" s="47">
        <f t="shared" si="8"/>
        <v>2691.627806198197</v>
      </c>
      <c r="P15" s="123" t="s">
        <v>5</v>
      </c>
      <c r="Q15" s="4">
        <f t="shared" si="9"/>
        <v>351.30500223432659</v>
      </c>
      <c r="R15" s="4">
        <f t="shared" si="3"/>
        <v>3.421571533791155</v>
      </c>
      <c r="S15" s="145" t="s">
        <v>8</v>
      </c>
      <c r="T15" s="4">
        <f t="shared" si="10"/>
        <v>496.82029868929521</v>
      </c>
      <c r="U15" s="47">
        <f t="shared" si="4"/>
        <v>-17.107857668956996</v>
      </c>
    </row>
    <row r="16" spans="2:23" x14ac:dyDescent="0.2">
      <c r="B16" s="123" t="s">
        <v>70</v>
      </c>
      <c r="C16" s="156">
        <v>-1</v>
      </c>
      <c r="D16" s="4">
        <f t="shared" si="11"/>
        <v>-6</v>
      </c>
      <c r="E16" s="4">
        <f t="shared" si="5"/>
        <v>2942.4573418962582</v>
      </c>
      <c r="F16" s="4">
        <f t="shared" si="6"/>
        <v>696.57842846620861</v>
      </c>
      <c r="G16" s="97">
        <v>3</v>
      </c>
      <c r="H16" s="148">
        <f t="shared" si="0"/>
        <v>367.80716773703227</v>
      </c>
      <c r="J16" s="85" t="s">
        <v>70</v>
      </c>
      <c r="K16" s="4">
        <f t="shared" si="1"/>
        <v>367.80716773703227</v>
      </c>
      <c r="L16" s="4">
        <f t="shared" si="2"/>
        <v>579.47057079725209</v>
      </c>
      <c r="M16" s="4">
        <f t="shared" si="7"/>
        <v>76.048999263460743</v>
      </c>
      <c r="N16" s="47">
        <f t="shared" si="8"/>
        <v>2575.9503100797579</v>
      </c>
      <c r="P16" s="123" t="s">
        <v>70</v>
      </c>
      <c r="Q16" s="4">
        <f t="shared" si="9"/>
        <v>372.19468473107878</v>
      </c>
      <c r="R16" s="4">
        <f t="shared" si="3"/>
        <v>-20.529429202748009</v>
      </c>
      <c r="S16" s="145" t="s">
        <v>70</v>
      </c>
      <c r="T16" s="4">
        <f t="shared" si="10"/>
        <v>372.19468473107878</v>
      </c>
      <c r="U16" s="47">
        <f t="shared" si="4"/>
        <v>-20.529429202748009</v>
      </c>
    </row>
    <row r="17" spans="2:26" x14ac:dyDescent="0.2">
      <c r="B17" s="123" t="s">
        <v>74</v>
      </c>
      <c r="C17" s="156">
        <v>-1</v>
      </c>
      <c r="D17" s="4">
        <f t="shared" si="11"/>
        <v>-7</v>
      </c>
      <c r="E17" s="4">
        <f t="shared" si="5"/>
        <v>4400.0000000000018</v>
      </c>
      <c r="F17" s="4">
        <f t="shared" si="6"/>
        <v>696.57842846620861</v>
      </c>
      <c r="G17" s="97">
        <v>4</v>
      </c>
      <c r="H17" s="148">
        <f t="shared" si="0"/>
        <v>275.00000000000011</v>
      </c>
      <c r="J17" s="85" t="s">
        <v>6</v>
      </c>
      <c r="K17" s="4">
        <f t="shared" si="1"/>
        <v>393.54796403996318</v>
      </c>
      <c r="L17" s="4">
        <f t="shared" si="2"/>
        <v>696.57842846620861</v>
      </c>
      <c r="M17" s="4">
        <f t="shared" si="7"/>
        <v>117.1078576689566</v>
      </c>
      <c r="N17" s="47">
        <f t="shared" si="8"/>
        <v>2407.4650979151193</v>
      </c>
      <c r="P17" s="123" t="s">
        <v>6</v>
      </c>
      <c r="Q17" s="4">
        <f t="shared" si="9"/>
        <v>394.32653238927111</v>
      </c>
      <c r="R17" s="4">
        <f t="shared" si="3"/>
        <v>-3.4215715337915875</v>
      </c>
      <c r="S17" s="145" t="s">
        <v>74</v>
      </c>
      <c r="T17" s="4">
        <f t="shared" si="10"/>
        <v>278.83096505423032</v>
      </c>
      <c r="U17" s="47">
        <f t="shared" si="4"/>
        <v>-23.951000736539221</v>
      </c>
    </row>
    <row r="18" spans="2:26" x14ac:dyDescent="0.2">
      <c r="B18" s="123" t="s">
        <v>72</v>
      </c>
      <c r="C18" s="156">
        <v>-1</v>
      </c>
      <c r="D18" s="4">
        <f t="shared" si="11"/>
        <v>-8</v>
      </c>
      <c r="E18" s="4">
        <f t="shared" si="5"/>
        <v>6579.5346373733728</v>
      </c>
      <c r="F18" s="4">
        <f t="shared" si="6"/>
        <v>696.57842846620861</v>
      </c>
      <c r="G18" s="97">
        <v>4</v>
      </c>
      <c r="H18" s="148">
        <f t="shared" si="0"/>
        <v>411.2209148358358</v>
      </c>
      <c r="J18" s="85" t="s">
        <v>72</v>
      </c>
      <c r="K18" s="4">
        <f t="shared" si="1"/>
        <v>411.2209148358358</v>
      </c>
      <c r="L18" s="4">
        <f t="shared" si="2"/>
        <v>772.62742772966942</v>
      </c>
      <c r="M18" s="4">
        <f t="shared" si="7"/>
        <v>76.048999263460743</v>
      </c>
      <c r="N18" s="47">
        <f t="shared" si="8"/>
        <v>2304</v>
      </c>
      <c r="P18" s="123" t="s">
        <v>72</v>
      </c>
      <c r="Q18" s="4">
        <f t="shared" si="9"/>
        <v>417.77440819310806</v>
      </c>
      <c r="R18" s="4">
        <f t="shared" si="3"/>
        <v>-27.372572270330952</v>
      </c>
      <c r="S18" s="145" t="s">
        <v>72</v>
      </c>
      <c r="T18" s="4">
        <f t="shared" si="10"/>
        <v>417.77440819310806</v>
      </c>
      <c r="U18" s="47">
        <f t="shared" si="4"/>
        <v>-27.372572270330952</v>
      </c>
    </row>
    <row r="19" spans="2:26" x14ac:dyDescent="0.2">
      <c r="B19" s="123" t="s">
        <v>76</v>
      </c>
      <c r="C19" s="156">
        <v>-1</v>
      </c>
      <c r="D19" s="4">
        <f t="shared" si="11"/>
        <v>-9</v>
      </c>
      <c r="E19" s="4">
        <f t="shared" si="5"/>
        <v>9838.6991009990779</v>
      </c>
      <c r="F19" s="4">
        <f t="shared" si="6"/>
        <v>696.57842846620861</v>
      </c>
      <c r="G19" s="97">
        <v>5</v>
      </c>
      <c r="H19" s="148">
        <f t="shared" si="0"/>
        <v>307.45934690622119</v>
      </c>
      <c r="J19" s="85" t="s">
        <v>7</v>
      </c>
      <c r="K19" s="4">
        <f t="shared" si="1"/>
        <v>440.00000000000023</v>
      </c>
      <c r="L19" s="4">
        <f t="shared" si="2"/>
        <v>889.73528539862605</v>
      </c>
      <c r="M19" s="4">
        <f t="shared" si="7"/>
        <v>117.1078576689566</v>
      </c>
      <c r="N19" s="47">
        <f t="shared" si="8"/>
        <v>2153.3022449585574</v>
      </c>
      <c r="P19" s="123" t="s">
        <v>7</v>
      </c>
      <c r="Q19" s="4">
        <f t="shared" si="9"/>
        <v>442.61656724839361</v>
      </c>
      <c r="R19" s="4">
        <f t="shared" si="3"/>
        <v>-10.264714601374356</v>
      </c>
      <c r="S19" s="145" t="s">
        <v>76</v>
      </c>
      <c r="T19" s="4">
        <f t="shared" si="10"/>
        <v>312.9771761668506</v>
      </c>
      <c r="U19" s="47">
        <f t="shared" si="4"/>
        <v>-30.794143804122168</v>
      </c>
    </row>
    <row r="20" spans="2:26" x14ac:dyDescent="0.2">
      <c r="B20" s="128" t="s">
        <v>77</v>
      </c>
      <c r="C20" s="187">
        <v>1</v>
      </c>
      <c r="D20" s="129">
        <f>D21+C20</f>
        <v>3</v>
      </c>
      <c r="E20" s="129">
        <f t="shared" ref="E20:E21" si="12">IF(D20&lt;0,(E21*2/3)*POWER($F$3,ABS(C20)),(E21*2/3)*POWER(1/$F$3,ABS(C20)))</f>
        <v>157.41918561598524</v>
      </c>
      <c r="F20" s="129">
        <f t="shared" si="6"/>
        <v>-7158.9411415945051</v>
      </c>
      <c r="G20" s="131">
        <v>-1</v>
      </c>
      <c r="H20" s="150">
        <f t="shared" si="0"/>
        <v>314.83837123197048</v>
      </c>
      <c r="J20" s="85" t="s">
        <v>73</v>
      </c>
      <c r="K20" s="4">
        <f t="shared" si="1"/>
        <v>470.79317470340129</v>
      </c>
      <c r="L20" s="4">
        <f t="shared" si="2"/>
        <v>1006.8431430675824</v>
      </c>
      <c r="M20" s="4">
        <f t="shared" si="7"/>
        <v>117.10785766895623</v>
      </c>
      <c r="N20" s="47">
        <f t="shared" si="8"/>
        <v>2012.4611797498108</v>
      </c>
      <c r="P20" s="123" t="s">
        <v>73</v>
      </c>
      <c r="Q20" s="4">
        <f t="shared" si="9"/>
        <v>468.9359179516722</v>
      </c>
      <c r="R20" s="4">
        <f t="shared" si="3"/>
        <v>6.843143067581865</v>
      </c>
      <c r="S20" s="145" t="s">
        <v>73</v>
      </c>
      <c r="T20" s="4">
        <f t="shared" si="10"/>
        <v>468.9359179516722</v>
      </c>
      <c r="U20" s="47">
        <f t="shared" si="4"/>
        <v>6.843143067581865</v>
      </c>
    </row>
    <row r="21" spans="2:26" x14ac:dyDescent="0.2">
      <c r="B21" s="123" t="s">
        <v>73</v>
      </c>
      <c r="C21" s="156">
        <v>1</v>
      </c>
      <c r="D21" s="4">
        <f>D22+C21</f>
        <v>2</v>
      </c>
      <c r="E21" s="4">
        <f t="shared" si="12"/>
        <v>235.39658735170065</v>
      </c>
      <c r="F21" s="4">
        <f t="shared" si="6"/>
        <v>696.57842846620895</v>
      </c>
      <c r="G21" s="97">
        <v>-1</v>
      </c>
      <c r="H21" s="148">
        <f t="shared" si="0"/>
        <v>470.79317470340129</v>
      </c>
      <c r="J21" s="85" t="s">
        <v>8</v>
      </c>
      <c r="K21" s="4">
        <f t="shared" si="1"/>
        <v>491.93495504995394</v>
      </c>
      <c r="L21" s="4">
        <f t="shared" si="2"/>
        <v>1082.8921423310435</v>
      </c>
      <c r="M21" s="4">
        <f t="shared" si="7"/>
        <v>76.048999263461113</v>
      </c>
      <c r="N21" s="47">
        <f t="shared" si="8"/>
        <v>1925.9720783320954</v>
      </c>
      <c r="P21" s="123" t="s">
        <v>8</v>
      </c>
      <c r="Q21" s="4">
        <f t="shared" si="9"/>
        <v>496.82029868929521</v>
      </c>
      <c r="R21" s="4">
        <f t="shared" si="3"/>
        <v>-17.107857668956996</v>
      </c>
      <c r="S21" s="145" t="s">
        <v>5</v>
      </c>
      <c r="T21" s="4">
        <f t="shared" si="10"/>
        <v>351.30500223432659</v>
      </c>
      <c r="U21" s="47">
        <f t="shared" si="4"/>
        <v>3.421571533791155</v>
      </c>
    </row>
    <row r="22" spans="2:26" x14ac:dyDescent="0.2">
      <c r="B22" s="123" t="s">
        <v>5</v>
      </c>
      <c r="C22" s="156">
        <v>1</v>
      </c>
      <c r="D22" s="4">
        <f>D23+C22</f>
        <v>1</v>
      </c>
      <c r="E22" s="4">
        <f>IF(D22&lt;0,(E23*2/3)*POWER($F$3,ABS(C22)),(E23*2/3)*POWER(1/$F$3,ABS(C22)))</f>
        <v>352.00000000000017</v>
      </c>
      <c r="F22" s="4">
        <f t="shared" si="6"/>
        <v>696.57842846620895</v>
      </c>
      <c r="G22" s="97">
        <v>0</v>
      </c>
      <c r="H22" s="47">
        <f t="shared" si="0"/>
        <v>352.00000000000017</v>
      </c>
      <c r="J22" s="87" t="s">
        <v>78</v>
      </c>
      <c r="K22" s="53">
        <f t="shared" si="1"/>
        <v>526.36277098986989</v>
      </c>
      <c r="L22" s="53">
        <f t="shared" si="2"/>
        <v>1200</v>
      </c>
      <c r="M22" s="53">
        <f t="shared" si="7"/>
        <v>117.1078576689566</v>
      </c>
      <c r="N22" s="48">
        <f t="shared" si="8"/>
        <v>1800</v>
      </c>
      <c r="P22" s="49" t="s">
        <v>78</v>
      </c>
      <c r="Q22" s="53">
        <f t="shared" si="9"/>
        <v>526.36277098987</v>
      </c>
      <c r="R22" s="53">
        <f t="shared" si="3"/>
        <v>-3.8441118045779024E-13</v>
      </c>
      <c r="S22" s="50" t="s">
        <v>78</v>
      </c>
      <c r="T22" s="53">
        <f t="shared" si="10"/>
        <v>526.36277098987</v>
      </c>
      <c r="U22" s="48">
        <f t="shared" si="4"/>
        <v>-3.8441118045779024E-13</v>
      </c>
    </row>
    <row r="23" spans="2:26" x14ac:dyDescent="0.2">
      <c r="B23" s="108" t="s">
        <v>78</v>
      </c>
      <c r="C23" s="157">
        <v>0</v>
      </c>
      <c r="D23" s="53">
        <v>0</v>
      </c>
      <c r="E23" s="53">
        <f>E10*2</f>
        <v>526.36277098986989</v>
      </c>
      <c r="F23" s="53">
        <f t="shared" ref="F23" si="13">LOG(E23/E22,2)*1200</f>
        <v>696.57842846620861</v>
      </c>
      <c r="G23" s="53">
        <v>0</v>
      </c>
      <c r="H23" s="48">
        <f t="shared" ref="H23" si="14">E23/POWER(2,G23)</f>
        <v>526.36277098986989</v>
      </c>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48" x14ac:dyDescent="0.2">
      <c r="B27" s="83" t="s">
        <v>130</v>
      </c>
      <c r="C27" s="84" t="s">
        <v>131</v>
      </c>
      <c r="D27" s="84" t="s">
        <v>132</v>
      </c>
      <c r="E27" s="84" t="str" cm="1">
        <f t="array" aca="1" ref="E27" ca="1">_xlfn.CONCAT(_xlfn.TEXTAFTER(CELL("filename",A2),"]")," Interval in cents")</f>
        <v>Meantone Oct 1 Interval in cents</v>
      </c>
      <c r="F27" s="84" t="s">
        <v>18</v>
      </c>
      <c r="G27" s="52" t="str">
        <f>_xlfn.CONCAT("diff ",$F$2)</f>
        <v>diff 1/4 Syntonic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5">LOG(D28*VLOOKUP(C28,Master_Frequencies,2,FALSE)/VLOOKUP(B28,Master_Frequencies,2,FALSE),2)*1200</f>
        <v>386.31371386483482</v>
      </c>
      <c r="F28" s="4">
        <f t="shared" ref="F28:F39" si="16">VLOOKUP(B28,Master_Frequencies,2,FALSE)*5/4</f>
        <v>328.97673186866871</v>
      </c>
      <c r="G28" s="47">
        <f t="shared" ref="G28:G39" si="17">IF($D$2="Cents",LOG(D28*VLOOKUP(C28,Master_Frequencies,2,FALSE)/F28,2)*1200*$F$3,LOG(D28*VLOOKUP(C28,Master_Frequencies,2,FALSE)/F28,$F$3))</f>
        <v>7.1497443337041678E-14</v>
      </c>
      <c r="I28" s="123" t="s">
        <v>2</v>
      </c>
      <c r="J28" s="145" t="s">
        <v>6</v>
      </c>
      <c r="K28" s="97">
        <v>1</v>
      </c>
      <c r="L28" s="191">
        <f t="shared" ref="L28:L39" si="18">K28*VLOOKUP(J28,Master_Frequencies,2,FALSE)/VLOOKUP(I28,Master_Frequencies,2,FALSE)</f>
        <v>1.4953487812212205</v>
      </c>
      <c r="M28" s="145" t="s">
        <v>2</v>
      </c>
      <c r="N28" s="145" t="s">
        <v>4</v>
      </c>
      <c r="O28" s="191">
        <f t="shared" ref="O28:O39" si="19">D28*VLOOKUP(N28,Master_Frequencies,2,FALSE)/VLOOKUP(M28,Master_Frequencies,2,FALSE)</f>
        <v>1.25</v>
      </c>
      <c r="Q28" s="99">
        <v>1</v>
      </c>
      <c r="R28" s="18">
        <f>$E$10*Q28</f>
        <v>263.18138549493494</v>
      </c>
      <c r="S28" s="97">
        <v>0</v>
      </c>
      <c r="T28" s="4">
        <f>R28/POWER(2,S28)</f>
        <v>263.18138549493494</v>
      </c>
      <c r="U28" s="18" t="str" cm="1">
        <f t="array" ref="U28">_xlfn.XLOOKUP(0,ABS($C$45:$C$57-T28),$B$45:$B$57,,1)</f>
        <v>C</v>
      </c>
      <c r="V28" s="47">
        <f t="shared" ref="V28:V40" si="20">LOG(T28/VLOOKUP(U28,Master_Frequencies,2,FALSE),2)*1200</f>
        <v>0</v>
      </c>
      <c r="X28" s="85" t="s">
        <v>2</v>
      </c>
      <c r="Y28" s="4">
        <f t="shared" ref="Y28:Y40" si="21">VLOOKUP(X28,Master_Frequencies,2,FALSE)/POWER(2,$Z$26)</f>
        <v>65.795346373733736</v>
      </c>
      <c r="Z28" s="47">
        <f t="shared" ref="Z28:Z40" si="22">VLOOKUP(X28,Master_Frequencies,2,FALSE)*POWER(2,$Z$26)</f>
        <v>1052.7255419797398</v>
      </c>
    </row>
    <row r="29" spans="2:26" x14ac:dyDescent="0.2">
      <c r="B29" s="123" t="s">
        <v>74</v>
      </c>
      <c r="C29" s="145" t="s">
        <v>5</v>
      </c>
      <c r="D29" s="97">
        <v>1</v>
      </c>
      <c r="E29" s="4">
        <f t="shared" si="15"/>
        <v>427.37257227033041</v>
      </c>
      <c r="F29" s="4">
        <f t="shared" si="16"/>
        <v>343.75000000000011</v>
      </c>
      <c r="G29" s="47">
        <f t="shared" si="17"/>
        <v>-7.6366233646862023</v>
      </c>
      <c r="I29" s="123" t="s">
        <v>74</v>
      </c>
      <c r="J29" s="145" t="s">
        <v>72</v>
      </c>
      <c r="K29" s="97">
        <v>1</v>
      </c>
      <c r="L29" s="191">
        <f t="shared" si="18"/>
        <v>1.4953487812212205</v>
      </c>
      <c r="M29" s="145" t="s">
        <v>74</v>
      </c>
      <c r="N29" s="145" t="s">
        <v>5</v>
      </c>
      <c r="O29" s="191">
        <f t="shared" si="19"/>
        <v>1.28</v>
      </c>
      <c r="Q29" s="99">
        <v>2</v>
      </c>
      <c r="R29" s="18">
        <f t="shared" ref="R29:R40" si="23">$E$10*Q29</f>
        <v>526.36277098986989</v>
      </c>
      <c r="S29" s="97">
        <v>0</v>
      </c>
      <c r="T29" s="4">
        <f t="shared" ref="T29:T40" si="24">R29/POWER(2,S29)</f>
        <v>526.36277098986989</v>
      </c>
      <c r="U29" s="18" t="str" cm="1">
        <f t="array" ref="U29">_xlfn.XLOOKUP(0,ABS($C$45:$C$57-T29),$B$45:$B$57,,1)</f>
        <v>c oct.</v>
      </c>
      <c r="V29" s="47">
        <f t="shared" si="20"/>
        <v>0</v>
      </c>
      <c r="X29" s="85" t="s">
        <v>74</v>
      </c>
      <c r="Y29" s="4">
        <f t="shared" si="21"/>
        <v>68.750000000000028</v>
      </c>
      <c r="Z29" s="47">
        <f t="shared" si="22"/>
        <v>1100.0000000000005</v>
      </c>
    </row>
    <row r="30" spans="2:26" x14ac:dyDescent="0.2">
      <c r="B30" s="123" t="s">
        <v>3</v>
      </c>
      <c r="C30" s="145" t="s">
        <v>70</v>
      </c>
      <c r="D30" s="97">
        <v>1</v>
      </c>
      <c r="E30" s="4">
        <f t="shared" si="15"/>
        <v>386.31371386483448</v>
      </c>
      <c r="F30" s="4">
        <f t="shared" si="16"/>
        <v>367.80716773703233</v>
      </c>
      <c r="G30" s="47">
        <f t="shared" si="17"/>
        <v>3.5748721668520833E-14</v>
      </c>
      <c r="I30" s="123" t="s">
        <v>3</v>
      </c>
      <c r="J30" s="145" t="s">
        <v>7</v>
      </c>
      <c r="K30" s="97">
        <v>1</v>
      </c>
      <c r="L30" s="191">
        <f t="shared" si="18"/>
        <v>1.4953487812212205</v>
      </c>
      <c r="M30" s="145" t="s">
        <v>3</v>
      </c>
      <c r="N30" s="145" t="s">
        <v>70</v>
      </c>
      <c r="O30" s="191">
        <f t="shared" si="19"/>
        <v>1.2499999999999998</v>
      </c>
      <c r="Q30" s="99">
        <v>3</v>
      </c>
      <c r="R30" s="18">
        <f t="shared" si="23"/>
        <v>789.54415648480483</v>
      </c>
      <c r="S30" s="97">
        <v>1</v>
      </c>
      <c r="T30" s="4">
        <f t="shared" si="24"/>
        <v>394.77207824240242</v>
      </c>
      <c r="U30" s="18" t="str" cm="1">
        <f t="array" ref="U30">_xlfn.XLOOKUP(0,ABS($C$45:$C$57-T30),$B$45:$B$57,,1)</f>
        <v>G</v>
      </c>
      <c r="V30" s="47">
        <f t="shared" si="20"/>
        <v>5.3765723991786674</v>
      </c>
      <c r="X30" s="85" t="s">
        <v>3</v>
      </c>
      <c r="Y30" s="4">
        <f t="shared" si="21"/>
        <v>73.561433547406466</v>
      </c>
      <c r="Z30" s="47">
        <f t="shared" si="22"/>
        <v>1176.9829367585035</v>
      </c>
    </row>
    <row r="31" spans="2:26" x14ac:dyDescent="0.2">
      <c r="B31" s="123" t="s">
        <v>76</v>
      </c>
      <c r="C31" s="145" t="s">
        <v>6</v>
      </c>
      <c r="D31" s="97">
        <v>1</v>
      </c>
      <c r="E31" s="4">
        <f t="shared" si="15"/>
        <v>427.37257227033069</v>
      </c>
      <c r="F31" s="4">
        <f t="shared" si="16"/>
        <v>384.32418363277645</v>
      </c>
      <c r="G31" s="47">
        <f t="shared" si="17"/>
        <v>-7.6366233646862023</v>
      </c>
      <c r="I31" s="123" t="s">
        <v>76</v>
      </c>
      <c r="J31" s="145" t="s">
        <v>73</v>
      </c>
      <c r="K31" s="97">
        <v>1</v>
      </c>
      <c r="L31" s="191">
        <f t="shared" si="18"/>
        <v>1.5312371519705299</v>
      </c>
      <c r="M31" s="145" t="s">
        <v>76</v>
      </c>
      <c r="N31" s="145" t="s">
        <v>6</v>
      </c>
      <c r="O31" s="191">
        <f t="shared" si="19"/>
        <v>1.2800000000000002</v>
      </c>
      <c r="Q31" s="99">
        <v>4</v>
      </c>
      <c r="R31" s="18">
        <f t="shared" si="23"/>
        <v>1052.7255419797398</v>
      </c>
      <c r="S31" s="97">
        <v>1</v>
      </c>
      <c r="T31" s="4">
        <f t="shared" si="24"/>
        <v>526.36277098986989</v>
      </c>
      <c r="U31" s="18" t="str" cm="1">
        <f t="array" ref="U31">_xlfn.XLOOKUP(0,ABS($C$45:$C$57-T31),$B$45:$B$57,,1)</f>
        <v>c oct.</v>
      </c>
      <c r="V31" s="47">
        <f t="shared" si="20"/>
        <v>0</v>
      </c>
      <c r="X31" s="85" t="s">
        <v>76</v>
      </c>
      <c r="Y31" s="4">
        <f t="shared" si="21"/>
        <v>76.864836726555296</v>
      </c>
      <c r="Z31" s="47">
        <f t="shared" si="22"/>
        <v>1229.8373876248847</v>
      </c>
    </row>
    <row r="32" spans="2:26" x14ac:dyDescent="0.2">
      <c r="B32" s="123" t="s">
        <v>4</v>
      </c>
      <c r="C32" s="145" t="s">
        <v>72</v>
      </c>
      <c r="D32" s="97">
        <v>1</v>
      </c>
      <c r="E32" s="4">
        <f t="shared" si="15"/>
        <v>386.31371386483482</v>
      </c>
      <c r="F32" s="4">
        <f t="shared" si="16"/>
        <v>411.2209148358358</v>
      </c>
      <c r="G32" s="47">
        <f t="shared" si="17"/>
        <v>0</v>
      </c>
      <c r="I32" s="123" t="s">
        <v>4</v>
      </c>
      <c r="J32" s="145" t="s">
        <v>8</v>
      </c>
      <c r="K32" s="97">
        <v>1</v>
      </c>
      <c r="L32" s="191">
        <f t="shared" si="18"/>
        <v>1.4953487812212205</v>
      </c>
      <c r="M32" s="145" t="s">
        <v>4</v>
      </c>
      <c r="N32" s="145" t="s">
        <v>72</v>
      </c>
      <c r="O32" s="191">
        <f t="shared" si="19"/>
        <v>1.25</v>
      </c>
      <c r="Q32" s="99">
        <v>5</v>
      </c>
      <c r="R32" s="18">
        <f t="shared" si="23"/>
        <v>1315.9069274746748</v>
      </c>
      <c r="S32" s="97">
        <v>2</v>
      </c>
      <c r="T32" s="4">
        <f t="shared" si="24"/>
        <v>328.97673186866871</v>
      </c>
      <c r="U32" s="18" t="str" cm="1">
        <f t="array" ref="U32">_xlfn.XLOOKUP(0,ABS($C$45:$C$57-T32),$B$45:$B$57,,1)</f>
        <v>E</v>
      </c>
      <c r="V32" s="47">
        <f t="shared" si="20"/>
        <v>3.8441118045779013E-13</v>
      </c>
      <c r="X32" s="85" t="s">
        <v>4</v>
      </c>
      <c r="Y32" s="4">
        <f t="shared" si="21"/>
        <v>82.244182967167163</v>
      </c>
      <c r="Z32" s="47">
        <f t="shared" si="22"/>
        <v>1315.9069274746746</v>
      </c>
    </row>
    <row r="33" spans="2:26" x14ac:dyDescent="0.2">
      <c r="B33" s="123" t="s">
        <v>5</v>
      </c>
      <c r="C33" s="145" t="s">
        <v>7</v>
      </c>
      <c r="D33" s="97">
        <v>1</v>
      </c>
      <c r="E33" s="4">
        <f t="shared" si="15"/>
        <v>386.31371386483482</v>
      </c>
      <c r="F33" s="4">
        <f t="shared" si="16"/>
        <v>440.00000000000023</v>
      </c>
      <c r="G33" s="47">
        <f t="shared" si="17"/>
        <v>0</v>
      </c>
      <c r="I33" s="123" t="s">
        <v>5</v>
      </c>
      <c r="J33" s="145" t="s">
        <v>78</v>
      </c>
      <c r="K33" s="97">
        <v>1</v>
      </c>
      <c r="L33" s="191">
        <f t="shared" si="18"/>
        <v>1.4953487812212205</v>
      </c>
      <c r="M33" s="145" t="s">
        <v>5</v>
      </c>
      <c r="N33" s="145" t="s">
        <v>7</v>
      </c>
      <c r="O33" s="191">
        <f t="shared" si="19"/>
        <v>1.25</v>
      </c>
      <c r="Q33" s="99">
        <v>6</v>
      </c>
      <c r="R33" s="18">
        <f t="shared" si="23"/>
        <v>1579.0883129696097</v>
      </c>
      <c r="S33" s="97">
        <v>2</v>
      </c>
      <c r="T33" s="4">
        <f t="shared" si="24"/>
        <v>394.77207824240242</v>
      </c>
      <c r="U33" s="18" t="str" cm="1">
        <f t="array" ref="U33">_xlfn.XLOOKUP(0,ABS($C$45:$C$57-T33),$B$45:$B$57,,1)</f>
        <v>G</v>
      </c>
      <c r="V33" s="47">
        <f t="shared" si="20"/>
        <v>5.3765723991786674</v>
      </c>
      <c r="X33" s="85" t="s">
        <v>5</v>
      </c>
      <c r="Y33" s="4">
        <f t="shared" si="21"/>
        <v>88.000000000000043</v>
      </c>
      <c r="Z33" s="47">
        <f t="shared" si="22"/>
        <v>1408.0000000000007</v>
      </c>
    </row>
    <row r="34" spans="2:26" x14ac:dyDescent="0.2">
      <c r="B34" s="123" t="s">
        <v>70</v>
      </c>
      <c r="C34" s="145" t="s">
        <v>73</v>
      </c>
      <c r="D34" s="97">
        <v>1</v>
      </c>
      <c r="E34" s="4">
        <f t="shared" si="15"/>
        <v>427.37257227033041</v>
      </c>
      <c r="F34" s="4">
        <f t="shared" si="16"/>
        <v>459.75895967129031</v>
      </c>
      <c r="G34" s="47">
        <f t="shared" si="17"/>
        <v>-7.636623364686133</v>
      </c>
      <c r="I34" s="123" t="s">
        <v>70</v>
      </c>
      <c r="J34" s="145" t="s">
        <v>74</v>
      </c>
      <c r="K34" s="97">
        <v>2</v>
      </c>
      <c r="L34" s="191">
        <f t="shared" si="18"/>
        <v>1.4953487812212205</v>
      </c>
      <c r="M34" s="145" t="s">
        <v>70</v>
      </c>
      <c r="N34" s="145" t="s">
        <v>73</v>
      </c>
      <c r="O34" s="191">
        <f t="shared" si="19"/>
        <v>1.28</v>
      </c>
      <c r="Q34" s="99">
        <v>7</v>
      </c>
      <c r="R34" s="18">
        <f t="shared" si="23"/>
        <v>1842.2696984645445</v>
      </c>
      <c r="S34" s="97">
        <v>2</v>
      </c>
      <c r="T34" s="4">
        <f t="shared" si="24"/>
        <v>460.56742461613612</v>
      </c>
      <c r="U34" s="18" t="str" cm="1">
        <f t="array" ref="U34">_xlfn.XLOOKUP(0,ABS($C$45:$C$57-T34),$B$45:$B$57,,1)</f>
        <v>A#</v>
      </c>
      <c r="V34" s="47">
        <f t="shared" si="20"/>
        <v>-38.017236598457572</v>
      </c>
      <c r="X34" s="85" t="s">
        <v>70</v>
      </c>
      <c r="Y34" s="4">
        <f t="shared" si="21"/>
        <v>91.951791934258068</v>
      </c>
      <c r="Z34" s="47">
        <f t="shared" si="22"/>
        <v>1471.2286709481291</v>
      </c>
    </row>
    <row r="35" spans="2:26" x14ac:dyDescent="0.2">
      <c r="B35" s="123" t="s">
        <v>6</v>
      </c>
      <c r="C35" s="145" t="s">
        <v>8</v>
      </c>
      <c r="D35" s="97">
        <v>1</v>
      </c>
      <c r="E35" s="4">
        <f t="shared" si="15"/>
        <v>386.31371386483482</v>
      </c>
      <c r="F35" s="4">
        <f t="shared" si="16"/>
        <v>491.93495504995394</v>
      </c>
      <c r="G35" s="47">
        <f t="shared" si="17"/>
        <v>0</v>
      </c>
      <c r="I35" s="123" t="s">
        <v>6</v>
      </c>
      <c r="J35" s="145" t="s">
        <v>3</v>
      </c>
      <c r="K35" s="97">
        <v>2</v>
      </c>
      <c r="L35" s="191">
        <f t="shared" si="18"/>
        <v>1.4953487812212207</v>
      </c>
      <c r="M35" s="145" t="s">
        <v>6</v>
      </c>
      <c r="N35" s="145" t="s">
        <v>8</v>
      </c>
      <c r="O35" s="191">
        <f t="shared" si="19"/>
        <v>1.25</v>
      </c>
      <c r="Q35" s="99">
        <v>8</v>
      </c>
      <c r="R35" s="18">
        <f t="shared" si="23"/>
        <v>2105.4510839594795</v>
      </c>
      <c r="S35" s="97">
        <v>3</v>
      </c>
      <c r="T35" s="4">
        <f t="shared" si="24"/>
        <v>263.18138549493494</v>
      </c>
      <c r="U35" s="18" t="str" cm="1">
        <f t="array" ref="U35">_xlfn.XLOOKUP(0,ABS($C$45:$C$57-T35),$B$45:$B$57,,1)</f>
        <v>C</v>
      </c>
      <c r="V35" s="47">
        <f t="shared" si="20"/>
        <v>0</v>
      </c>
      <c r="X35" s="85" t="s">
        <v>6</v>
      </c>
      <c r="Y35" s="4">
        <f t="shared" si="21"/>
        <v>98.386991009990794</v>
      </c>
      <c r="Z35" s="47">
        <f t="shared" si="22"/>
        <v>1574.1918561598527</v>
      </c>
    </row>
    <row r="36" spans="2:26" x14ac:dyDescent="0.2">
      <c r="B36" s="123" t="s">
        <v>72</v>
      </c>
      <c r="C36" s="145" t="s">
        <v>78</v>
      </c>
      <c r="D36" s="97">
        <v>1</v>
      </c>
      <c r="E36" s="4">
        <f t="shared" si="15"/>
        <v>427.37257227033069</v>
      </c>
      <c r="F36" s="4">
        <f t="shared" si="16"/>
        <v>514.02614354479476</v>
      </c>
      <c r="G36" s="47">
        <f t="shared" si="17"/>
        <v>-7.636623364686133</v>
      </c>
      <c r="I36" s="123" t="s">
        <v>72</v>
      </c>
      <c r="J36" s="145" t="s">
        <v>76</v>
      </c>
      <c r="K36" s="97">
        <v>2</v>
      </c>
      <c r="L36" s="191">
        <f t="shared" si="18"/>
        <v>1.4953487812212205</v>
      </c>
      <c r="M36" s="145" t="s">
        <v>72</v>
      </c>
      <c r="N36" s="145" t="s">
        <v>78</v>
      </c>
      <c r="O36" s="191">
        <f t="shared" si="19"/>
        <v>1.2800000000000002</v>
      </c>
      <c r="Q36" s="99">
        <v>9</v>
      </c>
      <c r="R36" s="18">
        <f t="shared" si="23"/>
        <v>2368.6324694544146</v>
      </c>
      <c r="S36" s="97">
        <v>3</v>
      </c>
      <c r="T36" s="4">
        <f t="shared" si="24"/>
        <v>296.07905868180183</v>
      </c>
      <c r="U36" s="18" t="str" cm="1">
        <f t="array" ref="U36">_xlfn.XLOOKUP(0,ABS($C$45:$C$57-T36),$B$45:$B$57,,1)</f>
        <v>D</v>
      </c>
      <c r="V36" s="47">
        <f t="shared" si="20"/>
        <v>10.753144798357358</v>
      </c>
      <c r="X36" s="85" t="s">
        <v>72</v>
      </c>
      <c r="Y36" s="4">
        <f t="shared" si="21"/>
        <v>102.80522870895895</v>
      </c>
      <c r="Z36" s="47">
        <f t="shared" si="22"/>
        <v>1644.8836593433432</v>
      </c>
    </row>
    <row r="37" spans="2:26" x14ac:dyDescent="0.2">
      <c r="B37" s="123" t="s">
        <v>7</v>
      </c>
      <c r="C37" s="145" t="s">
        <v>74</v>
      </c>
      <c r="D37" s="97">
        <v>2</v>
      </c>
      <c r="E37" s="4">
        <f t="shared" si="15"/>
        <v>386.31371386483448</v>
      </c>
      <c r="F37" s="4">
        <f t="shared" si="16"/>
        <v>550.00000000000023</v>
      </c>
      <c r="G37" s="47">
        <f t="shared" si="17"/>
        <v>0</v>
      </c>
      <c r="I37" s="123" t="s">
        <v>7</v>
      </c>
      <c r="J37" s="145" t="s">
        <v>4</v>
      </c>
      <c r="K37" s="97">
        <v>2</v>
      </c>
      <c r="L37" s="191">
        <f t="shared" si="18"/>
        <v>1.4953487812212203</v>
      </c>
      <c r="M37" s="145" t="s">
        <v>7</v>
      </c>
      <c r="N37" s="145" t="s">
        <v>74</v>
      </c>
      <c r="O37" s="191">
        <f t="shared" si="19"/>
        <v>1.2499999999999998</v>
      </c>
      <c r="Q37" s="99">
        <v>10</v>
      </c>
      <c r="R37" s="18">
        <f t="shared" si="23"/>
        <v>2631.8138549493497</v>
      </c>
      <c r="S37" s="97">
        <v>3</v>
      </c>
      <c r="T37" s="4">
        <f t="shared" si="24"/>
        <v>328.97673186866871</v>
      </c>
      <c r="U37" s="18" t="str" cm="1">
        <f t="array" ref="U37">_xlfn.XLOOKUP(0,ABS($C$45:$C$57-T37),$B$45:$B$57,,1)</f>
        <v>E</v>
      </c>
      <c r="V37" s="47">
        <f t="shared" si="20"/>
        <v>3.8441118045779013E-13</v>
      </c>
      <c r="X37" s="85" t="s">
        <v>7</v>
      </c>
      <c r="Y37" s="4">
        <f t="shared" si="21"/>
        <v>110.00000000000006</v>
      </c>
      <c r="Z37" s="47">
        <f t="shared" si="22"/>
        <v>1760.0000000000009</v>
      </c>
    </row>
    <row r="38" spans="2:26" x14ac:dyDescent="0.2">
      <c r="B38" s="123" t="s">
        <v>73</v>
      </c>
      <c r="C38" s="145" t="s">
        <v>3</v>
      </c>
      <c r="D38" s="97">
        <v>2</v>
      </c>
      <c r="E38" s="4">
        <f t="shared" si="15"/>
        <v>386.31371386483517</v>
      </c>
      <c r="F38" s="4">
        <f t="shared" si="16"/>
        <v>588.49146837925161</v>
      </c>
      <c r="G38" s="47">
        <f t="shared" si="17"/>
        <v>-7.1497443337041653E-14</v>
      </c>
      <c r="I38" s="123" t="s">
        <v>73</v>
      </c>
      <c r="J38" s="145" t="s">
        <v>5</v>
      </c>
      <c r="K38" s="97">
        <v>2</v>
      </c>
      <c r="L38" s="191">
        <f t="shared" si="18"/>
        <v>1.4953487812212207</v>
      </c>
      <c r="M38" s="145" t="s">
        <v>73</v>
      </c>
      <c r="N38" s="145" t="s">
        <v>3</v>
      </c>
      <c r="O38" s="191">
        <f t="shared" si="19"/>
        <v>1.2500000000000002</v>
      </c>
      <c r="Q38" s="99">
        <v>11</v>
      </c>
      <c r="R38" s="18">
        <f t="shared" si="23"/>
        <v>2894.9952404442843</v>
      </c>
      <c r="S38" s="97">
        <v>3</v>
      </c>
      <c r="T38" s="4">
        <f t="shared" si="24"/>
        <v>361.87440505553553</v>
      </c>
      <c r="U38" s="18" t="str" cm="1">
        <f t="array" ref="U38">_xlfn.XLOOKUP(0,ABS($C$45:$C$57-T38),$B$45:$B$57,,1)</f>
        <v>F#</v>
      </c>
      <c r="V38" s="47">
        <f t="shared" si="20"/>
        <v>-28.152628432495586</v>
      </c>
      <c r="X38" s="85" t="s">
        <v>73</v>
      </c>
      <c r="Y38" s="4">
        <f t="shared" si="21"/>
        <v>117.69829367585032</v>
      </c>
      <c r="Z38" s="47">
        <f t="shared" si="22"/>
        <v>1883.1726988136052</v>
      </c>
    </row>
    <row r="39" spans="2:26" x14ac:dyDescent="0.2">
      <c r="B39" s="124" t="s">
        <v>8</v>
      </c>
      <c r="C39" s="153" t="s">
        <v>76</v>
      </c>
      <c r="D39" s="98">
        <v>2</v>
      </c>
      <c r="E39" s="53">
        <f t="shared" si="15"/>
        <v>386.31371386483448</v>
      </c>
      <c r="F39" s="53">
        <f t="shared" si="16"/>
        <v>614.91869381244237</v>
      </c>
      <c r="G39" s="48">
        <f t="shared" si="17"/>
        <v>0</v>
      </c>
      <c r="I39" s="124" t="s">
        <v>8</v>
      </c>
      <c r="J39" s="153" t="s">
        <v>70</v>
      </c>
      <c r="K39" s="98">
        <v>2</v>
      </c>
      <c r="L39" s="192">
        <f t="shared" si="18"/>
        <v>1.4953487812212205</v>
      </c>
      <c r="M39" s="153" t="s">
        <v>8</v>
      </c>
      <c r="N39" s="153" t="s">
        <v>76</v>
      </c>
      <c r="O39" s="192">
        <f t="shared" si="19"/>
        <v>1.2499999999999998</v>
      </c>
      <c r="Q39" s="99">
        <v>12</v>
      </c>
      <c r="R39" s="18">
        <f t="shared" si="23"/>
        <v>3158.1766259392193</v>
      </c>
      <c r="S39" s="97">
        <v>3</v>
      </c>
      <c r="T39" s="4">
        <f t="shared" si="24"/>
        <v>394.77207824240242</v>
      </c>
      <c r="U39" s="18" t="str" cm="1">
        <f t="array" ref="U39">_xlfn.XLOOKUP(0,ABS($C$45:$C$57-T39),$B$45:$B$57,,1)</f>
        <v>G</v>
      </c>
      <c r="V39" s="47">
        <f t="shared" si="20"/>
        <v>5.3765723991786674</v>
      </c>
      <c r="X39" s="85" t="s">
        <v>8</v>
      </c>
      <c r="Y39" s="4">
        <f t="shared" si="21"/>
        <v>122.98373876248849</v>
      </c>
      <c r="Z39" s="47">
        <f t="shared" si="22"/>
        <v>1967.7398201998158</v>
      </c>
    </row>
    <row r="40" spans="2:26" x14ac:dyDescent="0.2">
      <c r="Q40" s="100">
        <v>13</v>
      </c>
      <c r="R40" s="50">
        <f t="shared" si="23"/>
        <v>3421.3580114341544</v>
      </c>
      <c r="S40" s="98">
        <v>3</v>
      </c>
      <c r="T40" s="53">
        <f t="shared" si="24"/>
        <v>427.6697514292693</v>
      </c>
      <c r="U40" s="50" t="str" cm="1">
        <f t="array" ref="U40">_xlfn.XLOOKUP(0,ABS($C$45:$C$57-T40),$B$45:$B$57,,1)</f>
        <v>A</v>
      </c>
      <c r="V40" s="48">
        <f t="shared" si="20"/>
        <v>-49.207623629315606</v>
      </c>
      <c r="X40" s="87" t="s">
        <v>78</v>
      </c>
      <c r="Y40" s="53">
        <f t="shared" si="21"/>
        <v>131.59069274746747</v>
      </c>
      <c r="Z40" s="48">
        <f t="shared" si="22"/>
        <v>2105.4510839594795</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VLOOKUP(B45,$B$10:$H$23,7,FALSE)</f>
        <v>263.18138549493494</v>
      </c>
    </row>
    <row r="46" spans="2:26" x14ac:dyDescent="0.2">
      <c r="B46" s="92" t="s">
        <v>74</v>
      </c>
      <c r="C46" s="93">
        <f t="shared" ref="C46:C56" si="25">VLOOKUP(B46,$B$10:$H$23,7,FALSE)</f>
        <v>275.00000000000011</v>
      </c>
    </row>
    <row r="47" spans="2:26" x14ac:dyDescent="0.2">
      <c r="B47" s="92" t="s">
        <v>3</v>
      </c>
      <c r="C47" s="93">
        <f t="shared" si="25"/>
        <v>294.24573418962586</v>
      </c>
    </row>
    <row r="48" spans="2:26" x14ac:dyDescent="0.2">
      <c r="B48" s="92" t="s">
        <v>76</v>
      </c>
      <c r="C48" s="93">
        <f t="shared" si="25"/>
        <v>307.45934690622119</v>
      </c>
    </row>
    <row r="49" spans="2:3" x14ac:dyDescent="0.2">
      <c r="B49" s="92" t="s">
        <v>4</v>
      </c>
      <c r="C49" s="93">
        <f t="shared" si="25"/>
        <v>328.97673186866865</v>
      </c>
    </row>
    <row r="50" spans="2:3" x14ac:dyDescent="0.2">
      <c r="B50" s="92" t="s">
        <v>5</v>
      </c>
      <c r="C50" s="93">
        <f t="shared" si="25"/>
        <v>352.00000000000017</v>
      </c>
    </row>
    <row r="51" spans="2:3" x14ac:dyDescent="0.2">
      <c r="B51" s="92" t="s">
        <v>70</v>
      </c>
      <c r="C51" s="93">
        <f t="shared" si="25"/>
        <v>367.80716773703227</v>
      </c>
    </row>
    <row r="52" spans="2:3" x14ac:dyDescent="0.2">
      <c r="B52" s="92" t="s">
        <v>6</v>
      </c>
      <c r="C52" s="93">
        <f t="shared" si="25"/>
        <v>393.54796403996318</v>
      </c>
    </row>
    <row r="53" spans="2:3" x14ac:dyDescent="0.2">
      <c r="B53" s="92" t="s">
        <v>72</v>
      </c>
      <c r="C53" s="93">
        <f t="shared" si="25"/>
        <v>411.2209148358358</v>
      </c>
    </row>
    <row r="54" spans="2:3" x14ac:dyDescent="0.2">
      <c r="B54" s="92" t="s">
        <v>7</v>
      </c>
      <c r="C54" s="93">
        <f t="shared" si="25"/>
        <v>440.00000000000023</v>
      </c>
    </row>
    <row r="55" spans="2:3" x14ac:dyDescent="0.2">
      <c r="B55" s="92" t="s">
        <v>73</v>
      </c>
      <c r="C55" s="93">
        <f t="shared" si="25"/>
        <v>470.79317470340129</v>
      </c>
    </row>
    <row r="56" spans="2:3" x14ac:dyDescent="0.2">
      <c r="B56" s="92" t="s">
        <v>8</v>
      </c>
      <c r="C56" s="93">
        <f t="shared" si="25"/>
        <v>491.93495504995394</v>
      </c>
    </row>
    <row r="57" spans="2:3" ht="16" thickBot="1" x14ac:dyDescent="0.25">
      <c r="B57" s="94" t="s">
        <v>78</v>
      </c>
      <c r="C57" s="95">
        <f>VLOOKUP(B57,$B$10:$H$23,7,FALSE)</f>
        <v>526.36277098986989</v>
      </c>
    </row>
    <row r="58" spans="2:3" ht="16" thickTop="1" x14ac:dyDescent="0.2"/>
  </sheetData>
  <sheetProtection sheet="1" scenarios="1" formatCells="0"/>
  <mergeCells count="9">
    <mergeCell ref="X25:Z25"/>
    <mergeCell ref="B1:G1"/>
    <mergeCell ref="B43:C43"/>
    <mergeCell ref="B8:H8"/>
    <mergeCell ref="J8:N8"/>
    <mergeCell ref="P8:U8"/>
    <mergeCell ref="B26:D26"/>
    <mergeCell ref="I26:O26"/>
    <mergeCell ref="Q26:V26"/>
  </mergeCells>
  <conditionalFormatting sqref="B8 I8:J8 J9:L11 N9:N24 M10:M24 O11:O24 J12:J22 K12:L23 J24:L24 J25 F40:J40 L40:N40">
    <cfRule type="expression" dxfId="65" priority="25">
      <formula>_xlfn.ISFORMULA(B8)</formula>
    </cfRule>
  </conditionalFormatting>
  <conditionalFormatting sqref="B26 B27:C39">
    <cfRule type="expression" dxfId="64" priority="19">
      <formula>_xlfn.ISFORMULA(B26)</formula>
    </cfRule>
  </conditionalFormatting>
  <conditionalFormatting sqref="B9:H25">
    <cfRule type="expression" dxfId="63" priority="13">
      <formula>_xlfn.ISFORMULA(B9)</formula>
    </cfRule>
  </conditionalFormatting>
  <conditionalFormatting sqref="C3:G3">
    <cfRule type="expression" dxfId="62" priority="16">
      <formula>_xlfn.ISFORMULA(C3)</formula>
    </cfRule>
  </conditionalFormatting>
  <conditionalFormatting sqref="D2:L2 C4:C6 D6:L6">
    <cfRule type="expression" dxfId="61" priority="18">
      <formula>_xlfn.ISFORMULA(C2)</formula>
    </cfRule>
  </conditionalFormatting>
  <conditionalFormatting sqref="E26">
    <cfRule type="expression" dxfId="60" priority="9">
      <formula>_xlfn.ISFORMULA(E26)</formula>
    </cfRule>
  </conditionalFormatting>
  <conditionalFormatting sqref="I26:I39">
    <cfRule type="expression" dxfId="59" priority="7">
      <formula>_xlfn.ISFORMULA(I26)</formula>
    </cfRule>
  </conditionalFormatting>
  <conditionalFormatting sqref="J28:J39">
    <cfRule type="expression" dxfId="58" priority="5">
      <formula>_xlfn.ISFORMULA(J28)</formula>
    </cfRule>
  </conditionalFormatting>
  <conditionalFormatting sqref="L3 G4:L5 M5:N6 S5:XFD6 B7:XFD7 Y8:XFD22 P9:V22 P23:XFD24 AA25:XFD40 Q27:W40 A41:V42 Y41:XFD42 A43:B43 D43:XFD43">
    <cfRule type="expression" dxfId="57" priority="24">
      <formula>_xlfn.ISFORMULA(A3)</formula>
    </cfRule>
  </conditionalFormatting>
  <conditionalFormatting sqref="L25:X25 Y26:Z40">
    <cfRule type="expression" dxfId="56" priority="2">
      <formula>_xlfn.ISFORMULA(L25)</formula>
    </cfRule>
  </conditionalFormatting>
  <conditionalFormatting sqref="M2:M4">
    <cfRule type="expression" dxfId="55" priority="29">
      <formula>_xlfn.ISFORMULA(M2)</formula>
    </cfRule>
  </conditionalFormatting>
  <conditionalFormatting sqref="M28:O39">
    <cfRule type="expression" dxfId="54" priority="3">
      <formula>_xlfn.ISFORMULA(M28)</formula>
    </cfRule>
  </conditionalFormatting>
  <conditionalFormatting sqref="N27:O27 E27:G39 L27:L39 A44:XFD1048576">
    <cfRule type="expression" dxfId="53" priority="15">
      <formula>_xlfn.ISFORMULA(A27)</formula>
    </cfRule>
  </conditionalFormatting>
  <conditionalFormatting sqref="O8:U8">
    <cfRule type="expression" dxfId="52" priority="23">
      <formula>_xlfn.ISFORMULA(O8)</formula>
    </cfRule>
  </conditionalFormatting>
  <conditionalFormatting sqref="P26:Q26">
    <cfRule type="expression" dxfId="51" priority="21">
      <formula>_xlfn.ISFORMULA(P26)</formula>
    </cfRule>
  </conditionalFormatting>
  <conditionalFormatting sqref="U2:XFD4 B40:D40">
    <cfRule type="expression" dxfId="50" priority="30">
      <formula>_xlfn.ISFORMULA(B2)</formula>
    </cfRule>
  </conditionalFormatting>
  <conditionalFormatting sqref="W26">
    <cfRule type="expression" dxfId="49" priority="26">
      <formula>_xlfn.ISFORMULA(W26)</formula>
    </cfRule>
  </conditionalFormatting>
  <conditionalFormatting sqref="X28:X40">
    <cfRule type="expression" dxfId="48" priority="1">
      <formula>_xlfn.ISFORMULA(X28)</formula>
    </cfRule>
  </conditionalFormatting>
  <hyperlinks>
    <hyperlink ref="B41" location="Overview!A1" display="Back to Overview" xr:uid="{D46BB823-5117-E54F-979C-D48AF9BF8C10}"/>
    <hyperlink ref="B5" location="Overview!A1" display="Back to Overview" xr:uid="{1FB7F0DA-EAC1-AA4E-8CB1-604DA6EE657E}"/>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AE92C7B8-51D1-FD41-AF5D-C8146E4E32E6}">
          <x14:formula1>
            <xm:f>'Commas &amp; Cents'!$AD$1:$AD$3</xm:f>
          </x14:formula1>
          <xm:sqref>D2</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6CB23-9030-8646-8B81-10FCED1AD907}">
  <sheetPr>
    <tabColor theme="8"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585</v>
      </c>
      <c r="C1" s="289"/>
      <c r="D1" s="289"/>
      <c r="E1" s="289"/>
      <c r="F1" s="289"/>
      <c r="G1" s="289"/>
      <c r="P1" s="4" t="s">
        <v>478</v>
      </c>
    </row>
    <row r="2" spans="2:23" s="70" customFormat="1" ht="32" x14ac:dyDescent="0.2">
      <c r="D2" s="154" t="s">
        <v>48</v>
      </c>
      <c r="E2" s="72" t="str">
        <f>D2</f>
        <v>Syntonic Comma</v>
      </c>
      <c r="F2" s="72" t="str">
        <f>_xlfn.CONCAT("1/",D3," ",D2)</f>
        <v>1/4 Syntonic Comma</v>
      </c>
      <c r="G2" s="102"/>
      <c r="H2" s="103" t="s">
        <v>143</v>
      </c>
      <c r="I2" s="161">
        <v>440</v>
      </c>
      <c r="J2" s="103" t="str">
        <f>_xlfn.CONCAT("C for A=", I2,":")</f>
        <v>C for A=440:</v>
      </c>
      <c r="K2" s="70">
        <f>I2*2*8/27*POWER($F$3,$D$12-$D$9)</f>
        <v>263.18138549493494</v>
      </c>
      <c r="L2" s="103"/>
      <c r="U2" s="103"/>
      <c r="V2" s="103"/>
      <c r="W2" s="103"/>
    </row>
    <row r="3" spans="2:23" ht="16" x14ac:dyDescent="0.2">
      <c r="B3" s="105"/>
      <c r="C3" s="74" t="s">
        <v>125</v>
      </c>
      <c r="D3" s="155">
        <v>4</v>
      </c>
      <c r="E3" s="1">
        <f>IF(D2="Pythagorean Comma",524288/531441,IF(D2="Syntonic Comma",80/81,IF(D2="Cents",1/POWER(2,1/1200),"Not in List")))</f>
        <v>0.98765432098765427</v>
      </c>
      <c r="F3" s="132">
        <f>POWER(E3,1/D3)</f>
        <v>0.99689918748081363</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56">
        <v>0</v>
      </c>
      <c r="D9" s="4">
        <f>C9</f>
        <v>0</v>
      </c>
      <c r="E9" s="109">
        <f>K2</f>
        <v>263.18138549493494</v>
      </c>
      <c r="G9" s="97">
        <v>0</v>
      </c>
      <c r="H9" s="188">
        <f t="shared" ref="H9:H21" si="0">E9/POWER(2,G9)</f>
        <v>263.18138549493494</v>
      </c>
      <c r="J9" s="85" t="s">
        <v>2</v>
      </c>
      <c r="K9" s="4">
        <f t="shared" ref="K9:K21" si="1">VLOOKUP(J9,Master_Frequencies,2,FALSE)</f>
        <v>263.18138549493494</v>
      </c>
      <c r="L9" s="4">
        <f t="shared" ref="L9:L21" si="2">LOG(K9/K$9,2)*1200</f>
        <v>0</v>
      </c>
      <c r="N9" s="158">
        <v>3600</v>
      </c>
      <c r="P9" s="123" t="str">
        <f>J9</f>
        <v>C</v>
      </c>
      <c r="Q9" s="4">
        <f>E9</f>
        <v>263.18138549493494</v>
      </c>
      <c r="R9" s="4">
        <f>LOG(K9/Q9,2)*1200</f>
        <v>0</v>
      </c>
      <c r="S9" s="145" t="str">
        <f t="shared" ref="S9:S21" si="3">B9</f>
        <v>C</v>
      </c>
      <c r="T9" s="4">
        <f t="shared" ref="T9:T21" si="4">VLOOKUP(S9,Master_Frequencies,2,FALSE)</f>
        <v>263.18138549493494</v>
      </c>
      <c r="U9" s="47">
        <f t="shared" ref="U9:U21" si="5">VLOOKUP(S9,$P$9:$R$21,3,FALSE)</f>
        <v>0</v>
      </c>
    </row>
    <row r="10" spans="2:23" x14ac:dyDescent="0.2">
      <c r="B10" s="107" t="s">
        <v>6</v>
      </c>
      <c r="C10" s="156">
        <v>-1</v>
      </c>
      <c r="D10" s="4">
        <f>D9+C10</f>
        <v>-1</v>
      </c>
      <c r="E10" s="4">
        <f t="shared" ref="E10:E21" si="6">IF(C10&lt;0,(E9*3/2)*POWER($F$3,ABS(C10)),(E9*3/2)*POWER(1/$F$3,ABS(C10)))</f>
        <v>393.54796403996318</v>
      </c>
      <c r="F10" s="4">
        <f t="shared" ref="F10:F21" si="7">LOG(E10/E9,2)*1200</f>
        <v>696.57842846620861</v>
      </c>
      <c r="G10" s="97">
        <v>0</v>
      </c>
      <c r="H10" s="188">
        <f t="shared" si="0"/>
        <v>393.54796403996318</v>
      </c>
      <c r="J10" s="85" t="s">
        <v>74</v>
      </c>
      <c r="K10" s="4">
        <f t="shared" si="1"/>
        <v>275.00000000000011</v>
      </c>
      <c r="L10" s="4">
        <f t="shared" si="2"/>
        <v>76.048999263460743</v>
      </c>
      <c r="M10" s="4">
        <f t="shared" ref="M10:M21" si="8">LOG(K10/K9,2)*1200</f>
        <v>76.048999263460743</v>
      </c>
      <c r="N10" s="47">
        <f t="shared" ref="N10:N21" si="9">N$9*K$9/K10</f>
        <v>3445.2835919336922</v>
      </c>
      <c r="P10" s="123" t="str">
        <f t="shared" ref="P10:P21" si="10">J10</f>
        <v>C#</v>
      </c>
      <c r="Q10" s="4">
        <f t="shared" ref="Q10:Q21" si="11">Q9*POWER($Q$9*2/$Q$9,1/12)</f>
        <v>278.83096505423032</v>
      </c>
      <c r="R10" s="4">
        <f t="shared" ref="R10:R21" si="12">LOG(K10/Q10,2)*1200</f>
        <v>-23.951000736539221</v>
      </c>
      <c r="S10" s="145" t="str">
        <f t="shared" si="3"/>
        <v>G</v>
      </c>
      <c r="T10" s="4">
        <f t="shared" si="4"/>
        <v>393.54796403996318</v>
      </c>
      <c r="U10" s="47">
        <f t="shared" si="5"/>
        <v>-3.4215715337915875</v>
      </c>
    </row>
    <row r="11" spans="2:23" x14ac:dyDescent="0.2">
      <c r="B11" s="107" t="s">
        <v>3</v>
      </c>
      <c r="C11" s="156">
        <v>-1</v>
      </c>
      <c r="D11" s="4">
        <f t="shared" ref="D11:D21" si="13">D10+C11</f>
        <v>-2</v>
      </c>
      <c r="E11" s="4">
        <f t="shared" si="6"/>
        <v>588.49146837925173</v>
      </c>
      <c r="F11" s="4">
        <f t="shared" si="7"/>
        <v>696.57842846620895</v>
      </c>
      <c r="G11" s="97">
        <v>1</v>
      </c>
      <c r="H11" s="188">
        <f t="shared" si="0"/>
        <v>294.24573418962586</v>
      </c>
      <c r="J11" s="85" t="s">
        <v>3</v>
      </c>
      <c r="K11" s="4">
        <f t="shared" si="1"/>
        <v>294.24573418962586</v>
      </c>
      <c r="L11" s="4">
        <f t="shared" si="2"/>
        <v>193.1568569324175</v>
      </c>
      <c r="M11" s="4">
        <f t="shared" si="8"/>
        <v>117.10785766895694</v>
      </c>
      <c r="N11" s="47">
        <f t="shared" si="9"/>
        <v>3219.9378875996968</v>
      </c>
      <c r="P11" s="123" t="str">
        <f t="shared" si="10"/>
        <v>D</v>
      </c>
      <c r="Q11" s="4">
        <f t="shared" si="11"/>
        <v>295.4111170395434</v>
      </c>
      <c r="R11" s="4">
        <f t="shared" si="12"/>
        <v>-6.8431430675824663</v>
      </c>
      <c r="S11" s="145" t="str">
        <f t="shared" si="3"/>
        <v>D</v>
      </c>
      <c r="T11" s="4">
        <f t="shared" si="4"/>
        <v>294.24573418962586</v>
      </c>
      <c r="U11" s="47">
        <f t="shared" si="5"/>
        <v>-6.8431430675824663</v>
      </c>
    </row>
    <row r="12" spans="2:23" x14ac:dyDescent="0.2">
      <c r="B12" s="107" t="s">
        <v>7</v>
      </c>
      <c r="C12" s="156">
        <v>-1</v>
      </c>
      <c r="D12" s="4">
        <f t="shared" si="13"/>
        <v>-3</v>
      </c>
      <c r="E12" s="4">
        <f t="shared" si="6"/>
        <v>880.00000000000045</v>
      </c>
      <c r="F12" s="4">
        <f t="shared" si="7"/>
        <v>696.57842846620861</v>
      </c>
      <c r="G12" s="97">
        <v>1</v>
      </c>
      <c r="H12" s="188">
        <f t="shared" si="0"/>
        <v>440.00000000000023</v>
      </c>
      <c r="J12" s="85" t="s">
        <v>76</v>
      </c>
      <c r="K12" s="4">
        <f t="shared" si="1"/>
        <v>307.45934690622119</v>
      </c>
      <c r="L12" s="4">
        <f t="shared" si="2"/>
        <v>269.20585619587797</v>
      </c>
      <c r="M12" s="4">
        <f t="shared" si="8"/>
        <v>76.048999263460388</v>
      </c>
      <c r="N12" s="47">
        <f t="shared" si="9"/>
        <v>3081.5553253313528</v>
      </c>
      <c r="P12" s="123" t="str">
        <f t="shared" si="10"/>
        <v>D#</v>
      </c>
      <c r="Q12" s="4">
        <f t="shared" si="11"/>
        <v>312.9771761668506</v>
      </c>
      <c r="R12" s="4">
        <f t="shared" si="12"/>
        <v>-30.794143804122168</v>
      </c>
      <c r="S12" s="145" t="str">
        <f t="shared" si="3"/>
        <v>A</v>
      </c>
      <c r="T12" s="4">
        <f t="shared" si="4"/>
        <v>440.00000000000023</v>
      </c>
      <c r="U12" s="47">
        <f t="shared" si="5"/>
        <v>-10.264714601374356</v>
      </c>
    </row>
    <row r="13" spans="2:23" x14ac:dyDescent="0.2">
      <c r="B13" s="107" t="s">
        <v>4</v>
      </c>
      <c r="C13" s="156">
        <v>-1</v>
      </c>
      <c r="D13" s="4">
        <f t="shared" si="13"/>
        <v>-4</v>
      </c>
      <c r="E13" s="4">
        <f t="shared" si="6"/>
        <v>1315.9069274746746</v>
      </c>
      <c r="F13" s="4">
        <f t="shared" si="7"/>
        <v>696.57842846620838</v>
      </c>
      <c r="G13" s="97">
        <v>2</v>
      </c>
      <c r="H13" s="188">
        <f t="shared" si="0"/>
        <v>328.97673186866865</v>
      </c>
      <c r="J13" s="85" t="s">
        <v>4</v>
      </c>
      <c r="K13" s="4">
        <f t="shared" si="1"/>
        <v>328.97673186866865</v>
      </c>
      <c r="L13" s="4">
        <f t="shared" si="2"/>
        <v>386.31371386483482</v>
      </c>
      <c r="M13" s="4">
        <f t="shared" si="8"/>
        <v>117.1078576689566</v>
      </c>
      <c r="N13" s="47">
        <f t="shared" si="9"/>
        <v>2880</v>
      </c>
      <c r="P13" s="123" t="str">
        <f t="shared" si="10"/>
        <v>E</v>
      </c>
      <c r="Q13" s="4">
        <f t="shared" si="11"/>
        <v>331.58776752556582</v>
      </c>
      <c r="R13" s="4">
        <f t="shared" si="12"/>
        <v>-13.686286135165501</v>
      </c>
      <c r="S13" s="145" t="str">
        <f t="shared" si="3"/>
        <v>E</v>
      </c>
      <c r="T13" s="4">
        <f t="shared" si="4"/>
        <v>328.97673186866865</v>
      </c>
      <c r="U13" s="47">
        <f t="shared" si="5"/>
        <v>-13.686286135165501</v>
      </c>
    </row>
    <row r="14" spans="2:23" x14ac:dyDescent="0.2">
      <c r="B14" s="107" t="s">
        <v>8</v>
      </c>
      <c r="C14" s="156">
        <v>-1</v>
      </c>
      <c r="D14" s="4">
        <f t="shared" si="13"/>
        <v>-5</v>
      </c>
      <c r="E14" s="4">
        <f t="shared" si="6"/>
        <v>1967.7398201998158</v>
      </c>
      <c r="F14" s="4">
        <f t="shared" si="7"/>
        <v>696.57842846620861</v>
      </c>
      <c r="G14" s="97">
        <v>2</v>
      </c>
      <c r="H14" s="188">
        <f t="shared" si="0"/>
        <v>491.93495504995394</v>
      </c>
      <c r="J14" s="85" t="s">
        <v>5</v>
      </c>
      <c r="K14" s="4">
        <f t="shared" si="1"/>
        <v>343.75000000000006</v>
      </c>
      <c r="L14" s="4">
        <f t="shared" si="2"/>
        <v>462.36271312829524</v>
      </c>
      <c r="M14" s="4">
        <f t="shared" si="8"/>
        <v>76.048999263460388</v>
      </c>
      <c r="N14" s="47">
        <f t="shared" si="9"/>
        <v>2756.2268735469543</v>
      </c>
      <c r="P14" s="123" t="str">
        <f t="shared" si="10"/>
        <v>F</v>
      </c>
      <c r="Q14" s="4">
        <f t="shared" si="11"/>
        <v>351.30500223432659</v>
      </c>
      <c r="R14" s="4">
        <f t="shared" si="12"/>
        <v>-37.637286871704909</v>
      </c>
      <c r="S14" s="145" t="str">
        <f t="shared" si="3"/>
        <v>B</v>
      </c>
      <c r="T14" s="4">
        <f t="shared" si="4"/>
        <v>491.93495504995394</v>
      </c>
      <c r="U14" s="47">
        <f t="shared" si="5"/>
        <v>-17.107857668956996</v>
      </c>
    </row>
    <row r="15" spans="2:23" x14ac:dyDescent="0.2">
      <c r="B15" s="107" t="s">
        <v>70</v>
      </c>
      <c r="C15" s="156">
        <v>-1</v>
      </c>
      <c r="D15" s="4">
        <f t="shared" si="13"/>
        <v>-6</v>
      </c>
      <c r="E15" s="4">
        <f t="shared" si="6"/>
        <v>2942.4573418962582</v>
      </c>
      <c r="F15" s="4">
        <f t="shared" si="7"/>
        <v>696.57842846620861</v>
      </c>
      <c r="G15" s="97">
        <v>3</v>
      </c>
      <c r="H15" s="188">
        <f t="shared" si="0"/>
        <v>367.80716773703227</v>
      </c>
      <c r="J15" s="85" t="s">
        <v>70</v>
      </c>
      <c r="K15" s="4">
        <f t="shared" si="1"/>
        <v>367.80716773703227</v>
      </c>
      <c r="L15" s="4">
        <f t="shared" si="2"/>
        <v>579.47057079725209</v>
      </c>
      <c r="M15" s="4">
        <f t="shared" si="8"/>
        <v>117.10785766895694</v>
      </c>
      <c r="N15" s="47">
        <f t="shared" si="9"/>
        <v>2575.9503100797579</v>
      </c>
      <c r="P15" s="123" t="str">
        <f t="shared" si="10"/>
        <v>F#</v>
      </c>
      <c r="Q15" s="4">
        <f t="shared" si="11"/>
        <v>372.19468473107878</v>
      </c>
      <c r="R15" s="4">
        <f t="shared" si="12"/>
        <v>-20.529429202748009</v>
      </c>
      <c r="S15" s="145" t="str">
        <f t="shared" si="3"/>
        <v>F#</v>
      </c>
      <c r="T15" s="4">
        <f t="shared" si="4"/>
        <v>367.80716773703227</v>
      </c>
      <c r="U15" s="47">
        <f t="shared" si="5"/>
        <v>-20.529429202748009</v>
      </c>
    </row>
    <row r="16" spans="2:23" x14ac:dyDescent="0.2">
      <c r="B16" s="107" t="s">
        <v>74</v>
      </c>
      <c r="C16" s="156">
        <v>-1</v>
      </c>
      <c r="D16" s="4">
        <f t="shared" si="13"/>
        <v>-7</v>
      </c>
      <c r="E16" s="4">
        <f t="shared" si="6"/>
        <v>4400.0000000000018</v>
      </c>
      <c r="F16" s="4">
        <f t="shared" si="7"/>
        <v>696.57842846620861</v>
      </c>
      <c r="G16" s="97">
        <v>4</v>
      </c>
      <c r="H16" s="188">
        <f t="shared" si="0"/>
        <v>275.00000000000011</v>
      </c>
      <c r="J16" s="85" t="s">
        <v>6</v>
      </c>
      <c r="K16" s="4">
        <f t="shared" si="1"/>
        <v>393.54796403996318</v>
      </c>
      <c r="L16" s="4">
        <f t="shared" si="2"/>
        <v>696.57842846620861</v>
      </c>
      <c r="M16" s="4">
        <f t="shared" si="8"/>
        <v>117.1078576689566</v>
      </c>
      <c r="N16" s="47">
        <f t="shared" si="9"/>
        <v>2407.4650979151193</v>
      </c>
      <c r="P16" s="123" t="str">
        <f t="shared" si="10"/>
        <v>G</v>
      </c>
      <c r="Q16" s="4">
        <f t="shared" si="11"/>
        <v>394.32653238927111</v>
      </c>
      <c r="R16" s="4">
        <f t="shared" si="12"/>
        <v>-3.4215715337915875</v>
      </c>
      <c r="S16" s="145" t="str">
        <f t="shared" si="3"/>
        <v>C#</v>
      </c>
      <c r="T16" s="4">
        <f t="shared" si="4"/>
        <v>275.00000000000011</v>
      </c>
      <c r="U16" s="47">
        <f t="shared" si="5"/>
        <v>-23.951000736539221</v>
      </c>
    </row>
    <row r="17" spans="2:26" x14ac:dyDescent="0.2">
      <c r="B17" s="107" t="s">
        <v>72</v>
      </c>
      <c r="C17" s="156">
        <v>-1</v>
      </c>
      <c r="D17" s="4">
        <f t="shared" si="13"/>
        <v>-8</v>
      </c>
      <c r="E17" s="4">
        <f t="shared" si="6"/>
        <v>6579.5346373733728</v>
      </c>
      <c r="F17" s="4">
        <f t="shared" si="7"/>
        <v>696.57842846620861</v>
      </c>
      <c r="G17" s="97">
        <v>4</v>
      </c>
      <c r="H17" s="188">
        <f t="shared" si="0"/>
        <v>411.2209148358358</v>
      </c>
      <c r="J17" s="85" t="s">
        <v>72</v>
      </c>
      <c r="K17" s="4">
        <f t="shared" si="1"/>
        <v>411.2209148358358</v>
      </c>
      <c r="L17" s="4">
        <f t="shared" si="2"/>
        <v>772.62742772966942</v>
      </c>
      <c r="M17" s="4">
        <f t="shared" si="8"/>
        <v>76.048999263460743</v>
      </c>
      <c r="N17" s="47">
        <f t="shared" si="9"/>
        <v>2304</v>
      </c>
      <c r="P17" s="123" t="str">
        <f t="shared" si="10"/>
        <v>G#</v>
      </c>
      <c r="Q17" s="4">
        <f t="shared" si="11"/>
        <v>417.77440819310806</v>
      </c>
      <c r="R17" s="4">
        <f t="shared" si="12"/>
        <v>-27.372572270330952</v>
      </c>
      <c r="S17" s="145" t="str">
        <f t="shared" si="3"/>
        <v>G#</v>
      </c>
      <c r="T17" s="4">
        <f t="shared" si="4"/>
        <v>411.2209148358358</v>
      </c>
      <c r="U17" s="47">
        <f t="shared" si="5"/>
        <v>-27.372572270330952</v>
      </c>
    </row>
    <row r="18" spans="2:26" x14ac:dyDescent="0.2">
      <c r="B18" s="107" t="s">
        <v>76</v>
      </c>
      <c r="C18" s="156">
        <v>-1</v>
      </c>
      <c r="D18" s="4">
        <f t="shared" si="13"/>
        <v>-9</v>
      </c>
      <c r="E18" s="4">
        <f t="shared" si="6"/>
        <v>9838.6991009990779</v>
      </c>
      <c r="F18" s="4">
        <f t="shared" si="7"/>
        <v>696.57842846620861</v>
      </c>
      <c r="G18" s="97">
        <v>5</v>
      </c>
      <c r="H18" s="188">
        <f t="shared" si="0"/>
        <v>307.45934690622119</v>
      </c>
      <c r="J18" s="85" t="s">
        <v>7</v>
      </c>
      <c r="K18" s="4">
        <f t="shared" si="1"/>
        <v>440.00000000000023</v>
      </c>
      <c r="L18" s="4">
        <f t="shared" si="2"/>
        <v>889.73528539862605</v>
      </c>
      <c r="M18" s="4">
        <f t="shared" si="8"/>
        <v>117.1078576689566</v>
      </c>
      <c r="N18" s="47">
        <f t="shared" si="9"/>
        <v>2153.3022449585574</v>
      </c>
      <c r="P18" s="123" t="str">
        <f t="shared" si="10"/>
        <v>A</v>
      </c>
      <c r="Q18" s="4">
        <f t="shared" si="11"/>
        <v>442.61656724839361</v>
      </c>
      <c r="R18" s="4">
        <f t="shared" si="12"/>
        <v>-10.264714601374356</v>
      </c>
      <c r="S18" s="145" t="str">
        <f t="shared" si="3"/>
        <v>D#</v>
      </c>
      <c r="T18" s="4">
        <f t="shared" si="4"/>
        <v>307.45934690622119</v>
      </c>
      <c r="U18" s="47">
        <f t="shared" si="5"/>
        <v>-30.794143804122168</v>
      </c>
    </row>
    <row r="19" spans="2:26" x14ac:dyDescent="0.2">
      <c r="B19" s="107" t="s">
        <v>73</v>
      </c>
      <c r="C19" s="156">
        <v>-1</v>
      </c>
      <c r="D19" s="4">
        <f t="shared" si="13"/>
        <v>-10</v>
      </c>
      <c r="E19" s="4">
        <f t="shared" si="6"/>
        <v>14712.286709481288</v>
      </c>
      <c r="F19" s="4">
        <f t="shared" si="7"/>
        <v>696.57842846620861</v>
      </c>
      <c r="G19" s="97">
        <v>5</v>
      </c>
      <c r="H19" s="188">
        <f t="shared" si="0"/>
        <v>459.75895967129026</v>
      </c>
      <c r="J19" s="85" t="s">
        <v>73</v>
      </c>
      <c r="K19" s="4">
        <f t="shared" si="1"/>
        <v>459.75895967129026</v>
      </c>
      <c r="L19" s="4">
        <f t="shared" si="2"/>
        <v>965.78428466208663</v>
      </c>
      <c r="M19" s="4">
        <f t="shared" si="8"/>
        <v>76.048999263460388</v>
      </c>
      <c r="N19" s="47">
        <f t="shared" si="9"/>
        <v>2060.7602480638066</v>
      </c>
      <c r="P19" s="123" t="str">
        <f t="shared" si="10"/>
        <v>A#</v>
      </c>
      <c r="Q19" s="4">
        <f t="shared" si="11"/>
        <v>468.9359179516722</v>
      </c>
      <c r="R19" s="4">
        <f t="shared" si="12"/>
        <v>-34.215715337913849</v>
      </c>
      <c r="S19" s="145" t="str">
        <f t="shared" si="3"/>
        <v>A#</v>
      </c>
      <c r="T19" s="4">
        <f t="shared" si="4"/>
        <v>459.75895967129026</v>
      </c>
      <c r="U19" s="47">
        <f t="shared" si="5"/>
        <v>-34.215715337913849</v>
      </c>
    </row>
    <row r="20" spans="2:26" x14ac:dyDescent="0.2">
      <c r="B20" s="107" t="s">
        <v>5</v>
      </c>
      <c r="C20" s="156">
        <v>-1</v>
      </c>
      <c r="D20" s="4">
        <f t="shared" si="13"/>
        <v>-11</v>
      </c>
      <c r="E20" s="4">
        <f t="shared" si="6"/>
        <v>22000.000000000004</v>
      </c>
      <c r="F20" s="4">
        <f t="shared" si="7"/>
        <v>696.57842846620861</v>
      </c>
      <c r="G20" s="97">
        <v>6</v>
      </c>
      <c r="H20" s="188">
        <f t="shared" si="0"/>
        <v>343.75000000000006</v>
      </c>
      <c r="J20" s="85" t="s">
        <v>8</v>
      </c>
      <c r="K20" s="4">
        <f t="shared" si="1"/>
        <v>491.93495504995394</v>
      </c>
      <c r="L20" s="4">
        <f t="shared" si="2"/>
        <v>1082.8921423310435</v>
      </c>
      <c r="M20" s="4">
        <f t="shared" si="8"/>
        <v>117.10785766895694</v>
      </c>
      <c r="N20" s="47">
        <f t="shared" si="9"/>
        <v>1925.9720783320954</v>
      </c>
      <c r="P20" s="123" t="str">
        <f t="shared" si="10"/>
        <v>B</v>
      </c>
      <c r="Q20" s="4">
        <f t="shared" si="11"/>
        <v>496.82029868929521</v>
      </c>
      <c r="R20" s="4">
        <f t="shared" si="12"/>
        <v>-17.107857668956996</v>
      </c>
      <c r="S20" s="145" t="str">
        <f t="shared" si="3"/>
        <v>F</v>
      </c>
      <c r="T20" s="4">
        <f t="shared" si="4"/>
        <v>343.75000000000006</v>
      </c>
      <c r="U20" s="47">
        <f t="shared" si="5"/>
        <v>-37.637286871704909</v>
      </c>
    </row>
    <row r="21" spans="2:26" x14ac:dyDescent="0.2">
      <c r="B21" s="108" t="s">
        <v>78</v>
      </c>
      <c r="C21" s="157">
        <v>6.6366230000000002</v>
      </c>
      <c r="D21" s="53">
        <f t="shared" si="13"/>
        <v>-4.3633769999999998</v>
      </c>
      <c r="E21" s="53">
        <f t="shared" si="6"/>
        <v>33687.217305198166</v>
      </c>
      <c r="F21" s="53">
        <f t="shared" si="7"/>
        <v>737.63728491094196</v>
      </c>
      <c r="G21" s="98">
        <v>6</v>
      </c>
      <c r="H21" s="48">
        <f t="shared" si="0"/>
        <v>526.36277039372135</v>
      </c>
      <c r="J21" s="87" t="s">
        <v>78</v>
      </c>
      <c r="K21" s="53">
        <f t="shared" si="1"/>
        <v>526.36277039372135</v>
      </c>
      <c r="L21" s="53">
        <f t="shared" si="2"/>
        <v>1199.999998039237</v>
      </c>
      <c r="M21" s="53">
        <f t="shared" si="8"/>
        <v>117.10785570819364</v>
      </c>
      <c r="N21" s="48">
        <f t="shared" si="9"/>
        <v>1800.000002038646</v>
      </c>
      <c r="P21" s="108" t="str">
        <f t="shared" si="10"/>
        <v>c oct.</v>
      </c>
      <c r="Q21" s="53">
        <f t="shared" si="11"/>
        <v>526.36277098987</v>
      </c>
      <c r="R21" s="53">
        <f t="shared" si="12"/>
        <v>-1.9607634183931486E-6</v>
      </c>
      <c r="S21" s="151" t="str">
        <f t="shared" si="3"/>
        <v>c oct.</v>
      </c>
      <c r="T21" s="53">
        <f t="shared" si="4"/>
        <v>526.36277039372135</v>
      </c>
      <c r="U21" s="48">
        <f t="shared" si="5"/>
        <v>-1.9607634183931486E-6</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Meantone Oct 2 Interval in cents</v>
      </c>
      <c r="F26" s="84" t="s">
        <v>18</v>
      </c>
      <c r="G26" s="52" t="str">
        <f>_xlfn.CONCAT("diff ",$F$2)</f>
        <v>diff 1/4 Syntonic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386.31371386483482</v>
      </c>
      <c r="F27" s="4">
        <f t="shared" ref="F27" si="15">VLOOKUP(B27,Master_Frequencies,2,FALSE)*5/4</f>
        <v>328.97673186866871</v>
      </c>
      <c r="G27" s="47">
        <f t="shared" ref="G27" si="16">IF($D$2="Cents",LOG(VLOOKUP(C27,Master_Frequencies,2,FALSE)/F27,2)*1200*$F$3,LOG(D27*VLOOKUP(C27,Master_Frequencies,2,FALSE)/F27,$F$3))</f>
        <v>7.1497443337041678E-14</v>
      </c>
      <c r="I27" s="123" t="s">
        <v>2</v>
      </c>
      <c r="J27" s="145" t="s">
        <v>6</v>
      </c>
      <c r="K27" s="97">
        <v>1</v>
      </c>
      <c r="L27" s="191">
        <f t="shared" ref="L27" si="17">K27*VLOOKUP(J27,Master_Frequencies,2,FALSE)/VLOOKUP(I27,Master_Frequencies,2,FALSE)</f>
        <v>1.4953487812212205</v>
      </c>
      <c r="M27" s="145" t="s">
        <v>2</v>
      </c>
      <c r="N27" s="145" t="s">
        <v>4</v>
      </c>
      <c r="O27" s="191">
        <f t="shared" ref="O27" si="18">D27*VLOOKUP(N27,Master_Frequencies,2,FALSE)/VLOOKUP(M27,Master_Frequencies,2,FALSE)</f>
        <v>1.25</v>
      </c>
      <c r="Q27" s="99">
        <v>1</v>
      </c>
      <c r="R27" s="18">
        <f>$E$9*Q27</f>
        <v>263.18138549493494</v>
      </c>
      <c r="S27" s="97">
        <v>0</v>
      </c>
      <c r="T27" s="4">
        <f>R27/POWER(2,S27)</f>
        <v>263.18138549493494</v>
      </c>
      <c r="U27" s="18" t="str" cm="1">
        <f t="array" ref="U27">_xlfn.XLOOKUP(0,ABS($C$44:$C$56-T27),$B$44:$B$56,,1)</f>
        <v>C</v>
      </c>
      <c r="V27" s="47">
        <f t="shared" ref="V27" si="19">LOG(T27/VLOOKUP(U27,Master_Frequencies,2,FALSE),2)*1200</f>
        <v>0</v>
      </c>
      <c r="X27" s="85" t="s">
        <v>2</v>
      </c>
      <c r="Y27" s="4">
        <f t="shared" ref="Y27" si="20">VLOOKUP(X27,Master_Frequencies,2,FALSE)/POWER(2,$Z$25)</f>
        <v>131.59069274746747</v>
      </c>
      <c r="Z27" s="47">
        <f t="shared" ref="Z27" si="21">VLOOKUP(X27,Master_Frequencies,2,FALSE)*POWER(2,$Z$25)</f>
        <v>526.36277098986989</v>
      </c>
    </row>
    <row r="28" spans="2:26" x14ac:dyDescent="0.2">
      <c r="B28" s="123" t="s">
        <v>74</v>
      </c>
      <c r="C28" s="145" t="s">
        <v>5</v>
      </c>
      <c r="D28" s="97">
        <v>1</v>
      </c>
      <c r="E28" s="4">
        <f t="shared" ref="E28" si="22">LOG(D28*VLOOKUP(C28,Master_Frequencies,2,FALSE)/VLOOKUP(B28,Master_Frequencies,2,FALSE),2)*1200</f>
        <v>386.31371386483448</v>
      </c>
      <c r="F28" s="4">
        <f t="shared" ref="F28" si="23">VLOOKUP(B28,Master_Frequencies,2,FALSE)*5/4</f>
        <v>343.75000000000011</v>
      </c>
      <c r="G28" s="47">
        <f t="shared" ref="G28" si="24">IF($D$2="Cents",LOG(VLOOKUP(C28,Master_Frequencies,2,FALSE)/F28,2)*1200*$F$3,LOG(D28*VLOOKUP(C28,Master_Frequencies,2,FALSE)/F28,$F$3))</f>
        <v>3.5748721668520833E-14</v>
      </c>
      <c r="I28" s="123" t="s">
        <v>74</v>
      </c>
      <c r="J28" s="145" t="s">
        <v>72</v>
      </c>
      <c r="K28" s="97">
        <v>1</v>
      </c>
      <c r="L28" s="191">
        <f t="shared" ref="L28" si="25">K28*VLOOKUP(J28,Master_Frequencies,2,FALSE)/VLOOKUP(I28,Master_Frequencies,2,FALSE)</f>
        <v>1.4953487812212205</v>
      </c>
      <c r="M28" s="145" t="s">
        <v>74</v>
      </c>
      <c r="N28" s="145" t="s">
        <v>5</v>
      </c>
      <c r="O28" s="191">
        <f t="shared" ref="O28" si="26">D28*VLOOKUP(N28,Master_Frequencies,2,FALSE)/VLOOKUP(M28,Master_Frequencies,2,FALSE)</f>
        <v>1.2499999999999998</v>
      </c>
      <c r="Q28" s="99">
        <v>2</v>
      </c>
      <c r="R28" s="18">
        <f t="shared" ref="R28:R39" si="27">$E$9*Q28</f>
        <v>526.36277098986989</v>
      </c>
      <c r="S28" s="97">
        <v>0</v>
      </c>
      <c r="T28" s="4">
        <f t="shared" ref="T28:T39" si="28">R28/POWER(2,S28)</f>
        <v>526.36277098986989</v>
      </c>
      <c r="U28" s="18" t="str" cm="1">
        <f t="array" ref="U28">_xlfn.XLOOKUP(0,ABS($C$44:$C$56-T28),$B$44:$B$56,,1)</f>
        <v>c oct.</v>
      </c>
      <c r="V28" s="47">
        <f t="shared" ref="V28" si="29">LOG(T28/VLOOKUP(U28,Master_Frequencies,2,FALSE),2)*1200</f>
        <v>1.9607630317612448E-6</v>
      </c>
      <c r="X28" s="85" t="s">
        <v>74</v>
      </c>
      <c r="Y28" s="4">
        <f t="shared" ref="Y28" si="30">VLOOKUP(X28,Master_Frequencies,2,FALSE)/POWER(2,$Z$25)</f>
        <v>137.50000000000006</v>
      </c>
      <c r="Z28" s="47">
        <f t="shared" ref="Z28" si="31">VLOOKUP(X28,Master_Frequencies,2,FALSE)*POWER(2,$Z$25)</f>
        <v>550.00000000000023</v>
      </c>
    </row>
    <row r="29" spans="2:26" x14ac:dyDescent="0.2">
      <c r="B29" s="123" t="s">
        <v>3</v>
      </c>
      <c r="C29" s="145" t="s">
        <v>70</v>
      </c>
      <c r="D29" s="97">
        <v>1</v>
      </c>
      <c r="E29" s="4">
        <f t="shared" ref="E29" si="32">LOG(D29*VLOOKUP(C29,Master_Frequencies,2,FALSE)/VLOOKUP(B29,Master_Frequencies,2,FALSE),2)*1200</f>
        <v>386.31371386483448</v>
      </c>
      <c r="F29" s="4">
        <f t="shared" ref="F29" si="33">VLOOKUP(B29,Master_Frequencies,2,FALSE)*5/4</f>
        <v>367.80716773703233</v>
      </c>
      <c r="G29" s="47">
        <f t="shared" ref="G29" si="34">IF($D$2="Cents",LOG(VLOOKUP(C29,Master_Frequencies,2,FALSE)/F29,2)*1200*$F$3,LOG(D29*VLOOKUP(C29,Master_Frequencies,2,FALSE)/F29,$F$3))</f>
        <v>3.5748721668520833E-14</v>
      </c>
      <c r="I29" s="123" t="s">
        <v>3</v>
      </c>
      <c r="J29" s="145" t="s">
        <v>7</v>
      </c>
      <c r="K29" s="97">
        <v>1</v>
      </c>
      <c r="L29" s="191">
        <f t="shared" ref="L29" si="35">K29*VLOOKUP(J29,Master_Frequencies,2,FALSE)/VLOOKUP(I29,Master_Frequencies,2,FALSE)</f>
        <v>1.4953487812212205</v>
      </c>
      <c r="M29" s="145" t="s">
        <v>3</v>
      </c>
      <c r="N29" s="145" t="s">
        <v>70</v>
      </c>
      <c r="O29" s="191">
        <f t="shared" ref="O29" si="36">D29*VLOOKUP(N29,Master_Frequencies,2,FALSE)/VLOOKUP(M29,Master_Frequencies,2,FALSE)</f>
        <v>1.2499999999999998</v>
      </c>
      <c r="Q29" s="99">
        <v>3</v>
      </c>
      <c r="R29" s="18">
        <f t="shared" si="27"/>
        <v>789.54415648480483</v>
      </c>
      <c r="S29" s="97">
        <v>1</v>
      </c>
      <c r="T29" s="4">
        <f t="shared" si="28"/>
        <v>394.77207824240242</v>
      </c>
      <c r="U29" s="18" t="str" cm="1">
        <f t="array" ref="U29">_xlfn.XLOOKUP(0,ABS($C$44:$C$56-T29),$B$44:$B$56,,1)</f>
        <v>G</v>
      </c>
      <c r="V29" s="47">
        <f t="shared" ref="V29" si="37">LOG(T29/VLOOKUP(U29,Master_Frequencies,2,FALSE),2)*1200</f>
        <v>5.3765723991786674</v>
      </c>
      <c r="X29" s="85" t="s">
        <v>3</v>
      </c>
      <c r="Y29" s="4">
        <f t="shared" ref="Y29" si="38">VLOOKUP(X29,Master_Frequencies,2,FALSE)/POWER(2,$Z$25)</f>
        <v>147.12286709481293</v>
      </c>
      <c r="Z29" s="47">
        <f t="shared" ref="Z29" si="39">VLOOKUP(X29,Master_Frequencies,2,FALSE)*POWER(2,$Z$25)</f>
        <v>588.49146837925173</v>
      </c>
    </row>
    <row r="30" spans="2:26" x14ac:dyDescent="0.2">
      <c r="B30" s="123" t="s">
        <v>76</v>
      </c>
      <c r="C30" s="145" t="s">
        <v>6</v>
      </c>
      <c r="D30" s="97">
        <v>1</v>
      </c>
      <c r="E30" s="4">
        <f t="shared" ref="E30" si="40">LOG(D30*VLOOKUP(C30,Master_Frequencies,2,FALSE)/VLOOKUP(B30,Master_Frequencies,2,FALSE),2)*1200</f>
        <v>427.37257227033069</v>
      </c>
      <c r="F30" s="4">
        <f t="shared" ref="F30" si="41">VLOOKUP(B30,Master_Frequencies,2,FALSE)*5/4</f>
        <v>384.32418363277645</v>
      </c>
      <c r="G30" s="47">
        <f t="shared" ref="G30" si="42">IF($D$2="Cents",LOG(VLOOKUP(C30,Master_Frequencies,2,FALSE)/F30,2)*1200*$F$3,LOG(D30*VLOOKUP(C30,Master_Frequencies,2,FALSE)/F30,$F$3))</f>
        <v>-7.6366233646862023</v>
      </c>
      <c r="I30" s="123" t="s">
        <v>76</v>
      </c>
      <c r="J30" s="145" t="s">
        <v>73</v>
      </c>
      <c r="K30" s="97">
        <v>1</v>
      </c>
      <c r="L30" s="191">
        <f t="shared" ref="L30" si="43">K30*VLOOKUP(J30,Master_Frequencies,2,FALSE)/VLOOKUP(I30,Master_Frequencies,2,FALSE)</f>
        <v>1.4953487812212205</v>
      </c>
      <c r="M30" s="145" t="s">
        <v>76</v>
      </c>
      <c r="N30" s="145" t="s">
        <v>6</v>
      </c>
      <c r="O30" s="191">
        <f t="shared" ref="O30" si="44">D30*VLOOKUP(N30,Master_Frequencies,2,FALSE)/VLOOKUP(M30,Master_Frequencies,2,FALSE)</f>
        <v>1.2800000000000002</v>
      </c>
      <c r="Q30" s="99">
        <v>4</v>
      </c>
      <c r="R30" s="18">
        <f t="shared" si="27"/>
        <v>1052.7255419797398</v>
      </c>
      <c r="S30" s="97">
        <v>1</v>
      </c>
      <c r="T30" s="4">
        <f t="shared" si="28"/>
        <v>526.36277098986989</v>
      </c>
      <c r="U30" s="18" t="str" cm="1">
        <f t="array" ref="U30">_xlfn.XLOOKUP(0,ABS($C$44:$C$56-T30),$B$44:$B$56,,1)</f>
        <v>c oct.</v>
      </c>
      <c r="V30" s="47">
        <f t="shared" ref="V30" si="45">LOG(T30/VLOOKUP(U30,Master_Frequencies,2,FALSE),2)*1200</f>
        <v>1.9607630317612448E-6</v>
      </c>
      <c r="X30" s="85" t="s">
        <v>76</v>
      </c>
      <c r="Y30" s="4">
        <f t="shared" ref="Y30" si="46">VLOOKUP(X30,Master_Frequencies,2,FALSE)/POWER(2,$Z$25)</f>
        <v>153.72967345311059</v>
      </c>
      <c r="Z30" s="47">
        <f t="shared" ref="Z30" si="47">VLOOKUP(X30,Master_Frequencies,2,FALSE)*POWER(2,$Z$25)</f>
        <v>614.91869381244237</v>
      </c>
    </row>
    <row r="31" spans="2:26" x14ac:dyDescent="0.2">
      <c r="B31" s="123" t="s">
        <v>4</v>
      </c>
      <c r="C31" s="145" t="s">
        <v>72</v>
      </c>
      <c r="D31" s="97">
        <v>1</v>
      </c>
      <c r="E31" s="4">
        <f t="shared" ref="E31" si="48">LOG(D31*VLOOKUP(C31,Master_Frequencies,2,FALSE)/VLOOKUP(B31,Master_Frequencies,2,FALSE),2)*1200</f>
        <v>386.31371386483482</v>
      </c>
      <c r="F31" s="4">
        <f t="shared" ref="F31" si="49">VLOOKUP(B31,Master_Frequencies,2,FALSE)*5/4</f>
        <v>411.2209148358358</v>
      </c>
      <c r="G31" s="47">
        <f t="shared" ref="G31" si="50">IF($D$2="Cents",LOG(VLOOKUP(C31,Master_Frequencies,2,FALSE)/F31,2)*1200*$F$3,LOG(D31*VLOOKUP(C31,Master_Frequencies,2,FALSE)/F31,$F$3))</f>
        <v>0</v>
      </c>
      <c r="I31" s="123" t="s">
        <v>4</v>
      </c>
      <c r="J31" s="145" t="s">
        <v>8</v>
      </c>
      <c r="K31" s="97">
        <v>1</v>
      </c>
      <c r="L31" s="191">
        <f t="shared" ref="L31" si="51">K31*VLOOKUP(J31,Master_Frequencies,2,FALSE)/VLOOKUP(I31,Master_Frequencies,2,FALSE)</f>
        <v>1.4953487812212205</v>
      </c>
      <c r="M31" s="145" t="s">
        <v>4</v>
      </c>
      <c r="N31" s="145" t="s">
        <v>72</v>
      </c>
      <c r="O31" s="191">
        <f t="shared" ref="O31" si="52">D31*VLOOKUP(N31,Master_Frequencies,2,FALSE)/VLOOKUP(M31,Master_Frequencies,2,FALSE)</f>
        <v>1.25</v>
      </c>
      <c r="Q31" s="99">
        <v>5</v>
      </c>
      <c r="R31" s="18">
        <f t="shared" si="27"/>
        <v>1315.9069274746748</v>
      </c>
      <c r="S31" s="97">
        <v>2</v>
      </c>
      <c r="T31" s="4">
        <f t="shared" si="28"/>
        <v>328.97673186866871</v>
      </c>
      <c r="U31" s="18" t="str" cm="1">
        <f t="array" ref="U31">_xlfn.XLOOKUP(0,ABS($C$44:$C$56-T31),$B$44:$B$56,,1)</f>
        <v>E</v>
      </c>
      <c r="V31" s="47">
        <f t="shared" ref="V31" si="53">LOG(T31/VLOOKUP(U31,Master_Frequencies,2,FALSE),2)*1200</f>
        <v>3.8441118045779013E-13</v>
      </c>
      <c r="X31" s="85" t="s">
        <v>4</v>
      </c>
      <c r="Y31" s="4">
        <f t="shared" ref="Y31" si="54">VLOOKUP(X31,Master_Frequencies,2,FALSE)/POWER(2,$Z$25)</f>
        <v>164.48836593433433</v>
      </c>
      <c r="Z31" s="47">
        <f t="shared" ref="Z31" si="55">VLOOKUP(X31,Master_Frequencies,2,FALSE)*POWER(2,$Z$25)</f>
        <v>657.9534637373373</v>
      </c>
    </row>
    <row r="32" spans="2:26" x14ac:dyDescent="0.2">
      <c r="B32" s="123" t="s">
        <v>5</v>
      </c>
      <c r="C32" s="145" t="s">
        <v>7</v>
      </c>
      <c r="D32" s="97">
        <v>1</v>
      </c>
      <c r="E32" s="4">
        <f t="shared" ref="E32" si="56">LOG(D32*VLOOKUP(C32,Master_Frequencies,2,FALSE)/VLOOKUP(B32,Master_Frequencies,2,FALSE),2)*1200</f>
        <v>427.37257227033103</v>
      </c>
      <c r="F32" s="4">
        <f t="shared" ref="F32" si="57">VLOOKUP(B32,Master_Frequencies,2,FALSE)*5/4</f>
        <v>429.68750000000006</v>
      </c>
      <c r="G32" s="47">
        <f t="shared" ref="G32" si="58">IF($D$2="Cents",LOG(VLOOKUP(C32,Master_Frequencies,2,FALSE)/F32,2)*1200*$F$3,LOG(D32*VLOOKUP(C32,Master_Frequencies,2,FALSE)/F32,$F$3))</f>
        <v>-7.6366233646862733</v>
      </c>
      <c r="I32" s="123" t="s">
        <v>5</v>
      </c>
      <c r="J32" s="145" t="s">
        <v>78</v>
      </c>
      <c r="K32" s="97">
        <v>1</v>
      </c>
      <c r="L32" s="191">
        <f t="shared" ref="L32" si="59">K32*VLOOKUP(J32,Master_Frequencies,2,FALSE)/VLOOKUP(I32,Master_Frequencies,2,FALSE)</f>
        <v>1.53123715023628</v>
      </c>
      <c r="M32" s="145" t="s">
        <v>5</v>
      </c>
      <c r="N32" s="145" t="s">
        <v>7</v>
      </c>
      <c r="O32" s="191">
        <f t="shared" ref="O32" si="60">D32*VLOOKUP(N32,Master_Frequencies,2,FALSE)/VLOOKUP(M32,Master_Frequencies,2,FALSE)</f>
        <v>1.2800000000000005</v>
      </c>
      <c r="Q32" s="99">
        <v>6</v>
      </c>
      <c r="R32" s="18">
        <f t="shared" si="27"/>
        <v>1579.0883129696097</v>
      </c>
      <c r="S32" s="97">
        <v>2</v>
      </c>
      <c r="T32" s="4">
        <f t="shared" si="28"/>
        <v>394.77207824240242</v>
      </c>
      <c r="U32" s="18" t="str" cm="1">
        <f t="array" ref="U32">_xlfn.XLOOKUP(0,ABS($C$44:$C$56-T32),$B$44:$B$56,,1)</f>
        <v>G</v>
      </c>
      <c r="V32" s="47">
        <f t="shared" ref="V32" si="61">LOG(T32/VLOOKUP(U32,Master_Frequencies,2,FALSE),2)*1200</f>
        <v>5.3765723991786674</v>
      </c>
      <c r="X32" s="85" t="s">
        <v>5</v>
      </c>
      <c r="Y32" s="4">
        <f t="shared" ref="Y32" si="62">VLOOKUP(X32,Master_Frequencies,2,FALSE)/POWER(2,$Z$25)</f>
        <v>171.87500000000003</v>
      </c>
      <c r="Z32" s="47">
        <f t="shared" ref="Z32" si="63">VLOOKUP(X32,Master_Frequencies,2,FALSE)*POWER(2,$Z$25)</f>
        <v>687.50000000000011</v>
      </c>
    </row>
    <row r="33" spans="2:26" x14ac:dyDescent="0.2">
      <c r="B33" s="123" t="s">
        <v>70</v>
      </c>
      <c r="C33" s="145" t="s">
        <v>73</v>
      </c>
      <c r="D33" s="97">
        <v>1</v>
      </c>
      <c r="E33" s="4">
        <f t="shared" ref="E33" si="64">LOG(D33*VLOOKUP(C33,Master_Frequencies,2,FALSE)/VLOOKUP(B33,Master_Frequencies,2,FALSE),2)*1200</f>
        <v>386.31371386483448</v>
      </c>
      <c r="F33" s="4">
        <f t="shared" ref="F33" si="65">VLOOKUP(B33,Master_Frequencies,2,FALSE)*5/4</f>
        <v>459.75895967129031</v>
      </c>
      <c r="G33" s="47">
        <f t="shared" ref="G33" si="66">IF($D$2="Cents",LOG(VLOOKUP(C33,Master_Frequencies,2,FALSE)/F33,2)*1200*$F$3,LOG(D33*VLOOKUP(C33,Master_Frequencies,2,FALSE)/F33,$F$3))</f>
        <v>3.5748721668520833E-14</v>
      </c>
      <c r="I33" s="123" t="s">
        <v>70</v>
      </c>
      <c r="J33" s="145" t="s">
        <v>74</v>
      </c>
      <c r="K33" s="97">
        <v>2</v>
      </c>
      <c r="L33" s="191">
        <f t="shared" ref="L33" si="67">K33*VLOOKUP(J33,Master_Frequencies,2,FALSE)/VLOOKUP(I33,Master_Frequencies,2,FALSE)</f>
        <v>1.4953487812212205</v>
      </c>
      <c r="M33" s="145" t="s">
        <v>70</v>
      </c>
      <c r="N33" s="145" t="s">
        <v>73</v>
      </c>
      <c r="O33" s="191">
        <f t="shared" ref="O33" si="68">D33*VLOOKUP(N33,Master_Frequencies,2,FALSE)/VLOOKUP(M33,Master_Frequencies,2,FALSE)</f>
        <v>1.2499999999999998</v>
      </c>
      <c r="Q33" s="99">
        <v>7</v>
      </c>
      <c r="R33" s="18">
        <f t="shared" si="27"/>
        <v>1842.2696984645445</v>
      </c>
      <c r="S33" s="97">
        <v>2</v>
      </c>
      <c r="T33" s="4">
        <f t="shared" si="28"/>
        <v>460.56742461613612</v>
      </c>
      <c r="U33" s="18" t="str" cm="1">
        <f t="array" ref="U33">_xlfn.XLOOKUP(0,ABS($C$44:$C$56-T33),$B$44:$B$56,,1)</f>
        <v>A#</v>
      </c>
      <c r="V33" s="47">
        <f t="shared" ref="V33" si="69">LOG(T33/VLOOKUP(U33,Master_Frequencies,2,FALSE),2)*1200</f>
        <v>3.0416218070383163</v>
      </c>
      <c r="X33" s="85" t="s">
        <v>70</v>
      </c>
      <c r="Y33" s="4">
        <f t="shared" ref="Y33" si="70">VLOOKUP(X33,Master_Frequencies,2,FALSE)/POWER(2,$Z$25)</f>
        <v>183.90358386851614</v>
      </c>
      <c r="Z33" s="47">
        <f t="shared" ref="Z33" si="71">VLOOKUP(X33,Master_Frequencies,2,FALSE)*POWER(2,$Z$25)</f>
        <v>735.61433547406455</v>
      </c>
    </row>
    <row r="34" spans="2:26" x14ac:dyDescent="0.2">
      <c r="B34" s="123" t="s">
        <v>6</v>
      </c>
      <c r="C34" s="145" t="s">
        <v>8</v>
      </c>
      <c r="D34" s="97">
        <v>1</v>
      </c>
      <c r="E34" s="4">
        <f t="shared" ref="E34" si="72">LOG(D34*VLOOKUP(C34,Master_Frequencies,2,FALSE)/VLOOKUP(B34,Master_Frequencies,2,FALSE),2)*1200</f>
        <v>386.31371386483482</v>
      </c>
      <c r="F34" s="4">
        <f t="shared" ref="F34" si="73">VLOOKUP(B34,Master_Frequencies,2,FALSE)*5/4</f>
        <v>491.93495504995394</v>
      </c>
      <c r="G34" s="47">
        <f t="shared" ref="G34" si="74">IF($D$2="Cents",LOG(VLOOKUP(C34,Master_Frequencies,2,FALSE)/F34,2)*1200*$F$3,LOG(D34*VLOOKUP(C34,Master_Frequencies,2,FALSE)/F34,$F$3))</f>
        <v>0</v>
      </c>
      <c r="I34" s="123" t="s">
        <v>6</v>
      </c>
      <c r="J34" s="145" t="s">
        <v>3</v>
      </c>
      <c r="K34" s="97">
        <v>2</v>
      </c>
      <c r="L34" s="191">
        <f t="shared" ref="L34" si="75">K34*VLOOKUP(J34,Master_Frequencies,2,FALSE)/VLOOKUP(I34,Master_Frequencies,2,FALSE)</f>
        <v>1.4953487812212207</v>
      </c>
      <c r="M34" s="145" t="s">
        <v>6</v>
      </c>
      <c r="N34" s="145" t="s">
        <v>8</v>
      </c>
      <c r="O34" s="191">
        <f t="shared" ref="O34" si="76">D34*VLOOKUP(N34,Master_Frequencies,2,FALSE)/VLOOKUP(M34,Master_Frequencies,2,FALSE)</f>
        <v>1.25</v>
      </c>
      <c r="Q34" s="99">
        <v>8</v>
      </c>
      <c r="R34" s="18">
        <f t="shared" si="27"/>
        <v>2105.4510839594795</v>
      </c>
      <c r="S34" s="97">
        <v>3</v>
      </c>
      <c r="T34" s="4">
        <f t="shared" si="28"/>
        <v>263.18138549493494</v>
      </c>
      <c r="U34" s="18" t="str" cm="1">
        <f t="array" ref="U34">_xlfn.XLOOKUP(0,ABS($C$44:$C$56-T34),$B$44:$B$56,,1)</f>
        <v>C</v>
      </c>
      <c r="V34" s="47">
        <f t="shared" ref="V34" si="77">LOG(T34/VLOOKUP(U34,Master_Frequencies,2,FALSE),2)*1200</f>
        <v>0</v>
      </c>
      <c r="X34" s="85" t="s">
        <v>6</v>
      </c>
      <c r="Y34" s="4">
        <f t="shared" ref="Y34" si="78">VLOOKUP(X34,Master_Frequencies,2,FALSE)/POWER(2,$Z$25)</f>
        <v>196.77398201998159</v>
      </c>
      <c r="Z34" s="47">
        <f t="shared" ref="Z34" si="79">VLOOKUP(X34,Master_Frequencies,2,FALSE)*POWER(2,$Z$25)</f>
        <v>787.09592807992635</v>
      </c>
    </row>
    <row r="35" spans="2:26" x14ac:dyDescent="0.2">
      <c r="B35" s="123" t="s">
        <v>72</v>
      </c>
      <c r="C35" s="145" t="s">
        <v>78</v>
      </c>
      <c r="D35" s="97">
        <v>1</v>
      </c>
      <c r="E35" s="4">
        <f t="shared" ref="E35" si="80">LOG(D35*VLOOKUP(C35,Master_Frequencies,2,FALSE)/VLOOKUP(B35,Master_Frequencies,2,FALSE),2)*1200</f>
        <v>427.37257030956761</v>
      </c>
      <c r="F35" s="4">
        <f t="shared" ref="F35" si="81">VLOOKUP(B35,Master_Frequencies,2,FALSE)*5/4</f>
        <v>514.02614354479476</v>
      </c>
      <c r="G35" s="47">
        <f t="shared" ref="G35" si="82">IF($D$2="Cents",LOG(VLOOKUP(C35,Master_Frequencies,2,FALSE)/F35,2)*1200*$F$3,LOG(D35*VLOOKUP(C35,Master_Frequencies,2,FALSE)/F35,$F$3))</f>
        <v>-7.6366229999997373</v>
      </c>
      <c r="I35" s="123" t="s">
        <v>72</v>
      </c>
      <c r="J35" s="145" t="s">
        <v>76</v>
      </c>
      <c r="K35" s="97">
        <v>2</v>
      </c>
      <c r="L35" s="191">
        <f t="shared" ref="L35" si="83">K35*VLOOKUP(J35,Master_Frequencies,2,FALSE)/VLOOKUP(I35,Master_Frequencies,2,FALSE)</f>
        <v>1.4953487812212205</v>
      </c>
      <c r="M35" s="145" t="s">
        <v>72</v>
      </c>
      <c r="N35" s="145" t="s">
        <v>78</v>
      </c>
      <c r="O35" s="191">
        <f t="shared" ref="O35" si="84">D35*VLOOKUP(N35,Master_Frequencies,2,FALSE)/VLOOKUP(M35,Master_Frequencies,2,FALSE)</f>
        <v>1.2799999985502963</v>
      </c>
      <c r="Q35" s="99">
        <v>9</v>
      </c>
      <c r="R35" s="18">
        <f t="shared" si="27"/>
        <v>2368.6324694544146</v>
      </c>
      <c r="S35" s="97">
        <v>3</v>
      </c>
      <c r="T35" s="4">
        <f t="shared" si="28"/>
        <v>296.07905868180183</v>
      </c>
      <c r="U35" s="18" t="str" cm="1">
        <f t="array" ref="U35">_xlfn.XLOOKUP(0,ABS($C$44:$C$56-T35),$B$44:$B$56,,1)</f>
        <v>D</v>
      </c>
      <c r="V35" s="47">
        <f t="shared" ref="V35" si="85">LOG(T35/VLOOKUP(U35,Master_Frequencies,2,FALSE),2)*1200</f>
        <v>10.753144798357358</v>
      </c>
      <c r="X35" s="85" t="s">
        <v>72</v>
      </c>
      <c r="Y35" s="4">
        <f t="shared" ref="Y35" si="86">VLOOKUP(X35,Master_Frequencies,2,FALSE)/POWER(2,$Z$25)</f>
        <v>205.6104574179179</v>
      </c>
      <c r="Z35" s="47">
        <f t="shared" ref="Z35" si="87">VLOOKUP(X35,Master_Frequencies,2,FALSE)*POWER(2,$Z$25)</f>
        <v>822.4418296716716</v>
      </c>
    </row>
    <row r="36" spans="2:26" x14ac:dyDescent="0.2">
      <c r="B36" s="123" t="s">
        <v>7</v>
      </c>
      <c r="C36" s="145" t="s">
        <v>74</v>
      </c>
      <c r="D36" s="97">
        <v>2</v>
      </c>
      <c r="E36" s="4">
        <f t="shared" ref="E36" si="88">LOG(D36*VLOOKUP(C36,Master_Frequencies,2,FALSE)/VLOOKUP(B36,Master_Frequencies,2,FALSE),2)*1200</f>
        <v>386.31371386483448</v>
      </c>
      <c r="F36" s="4">
        <f t="shared" ref="F36" si="89">VLOOKUP(B36,Master_Frequencies,2,FALSE)*5/4</f>
        <v>550.00000000000023</v>
      </c>
      <c r="G36" s="47">
        <f t="shared" ref="G36" si="90">IF($D$2="Cents",LOG(VLOOKUP(C36,Master_Frequencies,2,FALSE)/F36,2)*1200*$F$3,LOG(D36*VLOOKUP(C36,Master_Frequencies,2,FALSE)/F36,$F$3))</f>
        <v>0</v>
      </c>
      <c r="I36" s="123" t="s">
        <v>7</v>
      </c>
      <c r="J36" s="145" t="s">
        <v>4</v>
      </c>
      <c r="K36" s="97">
        <v>2</v>
      </c>
      <c r="L36" s="191">
        <f t="shared" ref="L36" si="91">K36*VLOOKUP(J36,Master_Frequencies,2,FALSE)/VLOOKUP(I36,Master_Frequencies,2,FALSE)</f>
        <v>1.4953487812212203</v>
      </c>
      <c r="M36" s="145" t="s">
        <v>7</v>
      </c>
      <c r="N36" s="145" t="s">
        <v>74</v>
      </c>
      <c r="O36" s="191">
        <f t="shared" ref="O36" si="92">D36*VLOOKUP(N36,Master_Frequencies,2,FALSE)/VLOOKUP(M36,Master_Frequencies,2,FALSE)</f>
        <v>1.2499999999999998</v>
      </c>
      <c r="Q36" s="99">
        <v>10</v>
      </c>
      <c r="R36" s="18">
        <f t="shared" si="27"/>
        <v>2631.8138549493497</v>
      </c>
      <c r="S36" s="97">
        <v>3</v>
      </c>
      <c r="T36" s="4">
        <f t="shared" si="28"/>
        <v>328.97673186866871</v>
      </c>
      <c r="U36" s="18" t="str" cm="1">
        <f t="array" ref="U36">_xlfn.XLOOKUP(0,ABS($C$44:$C$56-T36),$B$44:$B$56,,1)</f>
        <v>E</v>
      </c>
      <c r="V36" s="47">
        <f t="shared" ref="V36" si="93">LOG(T36/VLOOKUP(U36,Master_Frequencies,2,FALSE),2)*1200</f>
        <v>3.8441118045779013E-13</v>
      </c>
      <c r="X36" s="85" t="s">
        <v>7</v>
      </c>
      <c r="Y36" s="4">
        <f t="shared" ref="Y36" si="94">VLOOKUP(X36,Master_Frequencies,2,FALSE)/POWER(2,$Z$25)</f>
        <v>220.00000000000011</v>
      </c>
      <c r="Z36" s="47">
        <f t="shared" ref="Z36" si="95">VLOOKUP(X36,Master_Frequencies,2,FALSE)*POWER(2,$Z$25)</f>
        <v>880.00000000000045</v>
      </c>
    </row>
    <row r="37" spans="2:26" x14ac:dyDescent="0.2">
      <c r="B37" s="123" t="s">
        <v>73</v>
      </c>
      <c r="C37" s="145" t="s">
        <v>3</v>
      </c>
      <c r="D37" s="97">
        <v>2</v>
      </c>
      <c r="E37" s="4">
        <f t="shared" ref="E37" si="96">LOG(D37*VLOOKUP(C37,Master_Frequencies,2,FALSE)/VLOOKUP(B37,Master_Frequencies,2,FALSE),2)*1200</f>
        <v>427.37257227033103</v>
      </c>
      <c r="F37" s="4">
        <f t="shared" ref="F37" si="97">VLOOKUP(B37,Master_Frequencies,2,FALSE)*5/4</f>
        <v>574.69869958911283</v>
      </c>
      <c r="G37" s="47">
        <f t="shared" ref="G37" si="98">IF($D$2="Cents",LOG(VLOOKUP(C37,Master_Frequencies,2,FALSE)/F37,2)*1200*$F$3,LOG(D37*VLOOKUP(C37,Master_Frequencies,2,FALSE)/F37,$F$3))</f>
        <v>-7.6366233646862023</v>
      </c>
      <c r="I37" s="123" t="s">
        <v>73</v>
      </c>
      <c r="J37" s="145" t="s">
        <v>5</v>
      </c>
      <c r="K37" s="97">
        <v>2</v>
      </c>
      <c r="L37" s="191">
        <f t="shared" ref="L37" si="99">K37*VLOOKUP(J37,Master_Frequencies,2,FALSE)/VLOOKUP(I37,Master_Frequencies,2,FALSE)</f>
        <v>1.4953487812212205</v>
      </c>
      <c r="M37" s="145" t="s">
        <v>73</v>
      </c>
      <c r="N37" s="145" t="s">
        <v>3</v>
      </c>
      <c r="O37" s="191">
        <f t="shared" ref="O37" si="100">D37*VLOOKUP(N37,Master_Frequencies,2,FALSE)/VLOOKUP(M37,Master_Frequencies,2,FALSE)</f>
        <v>1.2800000000000005</v>
      </c>
      <c r="Q37" s="99">
        <v>11</v>
      </c>
      <c r="R37" s="18">
        <f t="shared" si="27"/>
        <v>2894.9952404442843</v>
      </c>
      <c r="S37" s="97">
        <v>3</v>
      </c>
      <c r="T37" s="4">
        <f t="shared" si="28"/>
        <v>361.87440505553553</v>
      </c>
      <c r="U37" s="18" t="str" cm="1">
        <f t="array" ref="U37">_xlfn.XLOOKUP(0,ABS($C$44:$C$56-T37),$B$44:$B$56,,1)</f>
        <v>F#</v>
      </c>
      <c r="V37" s="47">
        <f t="shared" ref="V37" si="101">LOG(T37/VLOOKUP(U37,Master_Frequencies,2,FALSE),2)*1200</f>
        <v>-28.152628432495586</v>
      </c>
      <c r="X37" s="85" t="s">
        <v>73</v>
      </c>
      <c r="Y37" s="4">
        <f t="shared" ref="Y37" si="102">VLOOKUP(X37,Master_Frequencies,2,FALSE)/POWER(2,$Z$25)</f>
        <v>229.87947983564513</v>
      </c>
      <c r="Z37" s="47">
        <f t="shared" ref="Z37" si="103">VLOOKUP(X37,Master_Frequencies,2,FALSE)*POWER(2,$Z$25)</f>
        <v>919.51791934258051</v>
      </c>
    </row>
    <row r="38" spans="2:26" x14ac:dyDescent="0.2">
      <c r="B38" s="124" t="s">
        <v>8</v>
      </c>
      <c r="C38" s="153" t="s">
        <v>76</v>
      </c>
      <c r="D38" s="98">
        <v>2</v>
      </c>
      <c r="E38" s="53">
        <f t="shared" ref="E38" si="104">LOG(D38*VLOOKUP(C38,Master_Frequencies,2,FALSE)/VLOOKUP(B38,Master_Frequencies,2,FALSE),2)*1200</f>
        <v>386.31371386483448</v>
      </c>
      <c r="F38" s="53">
        <f t="shared" ref="F38" si="105">VLOOKUP(B38,Master_Frequencies,2,FALSE)*5/4</f>
        <v>614.91869381244237</v>
      </c>
      <c r="G38" s="48">
        <f t="shared" ref="G38" si="106">IF($D$2="Cents",LOG(VLOOKUP(C38,Master_Frequencies,2,FALSE)/F38,2)*1200*$F$3,LOG(D38*VLOOKUP(C38,Master_Frequencies,2,FALSE)/F38,$F$3))</f>
        <v>0</v>
      </c>
      <c r="I38" s="124" t="s">
        <v>8</v>
      </c>
      <c r="J38" s="153" t="s">
        <v>70</v>
      </c>
      <c r="K38" s="98">
        <v>2</v>
      </c>
      <c r="L38" s="192">
        <f t="shared" ref="L38" si="107">K38*VLOOKUP(J38,Master_Frequencies,2,FALSE)/VLOOKUP(I38,Master_Frequencies,2,FALSE)</f>
        <v>1.4953487812212205</v>
      </c>
      <c r="M38" s="153" t="s">
        <v>8</v>
      </c>
      <c r="N38" s="153" t="s">
        <v>76</v>
      </c>
      <c r="O38" s="192">
        <f t="shared" ref="O38" si="108">D38*VLOOKUP(N38,Master_Frequencies,2,FALSE)/VLOOKUP(M38,Master_Frequencies,2,FALSE)</f>
        <v>1.2499999999999998</v>
      </c>
      <c r="Q38" s="99">
        <v>12</v>
      </c>
      <c r="R38" s="18">
        <f t="shared" si="27"/>
        <v>3158.1766259392193</v>
      </c>
      <c r="S38" s="97">
        <v>3</v>
      </c>
      <c r="T38" s="4">
        <f t="shared" si="28"/>
        <v>394.77207824240242</v>
      </c>
      <c r="U38" s="18" t="str" cm="1">
        <f t="array" ref="U38">_xlfn.XLOOKUP(0,ABS($C$44:$C$56-T38),$B$44:$B$56,,1)</f>
        <v>G</v>
      </c>
      <c r="V38" s="47">
        <f t="shared" ref="V38" si="109">LOG(T38/VLOOKUP(U38,Master_Frequencies,2,FALSE),2)*1200</f>
        <v>5.3765723991786674</v>
      </c>
      <c r="X38" s="85" t="s">
        <v>8</v>
      </c>
      <c r="Y38" s="4">
        <f t="shared" ref="Y38" si="110">VLOOKUP(X38,Master_Frequencies,2,FALSE)/POWER(2,$Z$25)</f>
        <v>245.96747752497697</v>
      </c>
      <c r="Z38" s="47">
        <f t="shared" ref="Z38" si="111">VLOOKUP(X38,Master_Frequencies,2,FALSE)*POWER(2,$Z$25)</f>
        <v>983.86991009990788</v>
      </c>
    </row>
    <row r="39" spans="2:26" x14ac:dyDescent="0.2">
      <c r="Q39" s="100">
        <v>13</v>
      </c>
      <c r="R39" s="50">
        <f t="shared" si="27"/>
        <v>3421.3580114341544</v>
      </c>
      <c r="S39" s="98">
        <v>3</v>
      </c>
      <c r="T39" s="53">
        <f t="shared" si="28"/>
        <v>427.6697514292693</v>
      </c>
      <c r="U39" s="50" t="str" cm="1">
        <f t="array" ref="U39">_xlfn.XLOOKUP(0,ABS($C$44:$C$56-T39),$B$44:$B$56,,1)</f>
        <v>A</v>
      </c>
      <c r="V39" s="48">
        <f t="shared" ref="V39" si="112">LOG(T39/VLOOKUP(U39,Master_Frequencies,2,FALSE),2)*1200</f>
        <v>-49.207623629315606</v>
      </c>
      <c r="X39" s="87" t="s">
        <v>78</v>
      </c>
      <c r="Y39" s="53">
        <f t="shared" ref="Y39" si="113">VLOOKUP(X39,Master_Frequencies,2,FALSE)/POWER(2,$Z$25)</f>
        <v>263.18138519686067</v>
      </c>
      <c r="Z39" s="48">
        <f t="shared" ref="Z39" si="114">VLOOKUP(X39,Master_Frequencies,2,FALSE)*POWER(2,$Z$25)</f>
        <v>1052.7255407874427</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263.18138549493494</v>
      </c>
    </row>
    <row r="45" spans="2:26" x14ac:dyDescent="0.2">
      <c r="B45" s="92" t="s">
        <v>74</v>
      </c>
      <c r="C45" s="93">
        <f t="shared" ref="C45:C56" si="115">VLOOKUP(B45,$B$9:$H$21,7,FALSE)</f>
        <v>275.00000000000011</v>
      </c>
    </row>
    <row r="46" spans="2:26" x14ac:dyDescent="0.2">
      <c r="B46" s="92" t="s">
        <v>3</v>
      </c>
      <c r="C46" s="93">
        <f t="shared" si="115"/>
        <v>294.24573418962586</v>
      </c>
    </row>
    <row r="47" spans="2:26" x14ac:dyDescent="0.2">
      <c r="B47" s="92" t="s">
        <v>76</v>
      </c>
      <c r="C47" s="93">
        <f t="shared" si="115"/>
        <v>307.45934690622119</v>
      </c>
    </row>
    <row r="48" spans="2:26" x14ac:dyDescent="0.2">
      <c r="B48" s="92" t="s">
        <v>4</v>
      </c>
      <c r="C48" s="93">
        <f t="shared" si="115"/>
        <v>328.97673186866865</v>
      </c>
    </row>
    <row r="49" spans="2:3" x14ac:dyDescent="0.2">
      <c r="B49" s="92" t="s">
        <v>5</v>
      </c>
      <c r="C49" s="93">
        <f t="shared" si="115"/>
        <v>343.75000000000006</v>
      </c>
    </row>
    <row r="50" spans="2:3" x14ac:dyDescent="0.2">
      <c r="B50" s="92" t="s">
        <v>70</v>
      </c>
      <c r="C50" s="93">
        <f t="shared" si="115"/>
        <v>367.80716773703227</v>
      </c>
    </row>
    <row r="51" spans="2:3" x14ac:dyDescent="0.2">
      <c r="B51" s="92" t="s">
        <v>6</v>
      </c>
      <c r="C51" s="93">
        <f t="shared" si="115"/>
        <v>393.54796403996318</v>
      </c>
    </row>
    <row r="52" spans="2:3" x14ac:dyDescent="0.2">
      <c r="B52" s="92" t="s">
        <v>72</v>
      </c>
      <c r="C52" s="93">
        <f t="shared" si="115"/>
        <v>411.2209148358358</v>
      </c>
    </row>
    <row r="53" spans="2:3" x14ac:dyDescent="0.2">
      <c r="B53" s="92" t="s">
        <v>7</v>
      </c>
      <c r="C53" s="93">
        <f t="shared" si="115"/>
        <v>440.00000000000023</v>
      </c>
    </row>
    <row r="54" spans="2:3" x14ac:dyDescent="0.2">
      <c r="B54" s="92" t="s">
        <v>73</v>
      </c>
      <c r="C54" s="93">
        <f t="shared" si="115"/>
        <v>459.75895967129026</v>
      </c>
    </row>
    <row r="55" spans="2:3" x14ac:dyDescent="0.2">
      <c r="B55" s="92" t="s">
        <v>8</v>
      </c>
      <c r="C55" s="93">
        <f t="shared" si="115"/>
        <v>491.93495504995394</v>
      </c>
    </row>
    <row r="56" spans="2:3" ht="16" thickBot="1" x14ac:dyDescent="0.25">
      <c r="B56" s="94" t="s">
        <v>78</v>
      </c>
      <c r="C56" s="95">
        <f t="shared" si="115"/>
        <v>526.36277039372135</v>
      </c>
    </row>
    <row r="57" spans="2:3" ht="16" thickTop="1" x14ac:dyDescent="0.2"/>
  </sheetData>
  <sheetProtection sheet="1" scenarios="1" formatCells="0"/>
  <mergeCells count="9">
    <mergeCell ref="B1:G1"/>
    <mergeCell ref="B7:H7"/>
    <mergeCell ref="J7:N7"/>
    <mergeCell ref="P7:U7"/>
    <mergeCell ref="X24:Z24"/>
    <mergeCell ref="B25:D25"/>
    <mergeCell ref="I25:O25"/>
    <mergeCell ref="Q25:V25"/>
    <mergeCell ref="B42:C42"/>
  </mergeCells>
  <conditionalFormatting sqref="A1 H1:XFD1 A2:XFD1048576">
    <cfRule type="expression" dxfId="47" priority="1">
      <formula>CELL("protect",A1)=0</formula>
    </cfRule>
    <cfRule type="expression" dxfId="46"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EDFA8E3A-AC5D-ED4D-8864-0CC0B10F3292}">
      <formula1>Units</formula1>
    </dataValidation>
  </dataValidations>
  <hyperlinks>
    <hyperlink ref="B40" location="Overview!A1" display="Back to Overview" xr:uid="{E13D0A1A-48BB-1243-93E3-17F1FA0BF152}"/>
    <hyperlink ref="B4" location="Overview!A1" display="Back to Overview" xr:uid="{8DDF6456-F47A-A740-A962-4E2E1BD00F01}"/>
  </hyperlink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514B3-7C1C-FC42-AAD4-8899FBA3D0CD}">
  <sheetPr codeName="Sheet16">
    <tabColor theme="8"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68</v>
      </c>
      <c r="C1" s="289"/>
      <c r="D1" s="289"/>
      <c r="E1" s="289"/>
      <c r="F1" s="289"/>
      <c r="G1" s="289"/>
    </row>
    <row r="2" spans="2:23" s="70" customFormat="1" ht="32" x14ac:dyDescent="0.2">
      <c r="D2" s="154" t="s">
        <v>48</v>
      </c>
      <c r="E2" s="72" t="str">
        <f>D2</f>
        <v>Syntonic Comma</v>
      </c>
      <c r="F2" s="72" t="str">
        <f>_xlfn.CONCAT("1/",D3," ",D2)</f>
        <v>1/4 Syntonic Comma</v>
      </c>
      <c r="G2" s="102"/>
      <c r="H2" s="103" t="s">
        <v>143</v>
      </c>
      <c r="I2" s="161">
        <v>440</v>
      </c>
      <c r="J2" s="103" t="str">
        <f>_xlfn.CONCAT("C for A=", I2,":")</f>
        <v>C for A=440:</v>
      </c>
      <c r="K2" s="70">
        <f>I2*2*8/27*POWER($F$3,$D$13-$D$10)</f>
        <v>263.18138549493494</v>
      </c>
      <c r="L2" s="103"/>
      <c r="U2" s="103"/>
      <c r="V2" s="103"/>
      <c r="W2" s="103"/>
    </row>
    <row r="3" spans="2:23" ht="16" x14ac:dyDescent="0.2">
      <c r="B3" s="105"/>
      <c r="C3" s="74" t="s">
        <v>125</v>
      </c>
      <c r="D3" s="155">
        <v>4</v>
      </c>
      <c r="E3" s="1">
        <f>IF(D2="Pythagorean Comma",524288/531441,IF(D2="Syntonic Comma",80/81,IF(D2="Cents",1/POWER(2,1/1200),"Not in List")))</f>
        <v>0.98765432098765427</v>
      </c>
      <c r="F3" s="132">
        <f>POWER(E3,1/D3)</f>
        <v>0.99689918748081363</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156">
        <v>0</v>
      </c>
      <c r="D10" s="4">
        <f>C10</f>
        <v>0</v>
      </c>
      <c r="E10" s="109">
        <f>K2</f>
        <v>263.18138549493494</v>
      </c>
      <c r="G10" s="97">
        <v>0</v>
      </c>
      <c r="H10" s="148">
        <f t="shared" ref="H10:H23" si="0">E10/POWER(2,G10)</f>
        <v>263.18138549493494</v>
      </c>
      <c r="J10" s="85" t="s">
        <v>2</v>
      </c>
      <c r="K10" s="4">
        <f t="shared" ref="K10:K22" si="1">VLOOKUP(J10,Master_Frequencies,2,FALSE)</f>
        <v>263.18138549493494</v>
      </c>
      <c r="L10" s="4">
        <f t="shared" ref="L10:L22" si="2">LOG(K10/K$10,2)*1200</f>
        <v>0</v>
      </c>
      <c r="N10" s="158">
        <v>3600</v>
      </c>
      <c r="P10" s="123" t="str">
        <f>J10</f>
        <v>C</v>
      </c>
      <c r="Q10" s="4">
        <f>E10</f>
        <v>263.18138549493494</v>
      </c>
      <c r="R10" s="4">
        <f>LOG(K10/Q10,2)*1200</f>
        <v>0</v>
      </c>
      <c r="S10" s="145" t="str">
        <f t="shared" ref="S10:S22" si="3">B10</f>
        <v>C</v>
      </c>
      <c r="T10" s="4">
        <f t="shared" ref="T10:T22" si="4">VLOOKUP(S10,Master_Frequencies,2,FALSE)</f>
        <v>263.18138549493494</v>
      </c>
      <c r="U10" s="47">
        <f t="shared" ref="U10:U22" si="5">VLOOKUP(S10,$P$10:$R$22,3,FALSE)</f>
        <v>0</v>
      </c>
    </row>
    <row r="11" spans="2:23" x14ac:dyDescent="0.2">
      <c r="B11" s="123" t="s">
        <v>6</v>
      </c>
      <c r="C11" s="156">
        <v>-1</v>
      </c>
      <c r="D11" s="4">
        <f>D10+C11</f>
        <v>-1</v>
      </c>
      <c r="E11" s="4">
        <f t="shared" ref="E11:E22" si="6">IF(C11&lt;0,(E10*3/2)*POWER($F$3,ABS(C11)),(E10*3/2)*POWER(1/$F$3,ABS(C11)))</f>
        <v>393.54796403996318</v>
      </c>
      <c r="F11" s="4">
        <f t="shared" ref="F11:F22" si="7">LOG(E11/E10,2)*1200</f>
        <v>696.57842846620861</v>
      </c>
      <c r="G11" s="97">
        <v>0</v>
      </c>
      <c r="H11" s="148">
        <f t="shared" si="0"/>
        <v>393.54796403996318</v>
      </c>
      <c r="J11" s="85" t="s">
        <v>74</v>
      </c>
      <c r="K11" s="4">
        <f t="shared" si="1"/>
        <v>275.00000000000011</v>
      </c>
      <c r="L11" s="4">
        <f t="shared" si="2"/>
        <v>76.048999263460743</v>
      </c>
      <c r="M11" s="4">
        <f t="shared" ref="M11:M22" si="8">LOG(K11/K10,2)*1200</f>
        <v>76.048999263460743</v>
      </c>
      <c r="N11" s="47">
        <f t="shared" ref="N11:N22" si="9">N$10*K$10/K11</f>
        <v>3445.2835919336922</v>
      </c>
      <c r="P11" s="123" t="str">
        <f t="shared" ref="P11:P22" si="10">J11</f>
        <v>C#</v>
      </c>
      <c r="Q11" s="4">
        <f t="shared" ref="Q11:Q22" si="11">Q10*POWER($Q$10*2/$Q$10,1/12)</f>
        <v>278.83096505423032</v>
      </c>
      <c r="R11" s="4">
        <f t="shared" ref="R11:R22" si="12">LOG(K11/Q11,2)*1200</f>
        <v>-23.951000736539221</v>
      </c>
      <c r="S11" s="145" t="str">
        <f t="shared" si="3"/>
        <v>G</v>
      </c>
      <c r="T11" s="4">
        <f t="shared" si="4"/>
        <v>393.54796403996318</v>
      </c>
      <c r="U11" s="47">
        <f t="shared" si="5"/>
        <v>-3.4215715337915875</v>
      </c>
    </row>
    <row r="12" spans="2:23" x14ac:dyDescent="0.2">
      <c r="B12" s="123" t="s">
        <v>3</v>
      </c>
      <c r="C12" s="156">
        <v>-1</v>
      </c>
      <c r="D12" s="4">
        <f t="shared" ref="D12:D22" si="13">D11+C12</f>
        <v>-2</v>
      </c>
      <c r="E12" s="4">
        <f t="shared" si="6"/>
        <v>588.49146837925173</v>
      </c>
      <c r="F12" s="4">
        <f t="shared" si="7"/>
        <v>696.57842846620895</v>
      </c>
      <c r="G12" s="97">
        <v>1</v>
      </c>
      <c r="H12" s="148">
        <f t="shared" si="0"/>
        <v>294.24573418962586</v>
      </c>
      <c r="J12" s="85" t="s">
        <v>3</v>
      </c>
      <c r="K12" s="4">
        <f t="shared" si="1"/>
        <v>294.24573418962586</v>
      </c>
      <c r="L12" s="4">
        <f t="shared" si="2"/>
        <v>193.1568569324175</v>
      </c>
      <c r="M12" s="4">
        <f t="shared" si="8"/>
        <v>117.10785766895694</v>
      </c>
      <c r="N12" s="47">
        <f t="shared" si="9"/>
        <v>3219.9378875996968</v>
      </c>
      <c r="P12" s="123" t="str">
        <f t="shared" si="10"/>
        <v>D</v>
      </c>
      <c r="Q12" s="4">
        <f t="shared" si="11"/>
        <v>295.4111170395434</v>
      </c>
      <c r="R12" s="4">
        <f t="shared" si="12"/>
        <v>-6.8431430675824663</v>
      </c>
      <c r="S12" s="145" t="str">
        <f t="shared" si="3"/>
        <v>D</v>
      </c>
      <c r="T12" s="4">
        <f t="shared" si="4"/>
        <v>294.24573418962586</v>
      </c>
      <c r="U12" s="47">
        <f t="shared" si="5"/>
        <v>-6.8431430675824663</v>
      </c>
    </row>
    <row r="13" spans="2:23" x14ac:dyDescent="0.2">
      <c r="B13" s="123" t="s">
        <v>7</v>
      </c>
      <c r="C13" s="156">
        <v>-1</v>
      </c>
      <c r="D13" s="4">
        <f t="shared" si="13"/>
        <v>-3</v>
      </c>
      <c r="E13" s="4">
        <f t="shared" si="6"/>
        <v>880.00000000000045</v>
      </c>
      <c r="F13" s="4">
        <f t="shared" si="7"/>
        <v>696.57842846620861</v>
      </c>
      <c r="G13" s="97">
        <v>1</v>
      </c>
      <c r="H13" s="148">
        <f t="shared" si="0"/>
        <v>440.00000000000023</v>
      </c>
      <c r="J13" s="85" t="s">
        <v>76</v>
      </c>
      <c r="K13" s="4">
        <f t="shared" si="1"/>
        <v>307.45934690622119</v>
      </c>
      <c r="L13" s="4">
        <f t="shared" si="2"/>
        <v>269.20585619587797</v>
      </c>
      <c r="M13" s="4">
        <f t="shared" si="8"/>
        <v>76.048999263460388</v>
      </c>
      <c r="N13" s="47">
        <f t="shared" si="9"/>
        <v>3081.5553253313528</v>
      </c>
      <c r="P13" s="123" t="str">
        <f t="shared" si="10"/>
        <v>D#</v>
      </c>
      <c r="Q13" s="4">
        <f t="shared" si="11"/>
        <v>312.9771761668506</v>
      </c>
      <c r="R13" s="4">
        <f t="shared" si="12"/>
        <v>-30.794143804122168</v>
      </c>
      <c r="S13" s="145" t="str">
        <f t="shared" si="3"/>
        <v>A</v>
      </c>
      <c r="T13" s="4">
        <f t="shared" si="4"/>
        <v>440.00000000000023</v>
      </c>
      <c r="U13" s="47">
        <f t="shared" si="5"/>
        <v>-10.264714601374356</v>
      </c>
    </row>
    <row r="14" spans="2:23" x14ac:dyDescent="0.2">
      <c r="B14" s="123" t="s">
        <v>4</v>
      </c>
      <c r="C14" s="156">
        <v>-1</v>
      </c>
      <c r="D14" s="4">
        <f t="shared" si="13"/>
        <v>-4</v>
      </c>
      <c r="E14" s="4">
        <f t="shared" si="6"/>
        <v>1315.9069274746746</v>
      </c>
      <c r="F14" s="4">
        <f t="shared" si="7"/>
        <v>696.57842846620838</v>
      </c>
      <c r="G14" s="97">
        <v>2</v>
      </c>
      <c r="H14" s="148">
        <f t="shared" si="0"/>
        <v>328.97673186866865</v>
      </c>
      <c r="J14" s="85" t="s">
        <v>4</v>
      </c>
      <c r="K14" s="4">
        <f t="shared" si="1"/>
        <v>328.97673186866865</v>
      </c>
      <c r="L14" s="4">
        <f t="shared" si="2"/>
        <v>386.31371386483482</v>
      </c>
      <c r="M14" s="4">
        <f t="shared" si="8"/>
        <v>117.1078576689566</v>
      </c>
      <c r="N14" s="47">
        <f t="shared" si="9"/>
        <v>2880</v>
      </c>
      <c r="P14" s="123" t="str">
        <f t="shared" si="10"/>
        <v>E</v>
      </c>
      <c r="Q14" s="4">
        <f t="shared" si="11"/>
        <v>331.58776752556582</v>
      </c>
      <c r="R14" s="4">
        <f t="shared" si="12"/>
        <v>-13.686286135165501</v>
      </c>
      <c r="S14" s="145" t="str">
        <f t="shared" si="3"/>
        <v>E</v>
      </c>
      <c r="T14" s="4">
        <f t="shared" si="4"/>
        <v>328.97673186866865</v>
      </c>
      <c r="U14" s="47">
        <f t="shared" si="5"/>
        <v>-13.686286135165501</v>
      </c>
    </row>
    <row r="15" spans="2:23" x14ac:dyDescent="0.2">
      <c r="B15" s="123" t="s">
        <v>8</v>
      </c>
      <c r="C15" s="156">
        <v>-1</v>
      </c>
      <c r="D15" s="4">
        <f t="shared" si="13"/>
        <v>-5</v>
      </c>
      <c r="E15" s="4">
        <f t="shared" si="6"/>
        <v>1967.7398201998158</v>
      </c>
      <c r="F15" s="4">
        <f t="shared" si="7"/>
        <v>696.57842846620861</v>
      </c>
      <c r="G15" s="97">
        <v>2</v>
      </c>
      <c r="H15" s="148">
        <f t="shared" si="0"/>
        <v>491.93495504995394</v>
      </c>
      <c r="J15" s="85" t="s">
        <v>5</v>
      </c>
      <c r="K15" s="4">
        <f t="shared" si="1"/>
        <v>343.75000000000006</v>
      </c>
      <c r="L15" s="4">
        <f t="shared" si="2"/>
        <v>462.36271312829524</v>
      </c>
      <c r="M15" s="4">
        <f t="shared" si="8"/>
        <v>76.048999263460388</v>
      </c>
      <c r="N15" s="47">
        <f t="shared" si="9"/>
        <v>2756.2268735469543</v>
      </c>
      <c r="P15" s="123" t="str">
        <f t="shared" si="10"/>
        <v>F</v>
      </c>
      <c r="Q15" s="4">
        <f t="shared" si="11"/>
        <v>351.30500223432659</v>
      </c>
      <c r="R15" s="4">
        <f t="shared" si="12"/>
        <v>-37.637286871704909</v>
      </c>
      <c r="S15" s="145" t="str">
        <f t="shared" si="3"/>
        <v>B</v>
      </c>
      <c r="T15" s="4">
        <f t="shared" si="4"/>
        <v>491.93495504995394</v>
      </c>
      <c r="U15" s="47">
        <f t="shared" si="5"/>
        <v>-17.107857668956996</v>
      </c>
    </row>
    <row r="16" spans="2:23" x14ac:dyDescent="0.2">
      <c r="B16" s="123" t="s">
        <v>70</v>
      </c>
      <c r="C16" s="156">
        <v>-1</v>
      </c>
      <c r="D16" s="4">
        <f t="shared" si="13"/>
        <v>-6</v>
      </c>
      <c r="E16" s="4">
        <f t="shared" si="6"/>
        <v>2942.4573418962582</v>
      </c>
      <c r="F16" s="4">
        <f t="shared" si="7"/>
        <v>696.57842846620861</v>
      </c>
      <c r="G16" s="97">
        <v>3</v>
      </c>
      <c r="H16" s="148">
        <f t="shared" si="0"/>
        <v>367.80716773703227</v>
      </c>
      <c r="J16" s="85" t="s">
        <v>70</v>
      </c>
      <c r="K16" s="4">
        <f t="shared" si="1"/>
        <v>367.80716773703227</v>
      </c>
      <c r="L16" s="4">
        <f t="shared" si="2"/>
        <v>579.47057079725209</v>
      </c>
      <c r="M16" s="4">
        <f t="shared" si="8"/>
        <v>117.10785766895694</v>
      </c>
      <c r="N16" s="47">
        <f t="shared" si="9"/>
        <v>2575.9503100797579</v>
      </c>
      <c r="P16" s="123" t="str">
        <f t="shared" si="10"/>
        <v>F#</v>
      </c>
      <c r="Q16" s="4">
        <f t="shared" si="11"/>
        <v>372.19468473107878</v>
      </c>
      <c r="R16" s="4">
        <f t="shared" si="12"/>
        <v>-20.529429202748009</v>
      </c>
      <c r="S16" s="145" t="str">
        <f t="shared" si="3"/>
        <v>F#</v>
      </c>
      <c r="T16" s="4">
        <f t="shared" si="4"/>
        <v>367.80716773703227</v>
      </c>
      <c r="U16" s="47">
        <f t="shared" si="5"/>
        <v>-20.529429202748009</v>
      </c>
    </row>
    <row r="17" spans="2:26" x14ac:dyDescent="0.2">
      <c r="B17" s="123" t="s">
        <v>74</v>
      </c>
      <c r="C17" s="156">
        <v>-1</v>
      </c>
      <c r="D17" s="4">
        <f t="shared" si="13"/>
        <v>-7</v>
      </c>
      <c r="E17" s="4">
        <f t="shared" si="6"/>
        <v>4400.0000000000018</v>
      </c>
      <c r="F17" s="4">
        <f t="shared" si="7"/>
        <v>696.57842846620861</v>
      </c>
      <c r="G17" s="97">
        <v>4</v>
      </c>
      <c r="H17" s="148">
        <f t="shared" si="0"/>
        <v>275.00000000000011</v>
      </c>
      <c r="J17" s="85" t="s">
        <v>6</v>
      </c>
      <c r="K17" s="4">
        <f t="shared" si="1"/>
        <v>393.54796403996318</v>
      </c>
      <c r="L17" s="4">
        <f t="shared" si="2"/>
        <v>696.57842846620861</v>
      </c>
      <c r="M17" s="4">
        <f t="shared" si="8"/>
        <v>117.1078576689566</v>
      </c>
      <c r="N17" s="47">
        <f t="shared" si="9"/>
        <v>2407.4650979151193</v>
      </c>
      <c r="P17" s="123" t="str">
        <f t="shared" si="10"/>
        <v>G</v>
      </c>
      <c r="Q17" s="4">
        <f t="shared" si="11"/>
        <v>394.32653238927111</v>
      </c>
      <c r="R17" s="4">
        <f t="shared" si="12"/>
        <v>-3.4215715337915875</v>
      </c>
      <c r="S17" s="145" t="str">
        <f t="shared" si="3"/>
        <v>C#</v>
      </c>
      <c r="T17" s="4">
        <f t="shared" si="4"/>
        <v>275.00000000000011</v>
      </c>
      <c r="U17" s="47">
        <f t="shared" si="5"/>
        <v>-23.951000736539221</v>
      </c>
    </row>
    <row r="18" spans="2:26" x14ac:dyDescent="0.2">
      <c r="B18" s="123" t="s">
        <v>72</v>
      </c>
      <c r="C18" s="156">
        <v>-1</v>
      </c>
      <c r="D18" s="4">
        <f t="shared" si="13"/>
        <v>-8</v>
      </c>
      <c r="E18" s="4">
        <f t="shared" si="6"/>
        <v>6579.5346373733728</v>
      </c>
      <c r="F18" s="4">
        <f t="shared" si="7"/>
        <v>696.57842846620861</v>
      </c>
      <c r="G18" s="97">
        <v>4</v>
      </c>
      <c r="H18" s="148">
        <f t="shared" si="0"/>
        <v>411.2209148358358</v>
      </c>
      <c r="J18" s="85" t="s">
        <v>72</v>
      </c>
      <c r="K18" s="4">
        <f t="shared" si="1"/>
        <v>411.2209148358358</v>
      </c>
      <c r="L18" s="4">
        <f t="shared" si="2"/>
        <v>772.62742772966942</v>
      </c>
      <c r="M18" s="4">
        <f t="shared" si="8"/>
        <v>76.048999263460743</v>
      </c>
      <c r="N18" s="47">
        <f t="shared" si="9"/>
        <v>2304</v>
      </c>
      <c r="P18" s="123" t="str">
        <f t="shared" si="10"/>
        <v>G#</v>
      </c>
      <c r="Q18" s="4">
        <f t="shared" si="11"/>
        <v>417.77440819310806</v>
      </c>
      <c r="R18" s="4">
        <f t="shared" si="12"/>
        <v>-27.372572270330952</v>
      </c>
      <c r="S18" s="145" t="str">
        <f t="shared" si="3"/>
        <v>G#</v>
      </c>
      <c r="T18" s="4">
        <f t="shared" si="4"/>
        <v>411.2209148358358</v>
      </c>
      <c r="U18" s="47">
        <f t="shared" si="5"/>
        <v>-27.372572270330952</v>
      </c>
    </row>
    <row r="19" spans="2:26" x14ac:dyDescent="0.2">
      <c r="B19" s="123" t="s">
        <v>76</v>
      </c>
      <c r="C19" s="156">
        <v>-1</v>
      </c>
      <c r="D19" s="4">
        <f t="shared" si="13"/>
        <v>-9</v>
      </c>
      <c r="E19" s="4">
        <f t="shared" si="6"/>
        <v>9838.6991009990779</v>
      </c>
      <c r="F19" s="4">
        <f t="shared" si="7"/>
        <v>696.57842846620861</v>
      </c>
      <c r="G19" s="97">
        <v>5</v>
      </c>
      <c r="H19" s="148">
        <f t="shared" si="0"/>
        <v>307.45934690622119</v>
      </c>
      <c r="J19" s="85" t="s">
        <v>7</v>
      </c>
      <c r="K19" s="4">
        <f t="shared" si="1"/>
        <v>440.00000000000023</v>
      </c>
      <c r="L19" s="4">
        <f t="shared" si="2"/>
        <v>889.73528539862605</v>
      </c>
      <c r="M19" s="4">
        <f t="shared" si="8"/>
        <v>117.1078576689566</v>
      </c>
      <c r="N19" s="47">
        <f t="shared" si="9"/>
        <v>2153.3022449585574</v>
      </c>
      <c r="P19" s="123" t="str">
        <f t="shared" si="10"/>
        <v>A</v>
      </c>
      <c r="Q19" s="4">
        <f t="shared" si="11"/>
        <v>442.61656724839361</v>
      </c>
      <c r="R19" s="4">
        <f t="shared" si="12"/>
        <v>-10.264714601374356</v>
      </c>
      <c r="S19" s="145" t="str">
        <f t="shared" si="3"/>
        <v>D#</v>
      </c>
      <c r="T19" s="4">
        <f t="shared" si="4"/>
        <v>307.45934690622119</v>
      </c>
      <c r="U19" s="47">
        <f t="shared" si="5"/>
        <v>-30.794143804122168</v>
      </c>
    </row>
    <row r="20" spans="2:26" x14ac:dyDescent="0.2">
      <c r="B20" s="123" t="s">
        <v>73</v>
      </c>
      <c r="C20" s="156">
        <v>-1</v>
      </c>
      <c r="D20" s="4">
        <f t="shared" si="13"/>
        <v>-10</v>
      </c>
      <c r="E20" s="4">
        <f t="shared" si="6"/>
        <v>14712.286709481288</v>
      </c>
      <c r="F20" s="4">
        <f t="shared" si="7"/>
        <v>696.57842846620861</v>
      </c>
      <c r="G20" s="97">
        <v>5</v>
      </c>
      <c r="H20" s="148">
        <f t="shared" si="0"/>
        <v>459.75895967129026</v>
      </c>
      <c r="J20" s="85" t="s">
        <v>73</v>
      </c>
      <c r="K20" s="4">
        <f t="shared" si="1"/>
        <v>459.75895967129026</v>
      </c>
      <c r="L20" s="4">
        <f t="shared" si="2"/>
        <v>965.78428466208663</v>
      </c>
      <c r="M20" s="4">
        <f t="shared" si="8"/>
        <v>76.048999263460388</v>
      </c>
      <c r="N20" s="47">
        <f t="shared" si="9"/>
        <v>2060.7602480638066</v>
      </c>
      <c r="P20" s="123" t="str">
        <f t="shared" si="10"/>
        <v>A#</v>
      </c>
      <c r="Q20" s="4">
        <f t="shared" si="11"/>
        <v>468.9359179516722</v>
      </c>
      <c r="R20" s="4">
        <f t="shared" si="12"/>
        <v>-34.215715337913849</v>
      </c>
      <c r="S20" s="145" t="str">
        <f t="shared" si="3"/>
        <v>A#</v>
      </c>
      <c r="T20" s="4">
        <f t="shared" si="4"/>
        <v>459.75895967129026</v>
      </c>
      <c r="U20" s="47">
        <f t="shared" si="5"/>
        <v>-34.215715337913849</v>
      </c>
    </row>
    <row r="21" spans="2:26" x14ac:dyDescent="0.2">
      <c r="B21" s="123" t="s">
        <v>5</v>
      </c>
      <c r="C21" s="156">
        <v>-1</v>
      </c>
      <c r="D21" s="4">
        <f t="shared" si="13"/>
        <v>-11</v>
      </c>
      <c r="E21" s="4">
        <f t="shared" si="6"/>
        <v>22000.000000000004</v>
      </c>
      <c r="F21" s="4">
        <f t="shared" si="7"/>
        <v>696.57842846620861</v>
      </c>
      <c r="G21" s="97">
        <v>6</v>
      </c>
      <c r="H21" s="148">
        <f t="shared" si="0"/>
        <v>343.75000000000006</v>
      </c>
      <c r="J21" s="85" t="s">
        <v>8</v>
      </c>
      <c r="K21" s="4">
        <f t="shared" si="1"/>
        <v>491.93495504995394</v>
      </c>
      <c r="L21" s="4">
        <f t="shared" si="2"/>
        <v>1082.8921423310435</v>
      </c>
      <c r="M21" s="4">
        <f t="shared" si="8"/>
        <v>117.10785766895694</v>
      </c>
      <c r="N21" s="47">
        <f t="shared" si="9"/>
        <v>1925.9720783320954</v>
      </c>
      <c r="P21" s="123" t="str">
        <f t="shared" si="10"/>
        <v>B</v>
      </c>
      <c r="Q21" s="4">
        <f t="shared" si="11"/>
        <v>496.82029868929521</v>
      </c>
      <c r="R21" s="4">
        <f t="shared" si="12"/>
        <v>-17.107857668956996</v>
      </c>
      <c r="S21" s="145" t="str">
        <f t="shared" si="3"/>
        <v>F</v>
      </c>
      <c r="T21" s="4">
        <f t="shared" si="4"/>
        <v>343.75000000000006</v>
      </c>
      <c r="U21" s="47">
        <f t="shared" si="5"/>
        <v>-37.637286871704909</v>
      </c>
    </row>
    <row r="22" spans="2:26" x14ac:dyDescent="0.2">
      <c r="B22" s="124" t="s">
        <v>78</v>
      </c>
      <c r="C22" s="157">
        <v>-1</v>
      </c>
      <c r="D22" s="53">
        <f t="shared" si="13"/>
        <v>-12</v>
      </c>
      <c r="E22" s="53">
        <f t="shared" si="6"/>
        <v>32897.673186866858</v>
      </c>
      <c r="F22" s="53">
        <f t="shared" si="7"/>
        <v>696.57842846620861</v>
      </c>
      <c r="G22" s="98">
        <v>6</v>
      </c>
      <c r="H22" s="48">
        <f t="shared" si="0"/>
        <v>514.02614354479465</v>
      </c>
      <c r="J22" s="87" t="s">
        <v>78</v>
      </c>
      <c r="K22" s="53">
        <f t="shared" si="1"/>
        <v>514.02614354479465</v>
      </c>
      <c r="L22" s="53">
        <f t="shared" si="2"/>
        <v>1158.941141594504</v>
      </c>
      <c r="M22" s="53">
        <f t="shared" si="8"/>
        <v>76.048999263460388</v>
      </c>
      <c r="N22" s="48">
        <f t="shared" si="9"/>
        <v>1843.2000000000005</v>
      </c>
      <c r="P22" s="49" t="str">
        <f t="shared" si="10"/>
        <v>c oct.</v>
      </c>
      <c r="Q22" s="53">
        <f t="shared" si="11"/>
        <v>526.36277098987</v>
      </c>
      <c r="R22" s="53">
        <f t="shared" si="12"/>
        <v>-41.05885840549653</v>
      </c>
      <c r="S22" s="50" t="str">
        <f t="shared" si="3"/>
        <v>c oct.</v>
      </c>
      <c r="T22" s="53">
        <f t="shared" si="4"/>
        <v>514.02614354479465</v>
      </c>
      <c r="U22" s="48">
        <f t="shared" si="5"/>
        <v>-41.05885840549653</v>
      </c>
    </row>
    <row r="23" spans="2:26" x14ac:dyDescent="0.2">
      <c r="B23" s="125" t="s">
        <v>9</v>
      </c>
      <c r="C23" s="126">
        <v>-1</v>
      </c>
      <c r="D23" s="126">
        <f t="shared" ref="D23" si="14">D22+C23</f>
        <v>-13</v>
      </c>
      <c r="E23" s="126">
        <f t="shared" ref="E23" si="15">IF(C23&lt;0,(E22*3/2)*POWER($F$3,ABS(C23)),(E22*3/2)*POWER(1/$F$3,ABS(C23)))</f>
        <v>49193.495504995379</v>
      </c>
      <c r="F23" s="126"/>
      <c r="G23" s="126">
        <v>7</v>
      </c>
      <c r="H23" s="127">
        <f t="shared" si="0"/>
        <v>384.3241836327764</v>
      </c>
      <c r="J23" s="86"/>
      <c r="P23" s="18"/>
      <c r="S23" s="18"/>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64" x14ac:dyDescent="0.2">
      <c r="B27" s="83" t="s">
        <v>130</v>
      </c>
      <c r="C27" s="84" t="s">
        <v>131</v>
      </c>
      <c r="D27" s="84" t="s">
        <v>132</v>
      </c>
      <c r="E27" s="84" t="str" cm="1">
        <f t="array" aca="1" ref="E27" ca="1">_xlfn.CONCAT(_xlfn.TEXTAFTER(CELL("filename",A2),"]")," Interval in cents")</f>
        <v>Meantone q. comma Interval in cents</v>
      </c>
      <c r="F27" s="84" t="s">
        <v>18</v>
      </c>
      <c r="G27" s="52" t="str">
        <f>_xlfn.CONCAT("diff ",$F$2)</f>
        <v>diff 1/4 Syntonic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6">LOG(D28*VLOOKUP(C28,Master_Frequencies,2,FALSE)/VLOOKUP(B28,Master_Frequencies,2,FALSE),2)*1200</f>
        <v>386.31371386483482</v>
      </c>
      <c r="F28" s="4">
        <f t="shared" ref="F28:F39" si="17">VLOOKUP(B28,Master_Frequencies,2,FALSE)*5/4</f>
        <v>328.97673186866871</v>
      </c>
      <c r="G28" s="47">
        <f t="shared" ref="G28:G39" si="18">IF($D$2="Cents",LOG(D28*VLOOKUP(C28,Master_Frequencies,2,FALSE)/F28,2)*1200*$F$3,LOG(D28*VLOOKUP(C28,Master_Frequencies,2,FALSE)/F28,$F$3))</f>
        <v>7.1497443337041678E-14</v>
      </c>
      <c r="I28" s="123" t="s">
        <v>2</v>
      </c>
      <c r="J28" s="145" t="s">
        <v>6</v>
      </c>
      <c r="K28" s="97">
        <v>1</v>
      </c>
      <c r="L28" s="191">
        <f t="shared" ref="L28:L39" si="19">K28*VLOOKUP(J28,Master_Frequencies,2,FALSE)/VLOOKUP(I28,Master_Frequencies,2,FALSE)</f>
        <v>1.4953487812212205</v>
      </c>
      <c r="M28" s="145" t="s">
        <v>2</v>
      </c>
      <c r="N28" s="145" t="s">
        <v>4</v>
      </c>
      <c r="O28" s="191">
        <f t="shared" ref="O28:O39" si="20">D28*VLOOKUP(N28,Master_Frequencies,2,FALSE)/VLOOKUP(M28,Master_Frequencies,2,FALSE)</f>
        <v>1.25</v>
      </c>
      <c r="Q28" s="99">
        <v>1</v>
      </c>
      <c r="R28" s="18">
        <f>$E$10*Q28</f>
        <v>263.18138549493494</v>
      </c>
      <c r="S28" s="97">
        <v>0</v>
      </c>
      <c r="T28" s="4">
        <f>R28/POWER(2,S28)</f>
        <v>263.18138549493494</v>
      </c>
      <c r="U28" s="18" t="str" cm="1">
        <f t="array" ref="U28">_xlfn.XLOOKUP(0,ABS($C$45:$C$57-T28),$B$45:$B$57,,1)</f>
        <v>C</v>
      </c>
      <c r="V28" s="47">
        <f t="shared" ref="V28:V40" si="21">LOG(T28/VLOOKUP(U28,Master_Frequencies,2,FALSE),2)*1200</f>
        <v>0</v>
      </c>
      <c r="X28" s="85" t="s">
        <v>2</v>
      </c>
      <c r="Y28" s="4">
        <f t="shared" ref="Y28:Y40" si="22">VLOOKUP(X28,Master_Frequencies,2,FALSE)/POWER(2,$Z$26)</f>
        <v>65.795346373733736</v>
      </c>
      <c r="Z28" s="47">
        <f t="shared" ref="Z28:Z40" si="23">VLOOKUP(X28,Master_Frequencies,2,FALSE)*POWER(2,$Z$26)</f>
        <v>1052.7255419797398</v>
      </c>
    </row>
    <row r="29" spans="2:26" x14ac:dyDescent="0.2">
      <c r="B29" s="123" t="s">
        <v>74</v>
      </c>
      <c r="C29" s="145" t="s">
        <v>5</v>
      </c>
      <c r="D29" s="97">
        <v>1</v>
      </c>
      <c r="E29" s="4">
        <f t="shared" si="16"/>
        <v>386.31371386483448</v>
      </c>
      <c r="F29" s="4">
        <f t="shared" si="17"/>
        <v>343.75000000000011</v>
      </c>
      <c r="G29" s="47">
        <f t="shared" si="18"/>
        <v>3.5748721668520833E-14</v>
      </c>
      <c r="I29" s="123" t="s">
        <v>74</v>
      </c>
      <c r="J29" s="145" t="s">
        <v>72</v>
      </c>
      <c r="K29" s="97">
        <v>1</v>
      </c>
      <c r="L29" s="191">
        <f t="shared" si="19"/>
        <v>1.4953487812212205</v>
      </c>
      <c r="M29" s="145" t="s">
        <v>74</v>
      </c>
      <c r="N29" s="145" t="s">
        <v>5</v>
      </c>
      <c r="O29" s="191">
        <f t="shared" si="20"/>
        <v>1.2499999999999998</v>
      </c>
      <c r="Q29" s="99">
        <v>2</v>
      </c>
      <c r="R29" s="18">
        <f t="shared" ref="R29:R40" si="24">$E$10*Q29</f>
        <v>526.36277098986989</v>
      </c>
      <c r="S29" s="97">
        <v>0</v>
      </c>
      <c r="T29" s="4">
        <f t="shared" ref="T29:T40" si="25">R29/POWER(2,S29)</f>
        <v>526.36277098986989</v>
      </c>
      <c r="U29" s="18" t="str" cm="1">
        <f t="array" ref="U29">_xlfn.XLOOKUP(0,ABS($C$45:$C$57-T29),$B$45:$B$57,,1)</f>
        <v>c oct.</v>
      </c>
      <c r="V29" s="47">
        <f t="shared" si="21"/>
        <v>41.058858405495961</v>
      </c>
      <c r="X29" s="85" t="s">
        <v>74</v>
      </c>
      <c r="Y29" s="4">
        <f t="shared" si="22"/>
        <v>68.750000000000028</v>
      </c>
      <c r="Z29" s="47">
        <f t="shared" si="23"/>
        <v>1100.0000000000005</v>
      </c>
    </row>
    <row r="30" spans="2:26" x14ac:dyDescent="0.2">
      <c r="B30" s="123" t="s">
        <v>3</v>
      </c>
      <c r="C30" s="145" t="s">
        <v>70</v>
      </c>
      <c r="D30" s="97">
        <v>1</v>
      </c>
      <c r="E30" s="4">
        <f t="shared" si="16"/>
        <v>386.31371386483448</v>
      </c>
      <c r="F30" s="4">
        <f t="shared" si="17"/>
        <v>367.80716773703233</v>
      </c>
      <c r="G30" s="47">
        <f t="shared" si="18"/>
        <v>3.5748721668520833E-14</v>
      </c>
      <c r="I30" s="123" t="s">
        <v>3</v>
      </c>
      <c r="J30" s="145" t="s">
        <v>7</v>
      </c>
      <c r="K30" s="97">
        <v>1</v>
      </c>
      <c r="L30" s="191">
        <f t="shared" si="19"/>
        <v>1.4953487812212205</v>
      </c>
      <c r="M30" s="145" t="s">
        <v>3</v>
      </c>
      <c r="N30" s="145" t="s">
        <v>70</v>
      </c>
      <c r="O30" s="191">
        <f t="shared" si="20"/>
        <v>1.2499999999999998</v>
      </c>
      <c r="Q30" s="99">
        <v>3</v>
      </c>
      <c r="R30" s="18">
        <f t="shared" si="24"/>
        <v>789.54415648480483</v>
      </c>
      <c r="S30" s="97">
        <v>1</v>
      </c>
      <c r="T30" s="4">
        <f t="shared" si="25"/>
        <v>394.77207824240242</v>
      </c>
      <c r="U30" s="18" t="str" cm="1">
        <f t="array" ref="U30">_xlfn.XLOOKUP(0,ABS($C$45:$C$57-T30),$B$45:$B$57,,1)</f>
        <v>G</v>
      </c>
      <c r="V30" s="47">
        <f t="shared" si="21"/>
        <v>5.3765723991786674</v>
      </c>
      <c r="X30" s="85" t="s">
        <v>3</v>
      </c>
      <c r="Y30" s="4">
        <f t="shared" si="22"/>
        <v>73.561433547406466</v>
      </c>
      <c r="Z30" s="47">
        <f t="shared" si="23"/>
        <v>1176.9829367585035</v>
      </c>
    </row>
    <row r="31" spans="2:26" x14ac:dyDescent="0.2">
      <c r="B31" s="123" t="s">
        <v>76</v>
      </c>
      <c r="C31" s="145" t="s">
        <v>6</v>
      </c>
      <c r="D31" s="97">
        <v>1</v>
      </c>
      <c r="E31" s="4">
        <f t="shared" si="16"/>
        <v>427.37257227033069</v>
      </c>
      <c r="F31" s="4">
        <f t="shared" si="17"/>
        <v>384.32418363277645</v>
      </c>
      <c r="G31" s="47">
        <f t="shared" si="18"/>
        <v>-7.6366233646862023</v>
      </c>
      <c r="I31" s="123" t="s">
        <v>76</v>
      </c>
      <c r="J31" s="145" t="s">
        <v>73</v>
      </c>
      <c r="K31" s="97">
        <v>1</v>
      </c>
      <c r="L31" s="191">
        <f t="shared" si="19"/>
        <v>1.4953487812212205</v>
      </c>
      <c r="M31" s="145" t="s">
        <v>76</v>
      </c>
      <c r="N31" s="145" t="s">
        <v>6</v>
      </c>
      <c r="O31" s="191">
        <f t="shared" si="20"/>
        <v>1.2800000000000002</v>
      </c>
      <c r="Q31" s="99">
        <v>4</v>
      </c>
      <c r="R31" s="18">
        <f t="shared" si="24"/>
        <v>1052.7255419797398</v>
      </c>
      <c r="S31" s="97">
        <v>1</v>
      </c>
      <c r="T31" s="4">
        <f t="shared" si="25"/>
        <v>526.36277098986989</v>
      </c>
      <c r="U31" s="18" t="str" cm="1">
        <f t="array" ref="U31">_xlfn.XLOOKUP(0,ABS($C$45:$C$57-T31),$B$45:$B$57,,1)</f>
        <v>c oct.</v>
      </c>
      <c r="V31" s="47">
        <f t="shared" si="21"/>
        <v>41.058858405495961</v>
      </c>
      <c r="X31" s="85" t="s">
        <v>76</v>
      </c>
      <c r="Y31" s="4">
        <f t="shared" si="22"/>
        <v>76.864836726555296</v>
      </c>
      <c r="Z31" s="47">
        <f t="shared" si="23"/>
        <v>1229.8373876248847</v>
      </c>
    </row>
    <row r="32" spans="2:26" x14ac:dyDescent="0.2">
      <c r="B32" s="123" t="s">
        <v>4</v>
      </c>
      <c r="C32" s="145" t="s">
        <v>72</v>
      </c>
      <c r="D32" s="97">
        <v>1</v>
      </c>
      <c r="E32" s="4">
        <f t="shared" si="16"/>
        <v>386.31371386483482</v>
      </c>
      <c r="F32" s="4">
        <f t="shared" si="17"/>
        <v>411.2209148358358</v>
      </c>
      <c r="G32" s="47">
        <f t="shared" si="18"/>
        <v>0</v>
      </c>
      <c r="I32" s="123" t="s">
        <v>4</v>
      </c>
      <c r="J32" s="145" t="s">
        <v>8</v>
      </c>
      <c r="K32" s="97">
        <v>1</v>
      </c>
      <c r="L32" s="191">
        <f t="shared" si="19"/>
        <v>1.4953487812212205</v>
      </c>
      <c r="M32" s="145" t="s">
        <v>4</v>
      </c>
      <c r="N32" s="145" t="s">
        <v>72</v>
      </c>
      <c r="O32" s="191">
        <f t="shared" si="20"/>
        <v>1.25</v>
      </c>
      <c r="Q32" s="99">
        <v>5</v>
      </c>
      <c r="R32" s="18">
        <f t="shared" si="24"/>
        <v>1315.9069274746748</v>
      </c>
      <c r="S32" s="97">
        <v>2</v>
      </c>
      <c r="T32" s="4">
        <f t="shared" si="25"/>
        <v>328.97673186866871</v>
      </c>
      <c r="U32" s="18" t="str" cm="1">
        <f t="array" ref="U32">_xlfn.XLOOKUP(0,ABS($C$45:$C$57-T32),$B$45:$B$57,,1)</f>
        <v>E</v>
      </c>
      <c r="V32" s="47">
        <f t="shared" si="21"/>
        <v>3.8441118045779013E-13</v>
      </c>
      <c r="X32" s="85" t="s">
        <v>4</v>
      </c>
      <c r="Y32" s="4">
        <f t="shared" si="22"/>
        <v>82.244182967167163</v>
      </c>
      <c r="Z32" s="47">
        <f t="shared" si="23"/>
        <v>1315.9069274746746</v>
      </c>
    </row>
    <row r="33" spans="2:26" x14ac:dyDescent="0.2">
      <c r="B33" s="123" t="s">
        <v>5</v>
      </c>
      <c r="C33" s="145" t="s">
        <v>7</v>
      </c>
      <c r="D33" s="97">
        <v>1</v>
      </c>
      <c r="E33" s="4">
        <f t="shared" si="16"/>
        <v>427.37257227033103</v>
      </c>
      <c r="F33" s="4">
        <f t="shared" si="17"/>
        <v>429.68750000000006</v>
      </c>
      <c r="G33" s="47">
        <f t="shared" si="18"/>
        <v>-7.6366233646862733</v>
      </c>
      <c r="I33" s="123" t="s">
        <v>5</v>
      </c>
      <c r="J33" s="145" t="s">
        <v>78</v>
      </c>
      <c r="K33" s="97">
        <v>1</v>
      </c>
      <c r="L33" s="191">
        <f t="shared" si="19"/>
        <v>1.4953487812212205</v>
      </c>
      <c r="M33" s="145" t="s">
        <v>5</v>
      </c>
      <c r="N33" s="145" t="s">
        <v>7</v>
      </c>
      <c r="O33" s="191">
        <f t="shared" si="20"/>
        <v>1.2800000000000005</v>
      </c>
      <c r="Q33" s="99">
        <v>6</v>
      </c>
      <c r="R33" s="18">
        <f t="shared" si="24"/>
        <v>1579.0883129696097</v>
      </c>
      <c r="S33" s="97">
        <v>2</v>
      </c>
      <c r="T33" s="4">
        <f t="shared" si="25"/>
        <v>394.77207824240242</v>
      </c>
      <c r="U33" s="18" t="str" cm="1">
        <f t="array" ref="U33">_xlfn.XLOOKUP(0,ABS($C$45:$C$57-T33),$B$45:$B$57,,1)</f>
        <v>G</v>
      </c>
      <c r="V33" s="47">
        <f t="shared" si="21"/>
        <v>5.3765723991786674</v>
      </c>
      <c r="X33" s="85" t="s">
        <v>5</v>
      </c>
      <c r="Y33" s="4">
        <f t="shared" si="22"/>
        <v>85.937500000000014</v>
      </c>
      <c r="Z33" s="47">
        <f t="shared" si="23"/>
        <v>1375.0000000000002</v>
      </c>
    </row>
    <row r="34" spans="2:26" x14ac:dyDescent="0.2">
      <c r="B34" s="123" t="s">
        <v>70</v>
      </c>
      <c r="C34" s="145" t="s">
        <v>73</v>
      </c>
      <c r="D34" s="97">
        <v>1</v>
      </c>
      <c r="E34" s="4">
        <f t="shared" si="16"/>
        <v>386.31371386483448</v>
      </c>
      <c r="F34" s="4">
        <f t="shared" si="17"/>
        <v>459.75895967129031</v>
      </c>
      <c r="G34" s="47">
        <f t="shared" si="18"/>
        <v>3.5748721668520833E-14</v>
      </c>
      <c r="I34" s="123" t="s">
        <v>70</v>
      </c>
      <c r="J34" s="145" t="s">
        <v>74</v>
      </c>
      <c r="K34" s="97">
        <v>2</v>
      </c>
      <c r="L34" s="191">
        <f t="shared" si="19"/>
        <v>1.4953487812212205</v>
      </c>
      <c r="M34" s="145" t="s">
        <v>70</v>
      </c>
      <c r="N34" s="145" t="s">
        <v>73</v>
      </c>
      <c r="O34" s="191">
        <f t="shared" si="20"/>
        <v>1.2499999999999998</v>
      </c>
      <c r="Q34" s="99">
        <v>7</v>
      </c>
      <c r="R34" s="18">
        <f t="shared" si="24"/>
        <v>1842.2696984645445</v>
      </c>
      <c r="S34" s="97">
        <v>2</v>
      </c>
      <c r="T34" s="4">
        <f t="shared" si="25"/>
        <v>460.56742461613612</v>
      </c>
      <c r="U34" s="18" t="str" cm="1">
        <f t="array" ref="U34">_xlfn.XLOOKUP(0,ABS($C$45:$C$57-T34),$B$45:$B$57,,1)</f>
        <v>A#</v>
      </c>
      <c r="V34" s="47">
        <f t="shared" si="21"/>
        <v>3.0416218070383163</v>
      </c>
      <c r="X34" s="85" t="s">
        <v>70</v>
      </c>
      <c r="Y34" s="4">
        <f t="shared" si="22"/>
        <v>91.951791934258068</v>
      </c>
      <c r="Z34" s="47">
        <f t="shared" si="23"/>
        <v>1471.2286709481291</v>
      </c>
    </row>
    <row r="35" spans="2:26" x14ac:dyDescent="0.2">
      <c r="B35" s="123" t="s">
        <v>6</v>
      </c>
      <c r="C35" s="145" t="s">
        <v>8</v>
      </c>
      <c r="D35" s="97">
        <v>1</v>
      </c>
      <c r="E35" s="4">
        <f t="shared" si="16"/>
        <v>386.31371386483482</v>
      </c>
      <c r="F35" s="4">
        <f t="shared" si="17"/>
        <v>491.93495504995394</v>
      </c>
      <c r="G35" s="47">
        <f t="shared" si="18"/>
        <v>0</v>
      </c>
      <c r="I35" s="123" t="s">
        <v>6</v>
      </c>
      <c r="J35" s="145" t="s">
        <v>3</v>
      </c>
      <c r="K35" s="97">
        <v>2</v>
      </c>
      <c r="L35" s="191">
        <f t="shared" si="19"/>
        <v>1.4953487812212207</v>
      </c>
      <c r="M35" s="145" t="s">
        <v>6</v>
      </c>
      <c r="N35" s="145" t="s">
        <v>8</v>
      </c>
      <c r="O35" s="191">
        <f t="shared" si="20"/>
        <v>1.25</v>
      </c>
      <c r="Q35" s="99">
        <v>8</v>
      </c>
      <c r="R35" s="18">
        <f t="shared" si="24"/>
        <v>2105.4510839594795</v>
      </c>
      <c r="S35" s="97">
        <v>3</v>
      </c>
      <c r="T35" s="4">
        <f t="shared" si="25"/>
        <v>263.18138549493494</v>
      </c>
      <c r="U35" s="18" t="str" cm="1">
        <f t="array" ref="U35">_xlfn.XLOOKUP(0,ABS($C$45:$C$57-T35),$B$45:$B$57,,1)</f>
        <v>C</v>
      </c>
      <c r="V35" s="47">
        <f t="shared" si="21"/>
        <v>0</v>
      </c>
      <c r="X35" s="85" t="s">
        <v>6</v>
      </c>
      <c r="Y35" s="4">
        <f t="shared" si="22"/>
        <v>98.386991009990794</v>
      </c>
      <c r="Z35" s="47">
        <f t="shared" si="23"/>
        <v>1574.1918561598527</v>
      </c>
    </row>
    <row r="36" spans="2:26" x14ac:dyDescent="0.2">
      <c r="B36" s="123" t="s">
        <v>72</v>
      </c>
      <c r="C36" s="145" t="s">
        <v>78</v>
      </c>
      <c r="D36" s="97">
        <v>1</v>
      </c>
      <c r="E36" s="4">
        <f t="shared" si="16"/>
        <v>386.31371386483448</v>
      </c>
      <c r="F36" s="4">
        <f t="shared" si="17"/>
        <v>514.02614354479476</v>
      </c>
      <c r="G36" s="47">
        <f t="shared" si="18"/>
        <v>7.1497443337041678E-14</v>
      </c>
      <c r="I36" s="123" t="s">
        <v>72</v>
      </c>
      <c r="J36" s="145" t="s">
        <v>76</v>
      </c>
      <c r="K36" s="97">
        <v>2</v>
      </c>
      <c r="L36" s="191">
        <f t="shared" si="19"/>
        <v>1.4953487812212205</v>
      </c>
      <c r="M36" s="145" t="s">
        <v>72</v>
      </c>
      <c r="N36" s="145" t="s">
        <v>78</v>
      </c>
      <c r="O36" s="191">
        <f t="shared" si="20"/>
        <v>1.2499999999999998</v>
      </c>
      <c r="Q36" s="99">
        <v>9</v>
      </c>
      <c r="R36" s="18">
        <f t="shared" si="24"/>
        <v>2368.6324694544146</v>
      </c>
      <c r="S36" s="97">
        <v>3</v>
      </c>
      <c r="T36" s="4">
        <f t="shared" si="25"/>
        <v>296.07905868180183</v>
      </c>
      <c r="U36" s="18" t="str" cm="1">
        <f t="array" ref="U36">_xlfn.XLOOKUP(0,ABS($C$45:$C$57-T36),$B$45:$B$57,,1)</f>
        <v>D</v>
      </c>
      <c r="V36" s="47">
        <f t="shared" si="21"/>
        <v>10.753144798357358</v>
      </c>
      <c r="X36" s="85" t="s">
        <v>72</v>
      </c>
      <c r="Y36" s="4">
        <f t="shared" si="22"/>
        <v>102.80522870895895</v>
      </c>
      <c r="Z36" s="47">
        <f t="shared" si="23"/>
        <v>1644.8836593433432</v>
      </c>
    </row>
    <row r="37" spans="2:26" x14ac:dyDescent="0.2">
      <c r="B37" s="123" t="s">
        <v>7</v>
      </c>
      <c r="C37" s="145" t="s">
        <v>74</v>
      </c>
      <c r="D37" s="97">
        <v>2</v>
      </c>
      <c r="E37" s="4">
        <f t="shared" si="16"/>
        <v>386.31371386483448</v>
      </c>
      <c r="F37" s="4">
        <f t="shared" si="17"/>
        <v>550.00000000000023</v>
      </c>
      <c r="G37" s="47">
        <f t="shared" si="18"/>
        <v>0</v>
      </c>
      <c r="I37" s="123" t="s">
        <v>7</v>
      </c>
      <c r="J37" s="145" t="s">
        <v>4</v>
      </c>
      <c r="K37" s="97">
        <v>2</v>
      </c>
      <c r="L37" s="191">
        <f t="shared" si="19"/>
        <v>1.4953487812212203</v>
      </c>
      <c r="M37" s="145" t="s">
        <v>7</v>
      </c>
      <c r="N37" s="145" t="s">
        <v>74</v>
      </c>
      <c r="O37" s="191">
        <f t="shared" si="20"/>
        <v>1.2499999999999998</v>
      </c>
      <c r="Q37" s="99">
        <v>10</v>
      </c>
      <c r="R37" s="18">
        <f t="shared" si="24"/>
        <v>2631.8138549493497</v>
      </c>
      <c r="S37" s="97">
        <v>3</v>
      </c>
      <c r="T37" s="4">
        <f t="shared" si="25"/>
        <v>328.97673186866871</v>
      </c>
      <c r="U37" s="18" t="str" cm="1">
        <f t="array" ref="U37">_xlfn.XLOOKUP(0,ABS($C$45:$C$57-T37),$B$45:$B$57,,1)</f>
        <v>E</v>
      </c>
      <c r="V37" s="47">
        <f t="shared" si="21"/>
        <v>3.8441118045779013E-13</v>
      </c>
      <c r="X37" s="85" t="s">
        <v>7</v>
      </c>
      <c r="Y37" s="4">
        <f t="shared" si="22"/>
        <v>110.00000000000006</v>
      </c>
      <c r="Z37" s="47">
        <f t="shared" si="23"/>
        <v>1760.0000000000009</v>
      </c>
    </row>
    <row r="38" spans="2:26" x14ac:dyDescent="0.2">
      <c r="B38" s="123" t="s">
        <v>73</v>
      </c>
      <c r="C38" s="145" t="s">
        <v>3</v>
      </c>
      <c r="D38" s="97">
        <v>2</v>
      </c>
      <c r="E38" s="4">
        <f t="shared" si="16"/>
        <v>427.37257227033103</v>
      </c>
      <c r="F38" s="4">
        <f t="shared" si="17"/>
        <v>574.69869958911283</v>
      </c>
      <c r="G38" s="47">
        <f t="shared" si="18"/>
        <v>-7.6366233646862023</v>
      </c>
      <c r="I38" s="123" t="s">
        <v>73</v>
      </c>
      <c r="J38" s="145" t="s">
        <v>5</v>
      </c>
      <c r="K38" s="97">
        <v>2</v>
      </c>
      <c r="L38" s="191">
        <f t="shared" si="19"/>
        <v>1.4953487812212205</v>
      </c>
      <c r="M38" s="145" t="s">
        <v>73</v>
      </c>
      <c r="N38" s="145" t="s">
        <v>3</v>
      </c>
      <c r="O38" s="191">
        <f t="shared" si="20"/>
        <v>1.2800000000000005</v>
      </c>
      <c r="Q38" s="99">
        <v>11</v>
      </c>
      <c r="R38" s="18">
        <f t="shared" si="24"/>
        <v>2894.9952404442843</v>
      </c>
      <c r="S38" s="97">
        <v>3</v>
      </c>
      <c r="T38" s="4">
        <f t="shared" si="25"/>
        <v>361.87440505553553</v>
      </c>
      <c r="U38" s="18" t="str" cm="1">
        <f t="array" ref="U38">_xlfn.XLOOKUP(0,ABS($C$45:$C$57-T38),$B$45:$B$57,,1)</f>
        <v>F#</v>
      </c>
      <c r="V38" s="47">
        <f t="shared" si="21"/>
        <v>-28.152628432495586</v>
      </c>
      <c r="X38" s="85" t="s">
        <v>73</v>
      </c>
      <c r="Y38" s="4">
        <f t="shared" si="22"/>
        <v>114.93973991782256</v>
      </c>
      <c r="Z38" s="47">
        <f t="shared" si="23"/>
        <v>1839.035838685161</v>
      </c>
    </row>
    <row r="39" spans="2:26" x14ac:dyDescent="0.2">
      <c r="B39" s="124" t="s">
        <v>8</v>
      </c>
      <c r="C39" s="153" t="s">
        <v>76</v>
      </c>
      <c r="D39" s="98">
        <v>2</v>
      </c>
      <c r="E39" s="53">
        <f t="shared" si="16"/>
        <v>386.31371386483448</v>
      </c>
      <c r="F39" s="53">
        <f t="shared" si="17"/>
        <v>614.91869381244237</v>
      </c>
      <c r="G39" s="48">
        <f t="shared" si="18"/>
        <v>0</v>
      </c>
      <c r="I39" s="124" t="s">
        <v>8</v>
      </c>
      <c r="J39" s="153" t="s">
        <v>70</v>
      </c>
      <c r="K39" s="98">
        <v>2</v>
      </c>
      <c r="L39" s="192">
        <f t="shared" si="19"/>
        <v>1.4953487812212205</v>
      </c>
      <c r="M39" s="153" t="s">
        <v>8</v>
      </c>
      <c r="N39" s="153" t="s">
        <v>76</v>
      </c>
      <c r="O39" s="192">
        <f t="shared" si="20"/>
        <v>1.2499999999999998</v>
      </c>
      <c r="Q39" s="99">
        <v>12</v>
      </c>
      <c r="R39" s="18">
        <f t="shared" si="24"/>
        <v>3158.1766259392193</v>
      </c>
      <c r="S39" s="97">
        <v>3</v>
      </c>
      <c r="T39" s="4">
        <f t="shared" si="25"/>
        <v>394.77207824240242</v>
      </c>
      <c r="U39" s="18" t="str" cm="1">
        <f t="array" ref="U39">_xlfn.XLOOKUP(0,ABS($C$45:$C$57-T39),$B$45:$B$57,,1)</f>
        <v>G</v>
      </c>
      <c r="V39" s="47">
        <f t="shared" si="21"/>
        <v>5.3765723991786674</v>
      </c>
      <c r="X39" s="85" t="s">
        <v>8</v>
      </c>
      <c r="Y39" s="4">
        <f t="shared" si="22"/>
        <v>122.98373876248849</v>
      </c>
      <c r="Z39" s="47">
        <f t="shared" si="23"/>
        <v>1967.7398201998158</v>
      </c>
    </row>
    <row r="40" spans="2:26" x14ac:dyDescent="0.2">
      <c r="Q40" s="100">
        <v>13</v>
      </c>
      <c r="R40" s="50">
        <f t="shared" si="24"/>
        <v>3421.3580114341544</v>
      </c>
      <c r="S40" s="98">
        <v>3</v>
      </c>
      <c r="T40" s="53">
        <f t="shared" si="25"/>
        <v>427.6697514292693</v>
      </c>
      <c r="U40" s="50" t="str" cm="1">
        <f t="array" ref="U40">_xlfn.XLOOKUP(0,ABS($C$45:$C$57-T40),$B$45:$B$57,,1)</f>
        <v>A</v>
      </c>
      <c r="V40" s="48">
        <f t="shared" si="21"/>
        <v>-49.207623629315606</v>
      </c>
      <c r="X40" s="87" t="s">
        <v>78</v>
      </c>
      <c r="Y40" s="53">
        <f t="shared" si="22"/>
        <v>128.50653588619866</v>
      </c>
      <c r="Z40" s="48">
        <f t="shared" si="23"/>
        <v>2056.1045741791786</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263.18138549493494</v>
      </c>
    </row>
    <row r="46" spans="2:26" x14ac:dyDescent="0.2">
      <c r="B46" s="92" t="s">
        <v>74</v>
      </c>
      <c r="C46" s="93">
        <f t="shared" ref="C46:C57" si="26">VLOOKUP(B46,$B$10:$H$22,7,FALSE)</f>
        <v>275.00000000000011</v>
      </c>
    </row>
    <row r="47" spans="2:26" x14ac:dyDescent="0.2">
      <c r="B47" s="92" t="s">
        <v>3</v>
      </c>
      <c r="C47" s="93">
        <f t="shared" si="26"/>
        <v>294.24573418962586</v>
      </c>
    </row>
    <row r="48" spans="2:26" x14ac:dyDescent="0.2">
      <c r="B48" s="92" t="s">
        <v>76</v>
      </c>
      <c r="C48" s="93">
        <f t="shared" si="26"/>
        <v>307.45934690622119</v>
      </c>
    </row>
    <row r="49" spans="2:3" x14ac:dyDescent="0.2">
      <c r="B49" s="92" t="s">
        <v>4</v>
      </c>
      <c r="C49" s="93">
        <f t="shared" si="26"/>
        <v>328.97673186866865</v>
      </c>
    </row>
    <row r="50" spans="2:3" x14ac:dyDescent="0.2">
      <c r="B50" s="92" t="s">
        <v>5</v>
      </c>
      <c r="C50" s="93">
        <f t="shared" si="26"/>
        <v>343.75000000000006</v>
      </c>
    </row>
    <row r="51" spans="2:3" x14ac:dyDescent="0.2">
      <c r="B51" s="92" t="s">
        <v>70</v>
      </c>
      <c r="C51" s="93">
        <f t="shared" si="26"/>
        <v>367.80716773703227</v>
      </c>
    </row>
    <row r="52" spans="2:3" x14ac:dyDescent="0.2">
      <c r="B52" s="92" t="s">
        <v>6</v>
      </c>
      <c r="C52" s="93">
        <f t="shared" si="26"/>
        <v>393.54796403996318</v>
      </c>
    </row>
    <row r="53" spans="2:3" x14ac:dyDescent="0.2">
      <c r="B53" s="92" t="s">
        <v>72</v>
      </c>
      <c r="C53" s="93">
        <f t="shared" si="26"/>
        <v>411.2209148358358</v>
      </c>
    </row>
    <row r="54" spans="2:3" x14ac:dyDescent="0.2">
      <c r="B54" s="92" t="s">
        <v>7</v>
      </c>
      <c r="C54" s="93">
        <f t="shared" si="26"/>
        <v>440.00000000000023</v>
      </c>
    </row>
    <row r="55" spans="2:3" x14ac:dyDescent="0.2">
      <c r="B55" s="92" t="s">
        <v>73</v>
      </c>
      <c r="C55" s="93">
        <f t="shared" si="26"/>
        <v>459.75895967129026</v>
      </c>
    </row>
    <row r="56" spans="2:3" x14ac:dyDescent="0.2">
      <c r="B56" s="92" t="s">
        <v>8</v>
      </c>
      <c r="C56" s="93">
        <f t="shared" si="26"/>
        <v>491.93495504995394</v>
      </c>
    </row>
    <row r="57" spans="2:3" ht="16" thickBot="1" x14ac:dyDescent="0.25">
      <c r="B57" s="94" t="s">
        <v>78</v>
      </c>
      <c r="C57" s="95">
        <f t="shared" si="26"/>
        <v>514.02614354479465</v>
      </c>
    </row>
    <row r="58" spans="2:3" ht="16" thickTop="1" x14ac:dyDescent="0.2"/>
  </sheetData>
  <sheetProtection sheet="1" scenarios="1" formatCells="0"/>
  <mergeCells count="9">
    <mergeCell ref="X25:Z25"/>
    <mergeCell ref="B1:G1"/>
    <mergeCell ref="B43:C43"/>
    <mergeCell ref="B8:H8"/>
    <mergeCell ref="J8:N8"/>
    <mergeCell ref="P8:U8"/>
    <mergeCell ref="B26:D26"/>
    <mergeCell ref="I26:O26"/>
    <mergeCell ref="Q26:V26"/>
  </mergeCells>
  <conditionalFormatting sqref="A1:XFD1048576">
    <cfRule type="expression" dxfId="45" priority="1">
      <formula>CELL("protect",A1)=0</formula>
    </cfRule>
    <cfRule type="expression" dxfId="44" priority="2">
      <formula>_xlfn.ISFORMULA(A1)</formula>
    </cfRule>
  </conditionalFormatting>
  <hyperlinks>
    <hyperlink ref="B41" location="Overview!A1" display="Back to Overview" xr:uid="{CF8F553A-137D-8F4F-AE86-A9CC0495A35D}"/>
    <hyperlink ref="B5" location="Overview!A1" display="Back to Overview" xr:uid="{BBCCAAB9-C217-FC46-862C-7C33CB6EBC47}"/>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9380F2DF-966F-2E43-8A77-4F0742BB12AB}">
          <x14:formula1>
            <xm:f>'Commas &amp; Cents'!$AD$1:$AD$3</xm:f>
          </x14:formula1>
          <xm:sqref>D2</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C8C9-4DBF-464B-9F68-5EA038D67D9E}">
  <sheetPr codeName="Sheet17">
    <tabColor theme="5" tint="0.59999389629810485"/>
  </sheetPr>
  <dimension ref="B1:Z58"/>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151</v>
      </c>
      <c r="C1" s="289"/>
      <c r="D1" s="289"/>
      <c r="E1" s="289"/>
      <c r="F1" s="289"/>
      <c r="G1" s="289"/>
      <c r="H1" s="289"/>
    </row>
    <row r="2" spans="2:23" s="70" customFormat="1" ht="32" x14ac:dyDescent="0.2">
      <c r="D2" s="154" t="s">
        <v>48</v>
      </c>
      <c r="E2" s="72" t="str">
        <f>D2</f>
        <v>Syntonic Comma</v>
      </c>
      <c r="F2" s="72" t="str">
        <f>_xlfn.CONCAT("1/",D3," ",D2)</f>
        <v>1/4 Syntonic Comma</v>
      </c>
      <c r="G2" s="102"/>
      <c r="H2" s="103" t="s">
        <v>143</v>
      </c>
      <c r="I2" s="161">
        <v>440</v>
      </c>
      <c r="J2" s="103" t="str">
        <f>_xlfn.CONCAT("C for A=", I2,":")</f>
        <v>C for A=440:</v>
      </c>
      <c r="K2" s="70">
        <f>I2*2*8/27*POWER($F$3,$D$13-$D$10)</f>
        <v>263.18138549493494</v>
      </c>
      <c r="L2" s="103"/>
      <c r="U2" s="103"/>
      <c r="V2" s="103"/>
      <c r="W2" s="103"/>
    </row>
    <row r="3" spans="2:23" ht="16" x14ac:dyDescent="0.2">
      <c r="B3" s="105"/>
      <c r="C3" s="74" t="s">
        <v>125</v>
      </c>
      <c r="D3" s="155">
        <v>4</v>
      </c>
      <c r="E3" s="1">
        <f>IF(D2="Pythagorean Comma",524288/531441,IF(D2="Syntonic Comma",80/81,IF(D2="Cents",1/POWER(2,1/1200),"Not in List")))</f>
        <v>0.98765432098765427</v>
      </c>
      <c r="F3" s="132">
        <f>POWER(E3,1/D3)</f>
        <v>0.99689918748081363</v>
      </c>
      <c r="U3" s="74"/>
      <c r="V3" s="74"/>
      <c r="W3" s="74"/>
    </row>
    <row r="4" spans="2:23" ht="16" x14ac:dyDescent="0.2">
      <c r="B4" s="105"/>
      <c r="C4" s="79"/>
      <c r="D4" s="79"/>
      <c r="U4" s="74"/>
      <c r="V4" s="74"/>
      <c r="W4" s="74"/>
    </row>
    <row r="5" spans="2:23" ht="16" x14ac:dyDescent="0.2">
      <c r="B5" s="105" t="s">
        <v>63</v>
      </c>
    </row>
    <row r="6" spans="2:23" x14ac:dyDescent="0.2">
      <c r="B6" s="106"/>
      <c r="D6" s="74"/>
      <c r="F6" s="78"/>
    </row>
    <row r="8" spans="2:23" ht="18" x14ac:dyDescent="0.2">
      <c r="B8" s="310" t="s">
        <v>141</v>
      </c>
      <c r="C8" s="311"/>
      <c r="D8" s="311"/>
      <c r="E8" s="311"/>
      <c r="F8" s="311"/>
      <c r="G8" s="311"/>
      <c r="H8" s="312"/>
      <c r="J8" s="310" t="s">
        <v>142</v>
      </c>
      <c r="K8" s="311"/>
      <c r="L8" s="311"/>
      <c r="M8" s="311"/>
      <c r="N8" s="312"/>
      <c r="P8" s="310" t="s">
        <v>129</v>
      </c>
      <c r="Q8" s="311"/>
      <c r="R8" s="311"/>
      <c r="S8" s="311"/>
      <c r="T8" s="311"/>
      <c r="U8" s="312"/>
    </row>
    <row r="9" spans="2:23" s="84" customFormat="1" ht="48" x14ac:dyDescent="0.2">
      <c r="B9" s="83" t="s">
        <v>0</v>
      </c>
      <c r="C9" s="84" t="str">
        <f>_xlfn.CONCAT("Relative ",C4)</f>
        <v xml:space="preserve">Relative </v>
      </c>
      <c r="D9" s="84" t="str">
        <f>_xlfn.CONCAT("Cumulative ",C4)</f>
        <v xml:space="preserve">Cumulative </v>
      </c>
      <c r="E9" s="84" t="s">
        <v>11</v>
      </c>
      <c r="F9" s="84" t="s">
        <v>17</v>
      </c>
      <c r="G9" s="84" t="s">
        <v>12</v>
      </c>
      <c r="H9" s="147" t="s">
        <v>13</v>
      </c>
      <c r="J9" s="83" t="s">
        <v>14</v>
      </c>
      <c r="K9" s="84" t="s">
        <v>15</v>
      </c>
      <c r="L9" s="84" t="s">
        <v>29</v>
      </c>
      <c r="M9" s="84" t="s">
        <v>36</v>
      </c>
      <c r="N9" s="52" t="s">
        <v>50</v>
      </c>
      <c r="P9" s="149" t="s">
        <v>89</v>
      </c>
      <c r="Q9" s="84" t="s">
        <v>136</v>
      </c>
      <c r="R9" s="84" t="s">
        <v>90</v>
      </c>
      <c r="S9" s="152" t="s">
        <v>88</v>
      </c>
      <c r="T9" s="84" t="s">
        <v>32</v>
      </c>
      <c r="U9" s="52" t="s">
        <v>91</v>
      </c>
    </row>
    <row r="10" spans="2:23" x14ac:dyDescent="0.2">
      <c r="B10" s="123" t="s">
        <v>2</v>
      </c>
      <c r="C10" s="156">
        <v>0</v>
      </c>
      <c r="D10" s="4">
        <f>C10</f>
        <v>0</v>
      </c>
      <c r="E10" s="109">
        <f>K2</f>
        <v>263.18138549493494</v>
      </c>
      <c r="G10" s="97">
        <v>0</v>
      </c>
      <c r="H10" s="148">
        <f t="shared" ref="H10:H22" si="0">E10/POWER(2,G10)</f>
        <v>263.18138549493494</v>
      </c>
      <c r="J10" s="85" t="s">
        <v>2</v>
      </c>
      <c r="K10" s="4">
        <f t="shared" ref="K10:K22" si="1">VLOOKUP(J10,Master_Frequencies,2,FALSE)</f>
        <v>263.18138549493494</v>
      </c>
      <c r="L10" s="4">
        <f t="shared" ref="L10:L22" si="2">LOG(K10/K$10,2)*1200</f>
        <v>0</v>
      </c>
      <c r="N10" s="158">
        <v>3600</v>
      </c>
      <c r="P10" s="123" t="str">
        <f>J10</f>
        <v>C</v>
      </c>
      <c r="Q10" s="4">
        <f>E10</f>
        <v>263.18138549493494</v>
      </c>
      <c r="R10" s="4">
        <f>LOG(K10/Q10,2)*1200</f>
        <v>0</v>
      </c>
      <c r="S10" s="145" t="str">
        <f t="shared" ref="S10:S23" si="3">B10</f>
        <v>C</v>
      </c>
      <c r="T10" s="4">
        <f t="shared" ref="T10:T22" si="4">VLOOKUP(S10,Master_Frequencies,2,FALSE)</f>
        <v>263.18138549493494</v>
      </c>
      <c r="U10" s="47">
        <f t="shared" ref="U10:U23" si="5">VLOOKUP(S10,$P$10:$R$22,3,FALSE)</f>
        <v>0</v>
      </c>
    </row>
    <row r="11" spans="2:23" x14ac:dyDescent="0.2">
      <c r="B11" s="123" t="s">
        <v>6</v>
      </c>
      <c r="C11" s="156">
        <v>-1</v>
      </c>
      <c r="D11" s="4">
        <f>D10+C11</f>
        <v>-1</v>
      </c>
      <c r="E11" s="4">
        <f t="shared" ref="E11:E22" si="6">IF(C11&lt;0,(E10*3/2)*POWER($F$3,ABS(C11)),(E10*3/2)*POWER(1/$F$3,ABS(C11)))</f>
        <v>393.54796403996318</v>
      </c>
      <c r="F11" s="4">
        <f t="shared" ref="F11:F22" si="7">LOG(E11/E10,2)*1200</f>
        <v>696.57842846620861</v>
      </c>
      <c r="G11" s="97">
        <v>0</v>
      </c>
      <c r="H11" s="148">
        <f t="shared" si="0"/>
        <v>393.54796403996318</v>
      </c>
      <c r="J11" s="85" t="s">
        <v>74</v>
      </c>
      <c r="K11" s="4">
        <f t="shared" si="1"/>
        <v>274.14727655722385</v>
      </c>
      <c r="L11" s="4">
        <f t="shared" si="2"/>
        <v>70.672426864281974</v>
      </c>
      <c r="M11" s="4">
        <f t="shared" ref="M11:M22" si="8">LOG(K11/K10,2)*1200</f>
        <v>70.672426864281974</v>
      </c>
      <c r="N11" s="47">
        <f t="shared" ref="N11:N22" si="9">N$10*K$10/K11</f>
        <v>3456.0000000000005</v>
      </c>
      <c r="P11" s="123" t="str">
        <f t="shared" ref="P11:P22" si="10">J11</f>
        <v>C#</v>
      </c>
      <c r="Q11" s="4">
        <f t="shared" ref="Q11:Q22" si="11">Q10*POWER($Q$10*2/$Q$10,1/12)</f>
        <v>278.83096505423032</v>
      </c>
      <c r="R11" s="4">
        <f t="shared" ref="R11:R22" si="12">LOG(K11/Q11,2)*1200</f>
        <v>-29.327573135718019</v>
      </c>
      <c r="S11" s="145" t="str">
        <f t="shared" si="3"/>
        <v>G</v>
      </c>
      <c r="T11" s="4">
        <f t="shared" si="4"/>
        <v>393.54796403996318</v>
      </c>
      <c r="U11" s="47">
        <f t="shared" si="5"/>
        <v>-3.4215715337915875</v>
      </c>
    </row>
    <row r="12" spans="2:23" x14ac:dyDescent="0.2">
      <c r="B12" s="123" t="s">
        <v>3</v>
      </c>
      <c r="C12" s="156">
        <v>-1</v>
      </c>
      <c r="D12" s="4">
        <f t="shared" ref="D12:D22" si="13">D11+C12</f>
        <v>-2</v>
      </c>
      <c r="E12" s="4">
        <f t="shared" si="6"/>
        <v>588.49146837925173</v>
      </c>
      <c r="F12" s="4">
        <f t="shared" si="7"/>
        <v>696.57842846620895</v>
      </c>
      <c r="G12" s="97">
        <v>1</v>
      </c>
      <c r="H12" s="148">
        <f t="shared" si="0"/>
        <v>294.24573418962586</v>
      </c>
      <c r="J12" s="85" t="s">
        <v>3</v>
      </c>
      <c r="K12" s="4">
        <f t="shared" si="1"/>
        <v>294.24573418962586</v>
      </c>
      <c r="L12" s="4">
        <f t="shared" si="2"/>
        <v>193.1568569324175</v>
      </c>
      <c r="M12" s="4">
        <f t="shared" si="8"/>
        <v>122.48443006813567</v>
      </c>
      <c r="N12" s="47">
        <f t="shared" si="9"/>
        <v>3219.9378875996968</v>
      </c>
      <c r="P12" s="123" t="str">
        <f t="shared" si="10"/>
        <v>D</v>
      </c>
      <c r="Q12" s="4">
        <f t="shared" si="11"/>
        <v>295.4111170395434</v>
      </c>
      <c r="R12" s="4">
        <f t="shared" si="12"/>
        <v>-6.8431430675824663</v>
      </c>
      <c r="S12" s="145" t="str">
        <f t="shared" si="3"/>
        <v>D</v>
      </c>
      <c r="T12" s="4">
        <f t="shared" si="4"/>
        <v>294.24573418962586</v>
      </c>
      <c r="U12" s="47">
        <f t="shared" si="5"/>
        <v>-6.8431430675824663</v>
      </c>
    </row>
    <row r="13" spans="2:23" x14ac:dyDescent="0.2">
      <c r="B13" s="123" t="s">
        <v>7</v>
      </c>
      <c r="C13" s="156">
        <v>-1</v>
      </c>
      <c r="D13" s="4">
        <f t="shared" si="13"/>
        <v>-3</v>
      </c>
      <c r="E13" s="4">
        <f t="shared" si="6"/>
        <v>880.00000000000045</v>
      </c>
      <c r="F13" s="4">
        <f t="shared" si="7"/>
        <v>696.57842846620861</v>
      </c>
      <c r="G13" s="97">
        <v>1</v>
      </c>
      <c r="H13" s="148">
        <f t="shared" si="0"/>
        <v>440.00000000000023</v>
      </c>
      <c r="J13" s="85" t="s">
        <v>76</v>
      </c>
      <c r="K13" s="4">
        <f t="shared" si="1"/>
        <v>310.01619967056735</v>
      </c>
      <c r="L13" s="4">
        <f t="shared" si="2"/>
        <v>283.54338223524957</v>
      </c>
      <c r="M13" s="4">
        <f t="shared" si="8"/>
        <v>90.386525302831956</v>
      </c>
      <c r="N13" s="47">
        <f t="shared" si="9"/>
        <v>3056.1402558593977</v>
      </c>
      <c r="P13" s="123" t="str">
        <f t="shared" si="10"/>
        <v>D#</v>
      </c>
      <c r="Q13" s="4">
        <f t="shared" si="11"/>
        <v>312.9771761668506</v>
      </c>
      <c r="R13" s="4">
        <f t="shared" si="12"/>
        <v>-16.456617764750433</v>
      </c>
      <c r="S13" s="145" t="str">
        <f t="shared" si="3"/>
        <v>A</v>
      </c>
      <c r="T13" s="4">
        <f t="shared" si="4"/>
        <v>440.00000000000023</v>
      </c>
      <c r="U13" s="47">
        <f t="shared" si="5"/>
        <v>-10.264714601374356</v>
      </c>
    </row>
    <row r="14" spans="2:23" x14ac:dyDescent="0.2">
      <c r="B14" s="123" t="s">
        <v>4</v>
      </c>
      <c r="C14" s="156">
        <v>-1</v>
      </c>
      <c r="D14" s="4">
        <f t="shared" si="13"/>
        <v>-4</v>
      </c>
      <c r="E14" s="4">
        <f t="shared" si="6"/>
        <v>1315.9069274746746</v>
      </c>
      <c r="F14" s="4">
        <f t="shared" si="7"/>
        <v>696.57842846620838</v>
      </c>
      <c r="G14" s="97">
        <v>2</v>
      </c>
      <c r="H14" s="148">
        <f t="shared" si="0"/>
        <v>328.97673186866865</v>
      </c>
      <c r="J14" s="85" t="s">
        <v>4</v>
      </c>
      <c r="K14" s="4">
        <f t="shared" si="1"/>
        <v>328.97673186866865</v>
      </c>
      <c r="L14" s="4">
        <f t="shared" si="2"/>
        <v>386.31371386483482</v>
      </c>
      <c r="M14" s="4">
        <f t="shared" si="8"/>
        <v>102.77033162958514</v>
      </c>
      <c r="N14" s="47">
        <f t="shared" si="9"/>
        <v>2880</v>
      </c>
      <c r="P14" s="123" t="str">
        <f t="shared" si="10"/>
        <v>E</v>
      </c>
      <c r="Q14" s="4">
        <f t="shared" si="11"/>
        <v>331.58776752556582</v>
      </c>
      <c r="R14" s="4">
        <f t="shared" si="12"/>
        <v>-13.686286135165501</v>
      </c>
      <c r="S14" s="145" t="str">
        <f t="shared" si="3"/>
        <v>E</v>
      </c>
      <c r="T14" s="4">
        <f t="shared" si="4"/>
        <v>328.97673186866865</v>
      </c>
      <c r="U14" s="47">
        <f t="shared" si="5"/>
        <v>-13.686286135165501</v>
      </c>
    </row>
    <row r="15" spans="2:23" x14ac:dyDescent="0.2">
      <c r="B15" s="123" t="s">
        <v>8</v>
      </c>
      <c r="C15" s="156">
        <v>-1</v>
      </c>
      <c r="D15" s="4">
        <f t="shared" si="13"/>
        <v>-5</v>
      </c>
      <c r="E15" s="4">
        <f t="shared" si="6"/>
        <v>1967.7398201998158</v>
      </c>
      <c r="F15" s="4">
        <f t="shared" si="7"/>
        <v>696.57842846620861</v>
      </c>
      <c r="G15" s="97">
        <v>2</v>
      </c>
      <c r="H15" s="148">
        <f t="shared" si="0"/>
        <v>491.93495504995394</v>
      </c>
      <c r="J15" s="85" t="s">
        <v>5</v>
      </c>
      <c r="K15" s="4">
        <f t="shared" si="1"/>
        <v>352.3974607186168</v>
      </c>
      <c r="L15" s="4">
        <f t="shared" si="2"/>
        <v>505.37529124641026</v>
      </c>
      <c r="M15" s="4">
        <f t="shared" si="8"/>
        <v>119.06157738157567</v>
      </c>
      <c r="N15" s="47">
        <f t="shared" si="9"/>
        <v>2688.591983181997</v>
      </c>
      <c r="P15" s="123" t="str">
        <f t="shared" si="10"/>
        <v>F</v>
      </c>
      <c r="Q15" s="4">
        <f t="shared" si="11"/>
        <v>351.30500223432659</v>
      </c>
      <c r="R15" s="4">
        <f t="shared" si="12"/>
        <v>5.3752912464100007</v>
      </c>
      <c r="S15" s="145" t="str">
        <f t="shared" si="3"/>
        <v>B</v>
      </c>
      <c r="T15" s="4">
        <f t="shared" si="4"/>
        <v>491.93495504995394</v>
      </c>
      <c r="U15" s="47">
        <f t="shared" si="5"/>
        <v>-17.107857668956996</v>
      </c>
    </row>
    <row r="16" spans="2:23" x14ac:dyDescent="0.2">
      <c r="B16" s="123" t="s">
        <v>70</v>
      </c>
      <c r="C16" s="156">
        <v>-1</v>
      </c>
      <c r="D16" s="4">
        <f t="shared" si="13"/>
        <v>-6</v>
      </c>
      <c r="E16" s="4">
        <f t="shared" si="6"/>
        <v>2942.4573418962582</v>
      </c>
      <c r="F16" s="4">
        <f t="shared" si="7"/>
        <v>696.57842846620861</v>
      </c>
      <c r="G16" s="97">
        <v>3</v>
      </c>
      <c r="H16" s="148">
        <f t="shared" si="0"/>
        <v>367.80716773703227</v>
      </c>
      <c r="J16" s="85" t="s">
        <v>70</v>
      </c>
      <c r="K16" s="4">
        <f t="shared" si="1"/>
        <v>367.80716773703227</v>
      </c>
      <c r="L16" s="4">
        <f t="shared" si="2"/>
        <v>579.47057079725209</v>
      </c>
      <c r="M16" s="4">
        <f t="shared" si="8"/>
        <v>74.095279550841866</v>
      </c>
      <c r="N16" s="47">
        <f t="shared" si="9"/>
        <v>2575.9503100797579</v>
      </c>
      <c r="P16" s="123" t="str">
        <f t="shared" si="10"/>
        <v>F#</v>
      </c>
      <c r="Q16" s="4">
        <f t="shared" si="11"/>
        <v>372.19468473107878</v>
      </c>
      <c r="R16" s="4">
        <f t="shared" si="12"/>
        <v>-20.529429202748009</v>
      </c>
      <c r="S16" s="145" t="str">
        <f t="shared" si="3"/>
        <v>F#</v>
      </c>
      <c r="T16" s="4">
        <f t="shared" si="4"/>
        <v>367.80716773703227</v>
      </c>
      <c r="U16" s="47">
        <f t="shared" si="5"/>
        <v>-20.529429202748009</v>
      </c>
    </row>
    <row r="17" spans="2:26" x14ac:dyDescent="0.2">
      <c r="B17" s="123" t="s">
        <v>74</v>
      </c>
      <c r="C17" s="156">
        <v>-2</v>
      </c>
      <c r="D17" s="4">
        <f t="shared" si="13"/>
        <v>-8</v>
      </c>
      <c r="E17" s="4">
        <f t="shared" si="6"/>
        <v>4386.3564249155816</v>
      </c>
      <c r="F17" s="4">
        <f t="shared" si="7"/>
        <v>691.20185606702978</v>
      </c>
      <c r="G17" s="97">
        <v>4</v>
      </c>
      <c r="H17" s="148">
        <f t="shared" si="0"/>
        <v>274.14727655722385</v>
      </c>
      <c r="J17" s="85" t="s">
        <v>6</v>
      </c>
      <c r="K17" s="4">
        <f t="shared" si="1"/>
        <v>393.54796403996318</v>
      </c>
      <c r="L17" s="4">
        <f t="shared" si="2"/>
        <v>696.57842846620861</v>
      </c>
      <c r="M17" s="4">
        <f t="shared" si="8"/>
        <v>117.1078576689566</v>
      </c>
      <c r="N17" s="47">
        <f t="shared" si="9"/>
        <v>2407.4650979151193</v>
      </c>
      <c r="P17" s="123" t="str">
        <f t="shared" si="10"/>
        <v>G</v>
      </c>
      <c r="Q17" s="4">
        <f t="shared" si="11"/>
        <v>394.32653238927111</v>
      </c>
      <c r="R17" s="4">
        <f t="shared" si="12"/>
        <v>-3.4215715337915875</v>
      </c>
      <c r="S17" s="145" t="str">
        <f t="shared" si="3"/>
        <v>C#</v>
      </c>
      <c r="T17" s="4">
        <f t="shared" si="4"/>
        <v>274.14727655722385</v>
      </c>
      <c r="U17" s="47">
        <f t="shared" si="5"/>
        <v>-29.327573135718019</v>
      </c>
    </row>
    <row r="18" spans="2:26" x14ac:dyDescent="0.2">
      <c r="B18" s="123" t="s">
        <v>72</v>
      </c>
      <c r="C18" s="156">
        <v>0</v>
      </c>
      <c r="D18" s="4">
        <f t="shared" si="13"/>
        <v>-8</v>
      </c>
      <c r="E18" s="4">
        <f t="shared" si="6"/>
        <v>6579.5346373733719</v>
      </c>
      <c r="F18" s="4">
        <f t="shared" si="7"/>
        <v>701.95500086538743</v>
      </c>
      <c r="G18" s="97">
        <v>4</v>
      </c>
      <c r="H18" s="148">
        <f t="shared" si="0"/>
        <v>411.22091483583574</v>
      </c>
      <c r="J18" s="85" t="s">
        <v>72</v>
      </c>
      <c r="K18" s="4">
        <f t="shared" si="1"/>
        <v>411.22091483583574</v>
      </c>
      <c r="L18" s="4">
        <f t="shared" si="2"/>
        <v>772.62742772966919</v>
      </c>
      <c r="M18" s="4">
        <f t="shared" si="8"/>
        <v>76.048999263460388</v>
      </c>
      <c r="N18" s="47">
        <f t="shared" si="9"/>
        <v>2304.0000000000005</v>
      </c>
      <c r="P18" s="123" t="str">
        <f t="shared" si="10"/>
        <v>G#</v>
      </c>
      <c r="Q18" s="4">
        <f t="shared" si="11"/>
        <v>417.77440819310806</v>
      </c>
      <c r="R18" s="4">
        <f t="shared" si="12"/>
        <v>-27.372572270331148</v>
      </c>
      <c r="S18" s="145" t="str">
        <f t="shared" si="3"/>
        <v>G#</v>
      </c>
      <c r="T18" s="4">
        <f t="shared" si="4"/>
        <v>411.22091483583574</v>
      </c>
      <c r="U18" s="47">
        <f t="shared" si="5"/>
        <v>-27.372572270331148</v>
      </c>
    </row>
    <row r="19" spans="2:26" x14ac:dyDescent="0.2">
      <c r="B19" s="123" t="s">
        <v>76</v>
      </c>
      <c r="C19" s="156">
        <v>1.6666666000000001</v>
      </c>
      <c r="D19" s="4">
        <f t="shared" si="13"/>
        <v>-6.3333333999999999</v>
      </c>
      <c r="E19" s="4">
        <f t="shared" si="6"/>
        <v>9920.5183894581551</v>
      </c>
      <c r="F19" s="4">
        <f t="shared" si="7"/>
        <v>710.91595450558043</v>
      </c>
      <c r="G19" s="97">
        <v>5</v>
      </c>
      <c r="H19" s="148">
        <f t="shared" si="0"/>
        <v>310.01619967056735</v>
      </c>
      <c r="J19" s="85" t="s">
        <v>7</v>
      </c>
      <c r="K19" s="4">
        <f t="shared" si="1"/>
        <v>440.00000000000023</v>
      </c>
      <c r="L19" s="4">
        <f t="shared" si="2"/>
        <v>889.73528539862605</v>
      </c>
      <c r="M19" s="4">
        <f t="shared" si="8"/>
        <v>117.10785766895694</v>
      </c>
      <c r="N19" s="47">
        <f t="shared" si="9"/>
        <v>2153.3022449585574</v>
      </c>
      <c r="P19" s="123" t="str">
        <f t="shared" si="10"/>
        <v>A</v>
      </c>
      <c r="Q19" s="4">
        <f t="shared" si="11"/>
        <v>442.61656724839361</v>
      </c>
      <c r="R19" s="4">
        <f t="shared" si="12"/>
        <v>-10.264714601374356</v>
      </c>
      <c r="S19" s="145" t="str">
        <f t="shared" si="3"/>
        <v>D#</v>
      </c>
      <c r="T19" s="4">
        <f t="shared" si="4"/>
        <v>310.01619967056735</v>
      </c>
      <c r="U19" s="47">
        <f t="shared" si="5"/>
        <v>-16.456617764750433</v>
      </c>
    </row>
    <row r="20" spans="2:26" x14ac:dyDescent="0.2">
      <c r="B20" s="123" t="s">
        <v>73</v>
      </c>
      <c r="C20" s="156">
        <v>1.6666666000000001</v>
      </c>
      <c r="D20" s="4">
        <f t="shared" si="13"/>
        <v>-4.6666667999999998</v>
      </c>
      <c r="E20" s="4">
        <f t="shared" si="6"/>
        <v>14958.000913399936</v>
      </c>
      <c r="F20" s="4">
        <f t="shared" si="7"/>
        <v>710.91595450558032</v>
      </c>
      <c r="G20" s="97">
        <v>5</v>
      </c>
      <c r="H20" s="148">
        <f t="shared" si="0"/>
        <v>467.43752854374799</v>
      </c>
      <c r="J20" s="85" t="s">
        <v>73</v>
      </c>
      <c r="K20" s="4">
        <f t="shared" si="1"/>
        <v>467.43752854374799</v>
      </c>
      <c r="L20" s="4">
        <f t="shared" si="2"/>
        <v>994.45933674083005</v>
      </c>
      <c r="M20" s="4">
        <f t="shared" si="8"/>
        <v>104.72405134220378</v>
      </c>
      <c r="N20" s="47">
        <f t="shared" si="9"/>
        <v>2026.9082603047621</v>
      </c>
      <c r="P20" s="123" t="str">
        <f t="shared" si="10"/>
        <v>A#</v>
      </c>
      <c r="Q20" s="4">
        <f t="shared" si="11"/>
        <v>468.9359179516722</v>
      </c>
      <c r="R20" s="4">
        <f t="shared" si="12"/>
        <v>-5.5406632591706293</v>
      </c>
      <c r="S20" s="145" t="str">
        <f t="shared" si="3"/>
        <v>A#</v>
      </c>
      <c r="T20" s="4">
        <f t="shared" si="4"/>
        <v>467.43752854374799</v>
      </c>
      <c r="U20" s="47">
        <f t="shared" si="5"/>
        <v>-5.5406632591706293</v>
      </c>
    </row>
    <row r="21" spans="2:26" x14ac:dyDescent="0.2">
      <c r="B21" s="123" t="s">
        <v>5</v>
      </c>
      <c r="C21" s="156">
        <v>1.6666666000000001</v>
      </c>
      <c r="D21" s="4">
        <f t="shared" si="13"/>
        <v>-3.0000001999999997</v>
      </c>
      <c r="E21" s="4">
        <f t="shared" si="6"/>
        <v>22553.437485991475</v>
      </c>
      <c r="F21" s="4">
        <f t="shared" si="7"/>
        <v>710.91595450558043</v>
      </c>
      <c r="G21" s="97">
        <v>6</v>
      </c>
      <c r="H21" s="148">
        <f t="shared" si="0"/>
        <v>352.3974607186168</v>
      </c>
      <c r="J21" s="85" t="s">
        <v>8</v>
      </c>
      <c r="K21" s="4">
        <f t="shared" si="1"/>
        <v>491.93495504995394</v>
      </c>
      <c r="L21" s="4">
        <f t="shared" si="2"/>
        <v>1082.8921423310435</v>
      </c>
      <c r="M21" s="4">
        <f t="shared" si="8"/>
        <v>88.432805590213519</v>
      </c>
      <c r="N21" s="47">
        <f t="shared" si="9"/>
        <v>1925.9720783320954</v>
      </c>
      <c r="P21" s="123" t="str">
        <f t="shared" si="10"/>
        <v>B</v>
      </c>
      <c r="Q21" s="4">
        <f t="shared" si="11"/>
        <v>496.82029868929521</v>
      </c>
      <c r="R21" s="4">
        <f t="shared" si="12"/>
        <v>-17.107857668956996</v>
      </c>
      <c r="S21" s="145" t="str">
        <f t="shared" si="3"/>
        <v>F</v>
      </c>
      <c r="T21" s="4">
        <f t="shared" si="4"/>
        <v>352.3974607186168</v>
      </c>
      <c r="U21" s="47">
        <f t="shared" si="5"/>
        <v>5.3752912464100007</v>
      </c>
    </row>
    <row r="22" spans="2:26" x14ac:dyDescent="0.2">
      <c r="B22" s="124" t="s">
        <v>78</v>
      </c>
      <c r="C22" s="157">
        <v>-1</v>
      </c>
      <c r="D22" s="53">
        <f t="shared" si="13"/>
        <v>-4.0000001999999997</v>
      </c>
      <c r="E22" s="53">
        <f t="shared" si="6"/>
        <v>33725.255257026336</v>
      </c>
      <c r="F22" s="53">
        <f t="shared" si="7"/>
        <v>696.57842846620838</v>
      </c>
      <c r="G22" s="98">
        <v>6</v>
      </c>
      <c r="H22" s="48">
        <f t="shared" si="0"/>
        <v>526.9571133910365</v>
      </c>
      <c r="J22" s="87" t="s">
        <v>78</v>
      </c>
      <c r="K22" s="53">
        <f t="shared" si="1"/>
        <v>526.9571133910365</v>
      </c>
      <c r="L22" s="53">
        <f t="shared" si="2"/>
        <v>1201.9537197126187</v>
      </c>
      <c r="M22" s="53">
        <f t="shared" si="8"/>
        <v>119.0615773815753</v>
      </c>
      <c r="N22" s="48">
        <f t="shared" si="9"/>
        <v>1797.969822790292</v>
      </c>
      <c r="P22" s="49" t="str">
        <f t="shared" si="10"/>
        <v>c oct.</v>
      </c>
      <c r="Q22" s="53">
        <f t="shared" si="11"/>
        <v>526.36277098987</v>
      </c>
      <c r="R22" s="53">
        <f t="shared" si="12"/>
        <v>1.9537197126182961</v>
      </c>
      <c r="S22" s="50" t="str">
        <f t="shared" si="3"/>
        <v>c oct.</v>
      </c>
      <c r="T22" s="53">
        <f t="shared" si="4"/>
        <v>526.9571133910365</v>
      </c>
      <c r="U22" s="48">
        <f t="shared" si="5"/>
        <v>1.9537197126182961</v>
      </c>
    </row>
    <row r="23" spans="2:26" x14ac:dyDescent="0.2">
      <c r="B23" s="81" t="s">
        <v>9</v>
      </c>
      <c r="C23" s="156">
        <v>-1</v>
      </c>
      <c r="D23" s="4">
        <f t="shared" ref="D23" si="14">D22+C23</f>
        <v>-5.0000001999999997</v>
      </c>
      <c r="E23" s="4">
        <f t="shared" ref="E23" si="15">IF(C23&lt;0,(E22*3/2)*POWER($F$3,ABS(C23)),(E22*3/2)*POWER(1/$F$3,ABS(C23)))</f>
        <v>50431.019344968889</v>
      </c>
      <c r="F23" s="4">
        <f t="shared" ref="F23" si="16">LOG(E23/E22,2)*1200</f>
        <v>696.57842846620861</v>
      </c>
      <c r="G23" s="97">
        <v>7</v>
      </c>
      <c r="H23" s="4">
        <f t="shared" ref="H23" si="17">E23/POWER(2,G23)</f>
        <v>393.99233863256944</v>
      </c>
      <c r="J23" s="86"/>
      <c r="P23" s="18"/>
      <c r="S23" s="18" t="str">
        <f t="shared" si="3"/>
        <v>g</v>
      </c>
      <c r="U23" s="4">
        <f t="shared" si="5"/>
        <v>-3.4215715337915875</v>
      </c>
    </row>
    <row r="24" spans="2:26" x14ac:dyDescent="0.2">
      <c r="B24" s="18"/>
      <c r="J24" s="86"/>
      <c r="P24" s="18"/>
      <c r="S24" s="18"/>
    </row>
    <row r="25" spans="2:26" ht="18" x14ac:dyDescent="0.2">
      <c r="B25" s="18"/>
      <c r="J25" s="86"/>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64" x14ac:dyDescent="0.2">
      <c r="B27" s="83" t="s">
        <v>130</v>
      </c>
      <c r="C27" s="84" t="s">
        <v>131</v>
      </c>
      <c r="D27" s="84" t="s">
        <v>132</v>
      </c>
      <c r="E27" s="84" t="str" cm="1">
        <f t="array" aca="1" ref="E27" ca="1">_xlfn.CONCAT(_xlfn.TEXTAFTER(CELL("filename",A2),"]")," Interval in cents")</f>
        <v>Meantone Bav Donat Interval in cents</v>
      </c>
      <c r="F27" s="84" t="s">
        <v>18</v>
      </c>
      <c r="G27" s="52" t="str">
        <f>_xlfn.CONCAT("diff ",$F$2)</f>
        <v>diff 1/4 Syntonic Comma</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23" t="s">
        <v>2</v>
      </c>
      <c r="C28" s="145" t="s">
        <v>4</v>
      </c>
      <c r="D28" s="97">
        <v>1</v>
      </c>
      <c r="E28" s="4">
        <f t="shared" ref="E28:E39" si="18">LOG(D28*VLOOKUP(C28,Master_Frequencies,2,FALSE)/VLOOKUP(B28,Master_Frequencies,2,FALSE),2)*1200</f>
        <v>386.31371386483482</v>
      </c>
      <c r="F28" s="4">
        <f t="shared" ref="F28:F39" si="19">VLOOKUP(B28,Master_Frequencies,2,FALSE)*5/4</f>
        <v>328.97673186866871</v>
      </c>
      <c r="G28" s="47">
        <f t="shared" ref="G28:G39" si="20">IF($D$2="Cents",LOG(D28*VLOOKUP(C28,Master_Frequencies,2,FALSE)/F28,2)*1200*$F$3,LOG(D28*VLOOKUP(C28,Master_Frequencies,2,FALSE)/F28,$F$3))</f>
        <v>7.1497443337041678E-14</v>
      </c>
      <c r="I28" s="123" t="s">
        <v>2</v>
      </c>
      <c r="J28" s="145" t="s">
        <v>6</v>
      </c>
      <c r="K28" s="97">
        <v>1</v>
      </c>
      <c r="L28" s="191">
        <f t="shared" ref="L28:L39" si="21">K28*VLOOKUP(J28,Master_Frequencies,2,FALSE)/VLOOKUP(I28,Master_Frequencies,2,FALSE)</f>
        <v>1.4953487812212205</v>
      </c>
      <c r="M28" s="145" t="s">
        <v>2</v>
      </c>
      <c r="N28" s="145" t="s">
        <v>4</v>
      </c>
      <c r="O28" s="191">
        <f t="shared" ref="O28:O39" si="22">D28*VLOOKUP(N28,Master_Frequencies,2,FALSE)/VLOOKUP(M28,Master_Frequencies,2,FALSE)</f>
        <v>1.25</v>
      </c>
      <c r="Q28" s="99">
        <v>1</v>
      </c>
      <c r="R28" s="18">
        <f>$E$10*Q28</f>
        <v>263.18138549493494</v>
      </c>
      <c r="S28" s="97">
        <v>0</v>
      </c>
      <c r="T28" s="4">
        <f>R28/POWER(2,S28)</f>
        <v>263.18138549493494</v>
      </c>
      <c r="U28" s="18" t="str" cm="1">
        <f t="array" ref="U28">_xlfn.XLOOKUP(0,ABS($C$45:$C$57-T28),$B$45:$B$57,,1)</f>
        <v>C</v>
      </c>
      <c r="V28" s="47">
        <f t="shared" ref="V28:V40" si="23">LOG(T28/VLOOKUP(U28,Master_Frequencies,2,FALSE),2)*1200</f>
        <v>0</v>
      </c>
      <c r="X28" s="85" t="s">
        <v>2</v>
      </c>
      <c r="Y28" s="4">
        <f t="shared" ref="Y28:Y40" si="24">VLOOKUP(X28,Master_Frequencies,2,FALSE)/POWER(2,$Z$26)</f>
        <v>65.795346373733736</v>
      </c>
      <c r="Z28" s="47">
        <f t="shared" ref="Z28:Z40" si="25">VLOOKUP(X28,Master_Frequencies,2,FALSE)*POWER(2,$Z$26)</f>
        <v>1052.7255419797398</v>
      </c>
    </row>
    <row r="29" spans="2:26" x14ac:dyDescent="0.2">
      <c r="B29" s="123" t="s">
        <v>74</v>
      </c>
      <c r="C29" s="145" t="s">
        <v>5</v>
      </c>
      <c r="D29" s="97">
        <v>1</v>
      </c>
      <c r="E29" s="4">
        <f t="shared" si="18"/>
        <v>434.70286438212838</v>
      </c>
      <c r="F29" s="4">
        <f t="shared" si="19"/>
        <v>342.68409569652982</v>
      </c>
      <c r="G29" s="47">
        <f t="shared" si="20"/>
        <v>-8.9999997999997614</v>
      </c>
      <c r="I29" s="123" t="s">
        <v>74</v>
      </c>
      <c r="J29" s="145" t="s">
        <v>72</v>
      </c>
      <c r="K29" s="97">
        <v>1</v>
      </c>
      <c r="L29" s="191">
        <f t="shared" si="21"/>
        <v>1.5</v>
      </c>
      <c r="M29" s="145" t="s">
        <v>74</v>
      </c>
      <c r="N29" s="145" t="s">
        <v>5</v>
      </c>
      <c r="O29" s="191">
        <f t="shared" si="22"/>
        <v>1.2854311928393696</v>
      </c>
      <c r="Q29" s="99">
        <v>2</v>
      </c>
      <c r="R29" s="18">
        <f t="shared" ref="R29:R40" si="26">$E$10*Q29</f>
        <v>526.36277098986989</v>
      </c>
      <c r="S29" s="97">
        <v>0</v>
      </c>
      <c r="T29" s="4">
        <f t="shared" ref="T29:T40" si="27">R29/POWER(2,S29)</f>
        <v>526.36277098986989</v>
      </c>
      <c r="U29" s="18" t="str" cm="1">
        <f t="array" ref="U29">_xlfn.XLOOKUP(0,ABS($C$45:$C$57-T29),$B$45:$B$57,,1)</f>
        <v>c oct.</v>
      </c>
      <c r="V29" s="47">
        <f t="shared" si="23"/>
        <v>-1.9537197126187151</v>
      </c>
      <c r="X29" s="85" t="s">
        <v>74</v>
      </c>
      <c r="Y29" s="4">
        <f t="shared" si="24"/>
        <v>68.536819139305962</v>
      </c>
      <c r="Z29" s="47">
        <f t="shared" si="25"/>
        <v>1096.5891062288954</v>
      </c>
    </row>
    <row r="30" spans="2:26" x14ac:dyDescent="0.2">
      <c r="B30" s="123" t="s">
        <v>3</v>
      </c>
      <c r="C30" s="145" t="s">
        <v>70</v>
      </c>
      <c r="D30" s="97">
        <v>1</v>
      </c>
      <c r="E30" s="4">
        <f t="shared" si="18"/>
        <v>386.31371386483448</v>
      </c>
      <c r="F30" s="4">
        <f t="shared" si="19"/>
        <v>367.80716773703233</v>
      </c>
      <c r="G30" s="47">
        <f t="shared" si="20"/>
        <v>3.5748721668520833E-14</v>
      </c>
      <c r="I30" s="123" t="s">
        <v>3</v>
      </c>
      <c r="J30" s="145" t="s">
        <v>7</v>
      </c>
      <c r="K30" s="97">
        <v>1</v>
      </c>
      <c r="L30" s="191">
        <f t="shared" si="21"/>
        <v>1.4953487812212205</v>
      </c>
      <c r="M30" s="145" t="s">
        <v>3</v>
      </c>
      <c r="N30" s="145" t="s">
        <v>70</v>
      </c>
      <c r="O30" s="191">
        <f t="shared" si="22"/>
        <v>1.2499999999999998</v>
      </c>
      <c r="Q30" s="99">
        <v>3</v>
      </c>
      <c r="R30" s="18">
        <f t="shared" si="26"/>
        <v>789.54415648480483</v>
      </c>
      <c r="S30" s="97">
        <v>1</v>
      </c>
      <c r="T30" s="4">
        <f t="shared" si="27"/>
        <v>394.77207824240242</v>
      </c>
      <c r="U30" s="18" t="str" cm="1">
        <f t="array" ref="U30">_xlfn.XLOOKUP(0,ABS($C$45:$C$57-T30),$B$45:$B$57,,1)</f>
        <v>G</v>
      </c>
      <c r="V30" s="47">
        <f t="shared" si="23"/>
        <v>5.3765723991786674</v>
      </c>
      <c r="X30" s="85" t="s">
        <v>3</v>
      </c>
      <c r="Y30" s="4">
        <f t="shared" si="24"/>
        <v>73.561433547406466</v>
      </c>
      <c r="Z30" s="47">
        <f t="shared" si="25"/>
        <v>1176.9829367585035</v>
      </c>
    </row>
    <row r="31" spans="2:26" x14ac:dyDescent="0.2">
      <c r="B31" s="123" t="s">
        <v>76</v>
      </c>
      <c r="C31" s="145" t="s">
        <v>6</v>
      </c>
      <c r="D31" s="97">
        <v>1</v>
      </c>
      <c r="E31" s="4">
        <f t="shared" si="18"/>
        <v>413.0350462309591</v>
      </c>
      <c r="F31" s="4">
        <f t="shared" si="19"/>
        <v>387.5202495882092</v>
      </c>
      <c r="G31" s="47">
        <f t="shared" si="20"/>
        <v>-4.9699567646862164</v>
      </c>
      <c r="I31" s="123" t="s">
        <v>76</v>
      </c>
      <c r="J31" s="145" t="s">
        <v>73</v>
      </c>
      <c r="K31" s="97">
        <v>1</v>
      </c>
      <c r="L31" s="191">
        <f t="shared" si="21"/>
        <v>1.5077842030205562</v>
      </c>
      <c r="M31" s="145" t="s">
        <v>76</v>
      </c>
      <c r="N31" s="145" t="s">
        <v>6</v>
      </c>
      <c r="O31" s="191">
        <f t="shared" si="22"/>
        <v>1.2694432241223499</v>
      </c>
      <c r="Q31" s="99">
        <v>4</v>
      </c>
      <c r="R31" s="18">
        <f t="shared" si="26"/>
        <v>1052.7255419797398</v>
      </c>
      <c r="S31" s="97">
        <v>1</v>
      </c>
      <c r="T31" s="4">
        <f t="shared" si="27"/>
        <v>526.36277098986989</v>
      </c>
      <c r="U31" s="18" t="str" cm="1">
        <f t="array" ref="U31">_xlfn.XLOOKUP(0,ABS($C$45:$C$57-T31),$B$45:$B$57,,1)</f>
        <v>c oct.</v>
      </c>
      <c r="V31" s="47">
        <f t="shared" si="23"/>
        <v>-1.9537197126187151</v>
      </c>
      <c r="X31" s="85" t="s">
        <v>76</v>
      </c>
      <c r="Y31" s="4">
        <f t="shared" si="24"/>
        <v>77.504049917641836</v>
      </c>
      <c r="Z31" s="47">
        <f t="shared" si="25"/>
        <v>1240.0647986822694</v>
      </c>
    </row>
    <row r="32" spans="2:26" x14ac:dyDescent="0.2">
      <c r="B32" s="123" t="s">
        <v>4</v>
      </c>
      <c r="C32" s="145" t="s">
        <v>72</v>
      </c>
      <c r="D32" s="97">
        <v>1</v>
      </c>
      <c r="E32" s="4">
        <f t="shared" si="18"/>
        <v>386.31371386483448</v>
      </c>
      <c r="F32" s="4">
        <f t="shared" si="19"/>
        <v>411.2209148358358</v>
      </c>
      <c r="G32" s="47">
        <f t="shared" si="20"/>
        <v>3.5748721668520833E-14</v>
      </c>
      <c r="I32" s="123" t="s">
        <v>4</v>
      </c>
      <c r="J32" s="145" t="s">
        <v>8</v>
      </c>
      <c r="K32" s="97">
        <v>1</v>
      </c>
      <c r="L32" s="191">
        <f t="shared" si="21"/>
        <v>1.4953487812212205</v>
      </c>
      <c r="M32" s="145" t="s">
        <v>4</v>
      </c>
      <c r="N32" s="145" t="s">
        <v>72</v>
      </c>
      <c r="O32" s="191">
        <f t="shared" si="22"/>
        <v>1.2499999999999998</v>
      </c>
      <c r="Q32" s="99">
        <v>5</v>
      </c>
      <c r="R32" s="18">
        <f t="shared" si="26"/>
        <v>1315.9069274746748</v>
      </c>
      <c r="S32" s="97">
        <v>2</v>
      </c>
      <c r="T32" s="4">
        <f t="shared" si="27"/>
        <v>328.97673186866871</v>
      </c>
      <c r="U32" s="18" t="str" cm="1">
        <f t="array" ref="U32">_xlfn.XLOOKUP(0,ABS($C$45:$C$57-T32),$B$45:$B$57,,1)</f>
        <v>E</v>
      </c>
      <c r="V32" s="47">
        <f t="shared" si="23"/>
        <v>3.8441118045779013E-13</v>
      </c>
      <c r="X32" s="85" t="s">
        <v>4</v>
      </c>
      <c r="Y32" s="4">
        <f t="shared" si="24"/>
        <v>82.244182967167163</v>
      </c>
      <c r="Z32" s="47">
        <f t="shared" si="25"/>
        <v>1315.9069274746746</v>
      </c>
    </row>
    <row r="33" spans="2:26" x14ac:dyDescent="0.2">
      <c r="B33" s="123" t="s">
        <v>5</v>
      </c>
      <c r="C33" s="145" t="s">
        <v>7</v>
      </c>
      <c r="D33" s="97">
        <v>1</v>
      </c>
      <c r="E33" s="4">
        <f t="shared" si="18"/>
        <v>384.3599941522159</v>
      </c>
      <c r="F33" s="4">
        <f t="shared" si="19"/>
        <v>440.49682589827103</v>
      </c>
      <c r="G33" s="47">
        <f t="shared" si="20"/>
        <v>0.36337643531360164</v>
      </c>
      <c r="I33" s="123" t="s">
        <v>5</v>
      </c>
      <c r="J33" s="145" t="s">
        <v>78</v>
      </c>
      <c r="K33" s="97">
        <v>1</v>
      </c>
      <c r="L33" s="191">
        <f t="shared" si="21"/>
        <v>1.4953487812212203</v>
      </c>
      <c r="M33" s="145" t="s">
        <v>5</v>
      </c>
      <c r="N33" s="145" t="s">
        <v>7</v>
      </c>
      <c r="O33" s="191">
        <f t="shared" si="22"/>
        <v>1.2485901547154805</v>
      </c>
      <c r="Q33" s="99">
        <v>6</v>
      </c>
      <c r="R33" s="18">
        <f t="shared" si="26"/>
        <v>1579.0883129696097</v>
      </c>
      <c r="S33" s="97">
        <v>2</v>
      </c>
      <c r="T33" s="4">
        <f t="shared" si="27"/>
        <v>394.77207824240242</v>
      </c>
      <c r="U33" s="18" t="str" cm="1">
        <f t="array" ref="U33">_xlfn.XLOOKUP(0,ABS($C$45:$C$57-T33),$B$45:$B$57,,1)</f>
        <v>G</v>
      </c>
      <c r="V33" s="47">
        <f t="shared" si="23"/>
        <v>5.3765723991786674</v>
      </c>
      <c r="X33" s="85" t="s">
        <v>5</v>
      </c>
      <c r="Y33" s="4">
        <f t="shared" si="24"/>
        <v>88.0993651796542</v>
      </c>
      <c r="Z33" s="47">
        <f t="shared" si="25"/>
        <v>1409.5898428744672</v>
      </c>
    </row>
    <row r="34" spans="2:26" x14ac:dyDescent="0.2">
      <c r="B34" s="123" t="s">
        <v>70</v>
      </c>
      <c r="C34" s="145" t="s">
        <v>73</v>
      </c>
      <c r="D34" s="97">
        <v>1</v>
      </c>
      <c r="E34" s="4">
        <f t="shared" si="18"/>
        <v>414.98876594357773</v>
      </c>
      <c r="F34" s="4">
        <f t="shared" si="19"/>
        <v>459.75895967129031</v>
      </c>
      <c r="G34" s="47">
        <f t="shared" si="20"/>
        <v>-5.3333331999998324</v>
      </c>
      <c r="I34" s="123" t="s">
        <v>70</v>
      </c>
      <c r="J34" s="145" t="s">
        <v>74</v>
      </c>
      <c r="K34" s="97">
        <v>2</v>
      </c>
      <c r="L34" s="191">
        <f t="shared" si="21"/>
        <v>1.4907119849998596</v>
      </c>
      <c r="M34" s="145" t="s">
        <v>70</v>
      </c>
      <c r="N34" s="145" t="s">
        <v>73</v>
      </c>
      <c r="O34" s="191">
        <f t="shared" si="22"/>
        <v>1.2708766156453686</v>
      </c>
      <c r="Q34" s="99">
        <v>7</v>
      </c>
      <c r="R34" s="18">
        <f t="shared" si="26"/>
        <v>1842.2696984645445</v>
      </c>
      <c r="S34" s="97">
        <v>2</v>
      </c>
      <c r="T34" s="4">
        <f t="shared" si="27"/>
        <v>460.56742461613612</v>
      </c>
      <c r="U34" s="18" t="str" cm="1">
        <f t="array" ref="U34">_xlfn.XLOOKUP(0,ABS($C$45:$C$57-T34),$B$45:$B$57,,1)</f>
        <v>A#</v>
      </c>
      <c r="V34" s="47">
        <f t="shared" si="23"/>
        <v>-25.63343027170508</v>
      </c>
      <c r="X34" s="85" t="s">
        <v>70</v>
      </c>
      <c r="Y34" s="4">
        <f t="shared" si="24"/>
        <v>91.951791934258068</v>
      </c>
      <c r="Z34" s="47">
        <f t="shared" si="25"/>
        <v>1471.2286709481291</v>
      </c>
    </row>
    <row r="35" spans="2:26" x14ac:dyDescent="0.2">
      <c r="B35" s="123" t="s">
        <v>6</v>
      </c>
      <c r="C35" s="145" t="s">
        <v>8</v>
      </c>
      <c r="D35" s="97">
        <v>1</v>
      </c>
      <c r="E35" s="4">
        <f t="shared" si="18"/>
        <v>386.31371386483482</v>
      </c>
      <c r="F35" s="4">
        <f t="shared" si="19"/>
        <v>491.93495504995394</v>
      </c>
      <c r="G35" s="47">
        <f t="shared" si="20"/>
        <v>0</v>
      </c>
      <c r="I35" s="123" t="s">
        <v>6</v>
      </c>
      <c r="J35" s="145" t="s">
        <v>3</v>
      </c>
      <c r="K35" s="97">
        <v>2</v>
      </c>
      <c r="L35" s="191">
        <f t="shared" si="21"/>
        <v>1.4953487812212207</v>
      </c>
      <c r="M35" s="145" t="s">
        <v>6</v>
      </c>
      <c r="N35" s="145" t="s">
        <v>8</v>
      </c>
      <c r="O35" s="191">
        <f t="shared" si="22"/>
        <v>1.25</v>
      </c>
      <c r="Q35" s="99">
        <v>8</v>
      </c>
      <c r="R35" s="18">
        <f t="shared" si="26"/>
        <v>2105.4510839594795</v>
      </c>
      <c r="S35" s="97">
        <v>3</v>
      </c>
      <c r="T35" s="4">
        <f t="shared" si="27"/>
        <v>263.18138549493494</v>
      </c>
      <c r="U35" s="18" t="str" cm="1">
        <f t="array" ref="U35">_xlfn.XLOOKUP(0,ABS($C$45:$C$57-T35),$B$45:$B$57,,1)</f>
        <v>C</v>
      </c>
      <c r="V35" s="47">
        <f t="shared" si="23"/>
        <v>0</v>
      </c>
      <c r="X35" s="85" t="s">
        <v>6</v>
      </c>
      <c r="Y35" s="4">
        <f t="shared" si="24"/>
        <v>98.386991009990794</v>
      </c>
      <c r="Z35" s="47">
        <f t="shared" si="25"/>
        <v>1574.1918561598527</v>
      </c>
    </row>
    <row r="36" spans="2:26" x14ac:dyDescent="0.2">
      <c r="B36" s="123" t="s">
        <v>72</v>
      </c>
      <c r="C36" s="145" t="s">
        <v>78</v>
      </c>
      <c r="D36" s="97">
        <v>1</v>
      </c>
      <c r="E36" s="4">
        <f t="shared" si="18"/>
        <v>429.32629198294967</v>
      </c>
      <c r="F36" s="4">
        <f t="shared" si="19"/>
        <v>514.02614354479465</v>
      </c>
      <c r="G36" s="47">
        <f t="shared" si="20"/>
        <v>-7.9999997999997259</v>
      </c>
      <c r="I36" s="123" t="s">
        <v>72</v>
      </c>
      <c r="J36" s="145" t="s">
        <v>76</v>
      </c>
      <c r="K36" s="97">
        <v>2</v>
      </c>
      <c r="L36" s="191">
        <f t="shared" si="21"/>
        <v>1.5077842030205564</v>
      </c>
      <c r="M36" s="145" t="s">
        <v>72</v>
      </c>
      <c r="N36" s="145" t="s">
        <v>78</v>
      </c>
      <c r="O36" s="191">
        <f t="shared" si="22"/>
        <v>1.2814453117040607</v>
      </c>
      <c r="Q36" s="99">
        <v>9</v>
      </c>
      <c r="R36" s="18">
        <f t="shared" si="26"/>
        <v>2368.6324694544146</v>
      </c>
      <c r="S36" s="97">
        <v>3</v>
      </c>
      <c r="T36" s="4">
        <f t="shared" si="27"/>
        <v>296.07905868180183</v>
      </c>
      <c r="U36" s="18" t="str" cm="1">
        <f t="array" ref="U36">_xlfn.XLOOKUP(0,ABS($C$45:$C$57-T36),$B$45:$B$57,,1)</f>
        <v>D</v>
      </c>
      <c r="V36" s="47">
        <f t="shared" si="23"/>
        <v>10.753144798357358</v>
      </c>
      <c r="X36" s="85" t="s">
        <v>72</v>
      </c>
      <c r="Y36" s="4">
        <f t="shared" si="24"/>
        <v>102.80522870895894</v>
      </c>
      <c r="Z36" s="47">
        <f t="shared" si="25"/>
        <v>1644.883659343343</v>
      </c>
    </row>
    <row r="37" spans="2:26" x14ac:dyDescent="0.2">
      <c r="B37" s="123" t="s">
        <v>7</v>
      </c>
      <c r="C37" s="145" t="s">
        <v>74</v>
      </c>
      <c r="D37" s="97">
        <v>2</v>
      </c>
      <c r="E37" s="4">
        <f t="shared" si="18"/>
        <v>380.93714146565566</v>
      </c>
      <c r="F37" s="4">
        <f t="shared" si="19"/>
        <v>550.00000000000023</v>
      </c>
      <c r="G37" s="47">
        <f t="shared" si="20"/>
        <v>1</v>
      </c>
      <c r="I37" s="123" t="s">
        <v>7</v>
      </c>
      <c r="J37" s="145" t="s">
        <v>4</v>
      </c>
      <c r="K37" s="97">
        <v>2</v>
      </c>
      <c r="L37" s="191">
        <f t="shared" si="21"/>
        <v>1.4953487812212203</v>
      </c>
      <c r="M37" s="145" t="s">
        <v>7</v>
      </c>
      <c r="N37" s="145" t="s">
        <v>74</v>
      </c>
      <c r="O37" s="191">
        <f t="shared" si="22"/>
        <v>1.2461239843510168</v>
      </c>
      <c r="Q37" s="99">
        <v>10</v>
      </c>
      <c r="R37" s="18">
        <f t="shared" si="26"/>
        <v>2631.8138549493497</v>
      </c>
      <c r="S37" s="97">
        <v>3</v>
      </c>
      <c r="T37" s="4">
        <f t="shared" si="27"/>
        <v>328.97673186866871</v>
      </c>
      <c r="U37" s="18" t="str" cm="1">
        <f t="array" ref="U37">_xlfn.XLOOKUP(0,ABS($C$45:$C$57-T37),$B$45:$B$57,,1)</f>
        <v>E</v>
      </c>
      <c r="V37" s="47">
        <f t="shared" si="23"/>
        <v>3.8441118045779013E-13</v>
      </c>
      <c r="X37" s="85" t="s">
        <v>7</v>
      </c>
      <c r="Y37" s="4">
        <f t="shared" si="24"/>
        <v>110.00000000000006</v>
      </c>
      <c r="Z37" s="47">
        <f t="shared" si="25"/>
        <v>1760.0000000000009</v>
      </c>
    </row>
    <row r="38" spans="2:26" x14ac:dyDescent="0.2">
      <c r="B38" s="123" t="s">
        <v>73</v>
      </c>
      <c r="C38" s="145" t="s">
        <v>3</v>
      </c>
      <c r="D38" s="97">
        <v>2</v>
      </c>
      <c r="E38" s="4">
        <f t="shared" si="18"/>
        <v>398.69752019158784</v>
      </c>
      <c r="F38" s="4">
        <f t="shared" si="19"/>
        <v>584.29691067968497</v>
      </c>
      <c r="G38" s="47">
        <f t="shared" si="20"/>
        <v>-2.3032901646864108</v>
      </c>
      <c r="I38" s="123" t="s">
        <v>73</v>
      </c>
      <c r="J38" s="145" t="s">
        <v>5</v>
      </c>
      <c r="K38" s="97">
        <v>2</v>
      </c>
      <c r="L38" s="191">
        <f t="shared" si="21"/>
        <v>1.5077842030205564</v>
      </c>
      <c r="M38" s="145" t="s">
        <v>73</v>
      </c>
      <c r="N38" s="145" t="s">
        <v>3</v>
      </c>
      <c r="O38" s="191">
        <f t="shared" si="22"/>
        <v>1.258973515054802</v>
      </c>
      <c r="Q38" s="99">
        <v>11</v>
      </c>
      <c r="R38" s="18">
        <f t="shared" si="26"/>
        <v>2894.9952404442843</v>
      </c>
      <c r="S38" s="97">
        <v>3</v>
      </c>
      <c r="T38" s="4">
        <f t="shared" si="27"/>
        <v>361.87440505553553</v>
      </c>
      <c r="U38" s="18" t="str" cm="1">
        <f t="array" ref="U38">_xlfn.XLOOKUP(0,ABS($C$45:$C$57-T38),$B$45:$B$57,,1)</f>
        <v>F#</v>
      </c>
      <c r="V38" s="47">
        <f t="shared" si="23"/>
        <v>-28.152628432495586</v>
      </c>
      <c r="X38" s="85" t="s">
        <v>73</v>
      </c>
      <c r="Y38" s="4">
        <f t="shared" si="24"/>
        <v>116.859382135937</v>
      </c>
      <c r="Z38" s="47">
        <f t="shared" si="25"/>
        <v>1869.7501141749919</v>
      </c>
    </row>
    <row r="39" spans="2:26" x14ac:dyDescent="0.2">
      <c r="B39" s="124" t="s">
        <v>8</v>
      </c>
      <c r="C39" s="153" t="s">
        <v>76</v>
      </c>
      <c r="D39" s="98">
        <v>2</v>
      </c>
      <c r="E39" s="53">
        <f t="shared" si="18"/>
        <v>400.65123990420636</v>
      </c>
      <c r="F39" s="53">
        <f t="shared" si="19"/>
        <v>614.91869381244237</v>
      </c>
      <c r="G39" s="48">
        <f t="shared" si="20"/>
        <v>-2.6666665999998869</v>
      </c>
      <c r="I39" s="124" t="s">
        <v>8</v>
      </c>
      <c r="J39" s="153" t="s">
        <v>70</v>
      </c>
      <c r="K39" s="98">
        <v>2</v>
      </c>
      <c r="L39" s="192">
        <f t="shared" si="21"/>
        <v>1.4953487812212205</v>
      </c>
      <c r="M39" s="153" t="s">
        <v>8</v>
      </c>
      <c r="N39" s="153" t="s">
        <v>76</v>
      </c>
      <c r="O39" s="192">
        <f t="shared" si="22"/>
        <v>1.2603950847082477</v>
      </c>
      <c r="Q39" s="99">
        <v>12</v>
      </c>
      <c r="R39" s="18">
        <f t="shared" si="26"/>
        <v>3158.1766259392193</v>
      </c>
      <c r="S39" s="97">
        <v>3</v>
      </c>
      <c r="T39" s="4">
        <f t="shared" si="27"/>
        <v>394.77207824240242</v>
      </c>
      <c r="U39" s="18" t="str" cm="1">
        <f t="array" ref="U39">_xlfn.XLOOKUP(0,ABS($C$45:$C$57-T39),$B$45:$B$57,,1)</f>
        <v>G</v>
      </c>
      <c r="V39" s="47">
        <f t="shared" si="23"/>
        <v>5.3765723991786674</v>
      </c>
      <c r="X39" s="85" t="s">
        <v>8</v>
      </c>
      <c r="Y39" s="4">
        <f t="shared" si="24"/>
        <v>122.98373876248849</v>
      </c>
      <c r="Z39" s="47">
        <f t="shared" si="25"/>
        <v>1967.7398201998158</v>
      </c>
    </row>
    <row r="40" spans="2:26" x14ac:dyDescent="0.2">
      <c r="Q40" s="100">
        <v>13</v>
      </c>
      <c r="R40" s="50">
        <f t="shared" si="26"/>
        <v>3421.3580114341544</v>
      </c>
      <c r="S40" s="98">
        <v>3</v>
      </c>
      <c r="T40" s="53">
        <f t="shared" si="27"/>
        <v>427.6697514292693</v>
      </c>
      <c r="U40" s="50" t="str" cm="1">
        <f t="array" ref="U40">_xlfn.XLOOKUP(0,ABS($C$45:$C$57-T40),$B$45:$B$57,,1)</f>
        <v>A</v>
      </c>
      <c r="V40" s="48">
        <f t="shared" si="23"/>
        <v>-49.207623629315606</v>
      </c>
      <c r="X40" s="87" t="s">
        <v>78</v>
      </c>
      <c r="Y40" s="53">
        <f t="shared" si="24"/>
        <v>131.73927834775913</v>
      </c>
      <c r="Z40" s="48">
        <f t="shared" si="25"/>
        <v>2107.828453564146</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VLOOKUP(B45,$B$10:$H$22,7,FALSE)</f>
        <v>263.18138549493494</v>
      </c>
    </row>
    <row r="46" spans="2:26" x14ac:dyDescent="0.2">
      <c r="B46" s="92" t="s">
        <v>74</v>
      </c>
      <c r="C46" s="93">
        <f t="shared" ref="C46:C57" si="28">VLOOKUP(B46,$B$10:$H$22,7,FALSE)</f>
        <v>274.14727655722385</v>
      </c>
    </row>
    <row r="47" spans="2:26" x14ac:dyDescent="0.2">
      <c r="B47" s="92" t="s">
        <v>3</v>
      </c>
      <c r="C47" s="93">
        <f t="shared" si="28"/>
        <v>294.24573418962586</v>
      </c>
    </row>
    <row r="48" spans="2:26" x14ac:dyDescent="0.2">
      <c r="B48" s="92" t="s">
        <v>76</v>
      </c>
      <c r="C48" s="93">
        <f t="shared" si="28"/>
        <v>310.01619967056735</v>
      </c>
    </row>
    <row r="49" spans="2:3" x14ac:dyDescent="0.2">
      <c r="B49" s="92" t="s">
        <v>4</v>
      </c>
      <c r="C49" s="93">
        <f t="shared" si="28"/>
        <v>328.97673186866865</v>
      </c>
    </row>
    <row r="50" spans="2:3" x14ac:dyDescent="0.2">
      <c r="B50" s="92" t="s">
        <v>5</v>
      </c>
      <c r="C50" s="93">
        <f t="shared" si="28"/>
        <v>352.3974607186168</v>
      </c>
    </row>
    <row r="51" spans="2:3" x14ac:dyDescent="0.2">
      <c r="B51" s="92" t="s">
        <v>70</v>
      </c>
      <c r="C51" s="93">
        <f t="shared" si="28"/>
        <v>367.80716773703227</v>
      </c>
    </row>
    <row r="52" spans="2:3" x14ac:dyDescent="0.2">
      <c r="B52" s="92" t="s">
        <v>6</v>
      </c>
      <c r="C52" s="93">
        <f t="shared" si="28"/>
        <v>393.54796403996318</v>
      </c>
    </row>
    <row r="53" spans="2:3" x14ac:dyDescent="0.2">
      <c r="B53" s="92" t="s">
        <v>72</v>
      </c>
      <c r="C53" s="93">
        <f t="shared" si="28"/>
        <v>411.22091483583574</v>
      </c>
    </row>
    <row r="54" spans="2:3" x14ac:dyDescent="0.2">
      <c r="B54" s="92" t="s">
        <v>7</v>
      </c>
      <c r="C54" s="93">
        <f t="shared" si="28"/>
        <v>440.00000000000023</v>
      </c>
    </row>
    <row r="55" spans="2:3" x14ac:dyDescent="0.2">
      <c r="B55" s="92" t="s">
        <v>73</v>
      </c>
      <c r="C55" s="93">
        <f t="shared" si="28"/>
        <v>467.43752854374799</v>
      </c>
    </row>
    <row r="56" spans="2:3" x14ac:dyDescent="0.2">
      <c r="B56" s="92" t="s">
        <v>8</v>
      </c>
      <c r="C56" s="93">
        <f t="shared" si="28"/>
        <v>491.93495504995394</v>
      </c>
    </row>
    <row r="57" spans="2:3" ht="16" thickBot="1" x14ac:dyDescent="0.25">
      <c r="B57" s="94" t="s">
        <v>78</v>
      </c>
      <c r="C57" s="95">
        <f t="shared" si="28"/>
        <v>526.9571133910365</v>
      </c>
    </row>
    <row r="58" spans="2:3" ht="16" thickTop="1" x14ac:dyDescent="0.2"/>
  </sheetData>
  <sheetProtection sheet="1" scenarios="1" formatCells="0"/>
  <mergeCells count="9">
    <mergeCell ref="X25:Z25"/>
    <mergeCell ref="B1:H1"/>
    <mergeCell ref="B43:C43"/>
    <mergeCell ref="B8:H8"/>
    <mergeCell ref="J8:N8"/>
    <mergeCell ref="P8:U8"/>
    <mergeCell ref="B26:D26"/>
    <mergeCell ref="I26:O26"/>
    <mergeCell ref="Q26:V26"/>
  </mergeCells>
  <conditionalFormatting sqref="A1:XFD1048576">
    <cfRule type="expression" dxfId="43" priority="1">
      <formula>CELL("protect",A1)=0</formula>
    </cfRule>
    <cfRule type="expression" dxfId="42" priority="2">
      <formula>_xlfn.ISFORMULA(A1)</formula>
    </cfRule>
  </conditionalFormatting>
  <hyperlinks>
    <hyperlink ref="B41" location="Overview!A1" display="Back to Overview" xr:uid="{0C3C1160-AAB4-444D-A581-7B6026099FFC}"/>
    <hyperlink ref="B5" location="Overview!A1" display="Back to Overview" xr:uid="{AC583A5F-BB38-A94E-AA58-96C4E1193569}"/>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444EB344-4AD3-F94F-B313-1F8D043053C7}">
          <x14:formula1>
            <xm:f>'Commas &amp; Cents'!$AD$1:$AD$3</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FEE5-4F7F-8943-8DB0-8E39FE583587}">
  <sheetPr codeName="Sheet3">
    <tabColor theme="3" tint="0.749992370372631"/>
  </sheetPr>
  <dimension ref="B1:U36"/>
  <sheetViews>
    <sheetView workbookViewId="0"/>
  </sheetViews>
  <sheetFormatPr baseColWidth="10" defaultColWidth="12" defaultRowHeight="16" x14ac:dyDescent="0.2"/>
  <cols>
    <col min="1" max="1" width="2.83203125" style="110" customWidth="1"/>
    <col min="2" max="4" width="12" style="110"/>
    <col min="5" max="5" width="5.83203125" style="110" customWidth="1"/>
    <col min="6" max="8" width="12" style="110"/>
    <col min="9" max="9" width="5.83203125" style="110" customWidth="1"/>
    <col min="10" max="12" width="12" style="110"/>
    <col min="13" max="13" width="5.83203125" style="110" customWidth="1"/>
    <col min="14" max="16384" width="12" style="110"/>
  </cols>
  <sheetData>
    <row r="1" spans="2:21" ht="18" x14ac:dyDescent="0.2">
      <c r="B1" s="273" t="s">
        <v>55</v>
      </c>
      <c r="C1" s="273"/>
      <c r="D1" s="273"/>
    </row>
    <row r="2" spans="2:21" ht="18" x14ac:dyDescent="0.2">
      <c r="B2" s="69"/>
      <c r="C2" s="160"/>
      <c r="D2" s="160"/>
    </row>
    <row r="3" spans="2:21" ht="18" x14ac:dyDescent="0.2">
      <c r="B3" s="80" t="s">
        <v>63</v>
      </c>
      <c r="C3" s="160"/>
      <c r="D3" s="160"/>
      <c r="N3" s="276" t="s">
        <v>523</v>
      </c>
      <c r="O3" s="276"/>
      <c r="P3" s="276"/>
      <c r="Q3" s="276"/>
      <c r="R3" s="276"/>
      <c r="S3" s="276"/>
      <c r="T3" s="276"/>
      <c r="U3" s="276"/>
    </row>
    <row r="4" spans="2:21" ht="18" customHeight="1" x14ac:dyDescent="0.2">
      <c r="B4" s="69"/>
      <c r="C4" s="160"/>
      <c r="D4" s="160"/>
      <c r="N4" s="276"/>
      <c r="O4" s="276"/>
      <c r="P4" s="276"/>
      <c r="Q4" s="276"/>
      <c r="R4" s="276"/>
      <c r="S4" s="276"/>
      <c r="T4" s="276"/>
      <c r="U4" s="276"/>
    </row>
    <row r="5" spans="2:21" ht="18" x14ac:dyDescent="0.2">
      <c r="B5" s="69"/>
      <c r="C5" s="160"/>
      <c r="D5" s="160"/>
      <c r="N5" s="276"/>
      <c r="O5" s="276"/>
      <c r="P5" s="276"/>
      <c r="Q5" s="276"/>
      <c r="R5" s="276"/>
      <c r="S5" s="276"/>
      <c r="T5" s="276"/>
      <c r="U5" s="276"/>
    </row>
    <row r="6" spans="2:21" ht="18" x14ac:dyDescent="0.2">
      <c r="B6" s="69"/>
      <c r="C6" s="160"/>
      <c r="D6" s="160"/>
      <c r="N6" s="277"/>
      <c r="O6" s="277"/>
      <c r="P6" s="277"/>
      <c r="Q6" s="277"/>
      <c r="R6" s="277"/>
      <c r="S6" s="277"/>
      <c r="T6" s="277"/>
      <c r="U6" s="277"/>
    </row>
    <row r="7" spans="2:21" x14ac:dyDescent="0.2">
      <c r="N7" s="175"/>
      <c r="O7" s="279" t="s">
        <v>61</v>
      </c>
      <c r="P7" s="279"/>
      <c r="Q7" s="274" t="s">
        <v>474</v>
      </c>
      <c r="R7" s="274"/>
      <c r="S7" s="274"/>
      <c r="T7" s="274"/>
      <c r="U7" s="275"/>
    </row>
    <row r="8" spans="2:21" ht="62" customHeight="1" x14ac:dyDescent="0.2">
      <c r="N8" s="176" t="s">
        <v>56</v>
      </c>
      <c r="O8" s="116" t="s">
        <v>57</v>
      </c>
      <c r="P8" s="115" t="s">
        <v>25</v>
      </c>
      <c r="Q8" s="115" t="str">
        <f>_xlfn.CONCAT($Q$7," Frequency 1")</f>
        <v>Kirnberger col. 1 Frequency 1</v>
      </c>
      <c r="R8" s="115" t="str">
        <f>_xlfn.CONCAT($Q$7," Frequency 2")</f>
        <v>Kirnberger col. 1 Frequency 2</v>
      </c>
      <c r="S8" s="115" t="s">
        <v>554</v>
      </c>
      <c r="T8" s="115" t="s">
        <v>60</v>
      </c>
      <c r="U8" s="177" t="s">
        <v>95</v>
      </c>
    </row>
    <row r="9" spans="2:21" ht="35" customHeight="1" x14ac:dyDescent="0.2">
      <c r="B9" s="283" t="s">
        <v>52</v>
      </c>
      <c r="C9" s="283"/>
      <c r="D9" s="283"/>
      <c r="F9" s="283" t="s">
        <v>54</v>
      </c>
      <c r="G9" s="283"/>
      <c r="H9" s="283"/>
      <c r="J9" s="283" t="s">
        <v>53</v>
      </c>
      <c r="K9" s="283"/>
      <c r="L9" s="283"/>
      <c r="N9" s="178" t="s">
        <v>5</v>
      </c>
      <c r="O9" s="163" t="s">
        <v>70</v>
      </c>
      <c r="P9" s="162">
        <v>879</v>
      </c>
      <c r="Q9" s="110">
        <f ca="1">VLOOKUP(N9,INDIRECT("'"&amp;$Q$7&amp;"'!Master_Frequencies"),2,FALSE)</f>
        <v>350.01785668734118</v>
      </c>
      <c r="R9" s="110">
        <f ca="1">VLOOKUP(O9,INDIRECT("'"&amp;$Q$7&amp;"'!Master_Frequencies"),2,FALSE)</f>
        <v>369.15973118217357</v>
      </c>
      <c r="S9" s="110">
        <f ca="1">LOG(R9/Q9,2)*1200</f>
        <v>92.179996538450069</v>
      </c>
      <c r="T9" s="110">
        <f ca="1">P9/POWER(2,S9/1200)</f>
        <v>833.42160598861608</v>
      </c>
      <c r="U9" s="181">
        <f ca="1">P9-T9</f>
        <v>45.578394011383921</v>
      </c>
    </row>
    <row r="10" spans="2:21" x14ac:dyDescent="0.2">
      <c r="B10" s="280" t="s">
        <v>27</v>
      </c>
      <c r="C10" s="281"/>
      <c r="D10" s="282"/>
      <c r="F10" s="280" t="s">
        <v>28</v>
      </c>
      <c r="G10" s="281"/>
      <c r="H10" s="282"/>
      <c r="J10" s="280" t="s">
        <v>51</v>
      </c>
      <c r="K10" s="281"/>
      <c r="L10" s="282"/>
      <c r="N10" s="178" t="s">
        <v>6</v>
      </c>
      <c r="O10" s="163" t="s">
        <v>72</v>
      </c>
      <c r="P10" s="162">
        <v>836</v>
      </c>
      <c r="Q10" s="110">
        <f t="shared" ref="Q10:Q27" ca="1" si="0">VLOOKUP(N10,INDIRECT("'"&amp;$Q$7&amp;"'!Master_Frequencies"),2,FALSE)</f>
        <v>393.77008877325864</v>
      </c>
      <c r="R10" s="110">
        <f t="shared" ref="R10:R27" ca="1" si="1">VLOOKUP(O10,INDIRECT("'"&amp;$Q$7&amp;"'!Master_Frequencies"),2,FALSE)</f>
        <v>414.83597829610801</v>
      </c>
      <c r="S10" s="110">
        <f t="shared" ref="S10:S27" ca="1" si="2">LOG(R10/Q10,2)*1200</f>
        <v>90.224995673063432</v>
      </c>
      <c r="T10" s="110">
        <f t="shared" ref="T10:T27" ca="1" si="3">P10/POWER(2,S10/1200)</f>
        <v>793.54687499999977</v>
      </c>
      <c r="U10" s="182">
        <f t="shared" ref="U10:U27" ca="1" si="4">P10-T10</f>
        <v>42.453125000000227</v>
      </c>
    </row>
    <row r="11" spans="2:21" s="166" customFormat="1" x14ac:dyDescent="0.2">
      <c r="B11" s="165" t="s">
        <v>25</v>
      </c>
      <c r="C11" s="166" t="s">
        <v>16</v>
      </c>
      <c r="D11" s="167" t="s">
        <v>26</v>
      </c>
      <c r="F11" s="165" t="s">
        <v>26</v>
      </c>
      <c r="G11" s="166" t="s">
        <v>16</v>
      </c>
      <c r="H11" s="167" t="s">
        <v>25</v>
      </c>
      <c r="J11" s="165" t="s">
        <v>25</v>
      </c>
      <c r="K11" s="166" t="s">
        <v>26</v>
      </c>
      <c r="L11" s="167" t="s">
        <v>16</v>
      </c>
      <c r="N11" s="178" t="s">
        <v>2</v>
      </c>
      <c r="O11" s="163" t="s">
        <v>74</v>
      </c>
      <c r="P11" s="162">
        <v>745</v>
      </c>
      <c r="Q11" s="110">
        <f t="shared" ca="1" si="0"/>
        <v>262.51339251550576</v>
      </c>
      <c r="R11" s="110">
        <f t="shared" ca="1" si="1"/>
        <v>276.55731886407199</v>
      </c>
      <c r="S11" s="110">
        <f t="shared" ca="1" si="2"/>
        <v>90.224995673063432</v>
      </c>
      <c r="T11" s="110">
        <f t="shared" ca="1" si="3"/>
        <v>707.16796874999977</v>
      </c>
      <c r="U11" s="182">
        <f t="shared" ca="1" si="4"/>
        <v>37.832031250000227</v>
      </c>
    </row>
    <row r="12" spans="2:21" x14ac:dyDescent="0.2">
      <c r="B12" s="168">
        <v>100</v>
      </c>
      <c r="C12" s="162">
        <v>100</v>
      </c>
      <c r="D12" s="139">
        <f t="shared" ref="D12:D22" si="5">B12/POWER(2,C12/1200)</f>
        <v>94.387431268169351</v>
      </c>
      <c r="F12" s="168">
        <v>100</v>
      </c>
      <c r="G12" s="162">
        <v>100</v>
      </c>
      <c r="H12" s="139">
        <f>F12*POWER(2,G12/1200)</f>
        <v>105.94630943592954</v>
      </c>
      <c r="J12" s="168">
        <v>100</v>
      </c>
      <c r="K12" s="162">
        <v>94.387431268169351</v>
      </c>
      <c r="L12" s="139">
        <f>1200*LOG(J12/K12,2)</f>
        <v>100.00000000000007</v>
      </c>
      <c r="N12" s="178" t="s">
        <v>76</v>
      </c>
      <c r="O12" s="163" t="s">
        <v>4</v>
      </c>
      <c r="P12" s="162">
        <v>676</v>
      </c>
      <c r="Q12" s="110">
        <f t="shared" ca="1" si="0"/>
        <v>311.12698372208104</v>
      </c>
      <c r="R12" s="110">
        <f t="shared" ca="1" si="1"/>
        <v>328.14198327304319</v>
      </c>
      <c r="S12" s="110">
        <f t="shared" ca="1" si="2"/>
        <v>92.179996538450439</v>
      </c>
      <c r="T12" s="110">
        <f t="shared" ca="1" si="3"/>
        <v>640.94767423015287</v>
      </c>
      <c r="U12" s="182">
        <f t="shared" ca="1" si="4"/>
        <v>35.05232576984713</v>
      </c>
    </row>
    <row r="13" spans="2:21" x14ac:dyDescent="0.2">
      <c r="B13" s="168">
        <v>200</v>
      </c>
      <c r="C13" s="162">
        <v>100</v>
      </c>
      <c r="D13" s="139">
        <f t="shared" si="5"/>
        <v>188.7748625363387</v>
      </c>
      <c r="F13" s="168">
        <v>200</v>
      </c>
      <c r="G13" s="162">
        <v>100</v>
      </c>
      <c r="H13" s="139">
        <f t="shared" ref="H13:H22" si="6">F13*POWER(2,G13/1200)</f>
        <v>211.89261887185907</v>
      </c>
      <c r="J13" s="168">
        <v>200</v>
      </c>
      <c r="K13" s="162">
        <v>188.7748625363387</v>
      </c>
      <c r="L13" s="139">
        <f t="shared" ref="L13:L22" si="7">1200*LOG(J13/K13,2)</f>
        <v>100.00000000000007</v>
      </c>
      <c r="N13" s="178" t="s">
        <v>5</v>
      </c>
      <c r="O13" s="163" t="s">
        <v>70</v>
      </c>
      <c r="P13" s="162">
        <v>637</v>
      </c>
      <c r="Q13" s="110">
        <f t="shared" ca="1" si="0"/>
        <v>350.01785668734118</v>
      </c>
      <c r="R13" s="110">
        <f t="shared" ca="1" si="1"/>
        <v>369.15973118217357</v>
      </c>
      <c r="S13" s="110">
        <f t="shared" ca="1" si="2"/>
        <v>92.179996538450069</v>
      </c>
      <c r="T13" s="110">
        <f t="shared" ca="1" si="3"/>
        <v>603.96992379379799</v>
      </c>
      <c r="U13" s="182">
        <f t="shared" ca="1" si="4"/>
        <v>33.030076206202011</v>
      </c>
    </row>
    <row r="14" spans="2:21" x14ac:dyDescent="0.2">
      <c r="B14" s="168">
        <v>300</v>
      </c>
      <c r="C14" s="162">
        <v>100</v>
      </c>
      <c r="D14" s="139">
        <f t="shared" si="5"/>
        <v>283.16229380450801</v>
      </c>
      <c r="F14" s="168">
        <v>300</v>
      </c>
      <c r="G14" s="162">
        <v>100</v>
      </c>
      <c r="H14" s="139">
        <f t="shared" si="6"/>
        <v>317.83892830778859</v>
      </c>
      <c r="J14" s="168">
        <v>300</v>
      </c>
      <c r="K14" s="162">
        <v>283.16229380450801</v>
      </c>
      <c r="L14" s="139">
        <f t="shared" si="7"/>
        <v>100.00000000000007</v>
      </c>
      <c r="N14" s="178" t="s">
        <v>6</v>
      </c>
      <c r="O14" s="163" t="s">
        <v>72</v>
      </c>
      <c r="P14" s="162">
        <v>597</v>
      </c>
      <c r="Q14" s="110">
        <f t="shared" ca="1" si="0"/>
        <v>393.77008877325864</v>
      </c>
      <c r="R14" s="110">
        <f t="shared" ca="1" si="1"/>
        <v>414.83597829610801</v>
      </c>
      <c r="S14" s="110">
        <f t="shared" ca="1" si="2"/>
        <v>90.224995673063432</v>
      </c>
      <c r="T14" s="110">
        <f t="shared" ca="1" si="3"/>
        <v>566.68359374999989</v>
      </c>
      <c r="U14" s="182">
        <f t="shared" ca="1" si="4"/>
        <v>30.316406250000114</v>
      </c>
    </row>
    <row r="15" spans="2:21" x14ac:dyDescent="0.2">
      <c r="B15" s="168">
        <v>400</v>
      </c>
      <c r="C15" s="162">
        <v>100</v>
      </c>
      <c r="D15" s="139">
        <f t="shared" si="5"/>
        <v>377.5497250726774</v>
      </c>
      <c r="F15" s="168">
        <v>400</v>
      </c>
      <c r="G15" s="162">
        <v>100</v>
      </c>
      <c r="H15" s="139">
        <f t="shared" si="6"/>
        <v>423.78523774371814</v>
      </c>
      <c r="J15" s="168">
        <v>400</v>
      </c>
      <c r="K15" s="162">
        <v>377.5497250726774</v>
      </c>
      <c r="L15" s="139">
        <f t="shared" si="7"/>
        <v>100.00000000000007</v>
      </c>
      <c r="N15" s="178" t="s">
        <v>73</v>
      </c>
      <c r="O15" s="163" t="s">
        <v>8</v>
      </c>
      <c r="P15" s="162">
        <v>538</v>
      </c>
      <c r="Q15" s="110">
        <f t="shared" ca="1" si="0"/>
        <v>466.69047558312155</v>
      </c>
      <c r="R15" s="110">
        <f t="shared" ca="1" si="1"/>
        <v>492.21297490956476</v>
      </c>
      <c r="S15" s="110">
        <f t="shared" ca="1" si="2"/>
        <v>92.179996538450069</v>
      </c>
      <c r="T15" s="110">
        <f t="shared" ca="1" si="3"/>
        <v>510.10332653228153</v>
      </c>
      <c r="U15" s="182">
        <f t="shared" ca="1" si="4"/>
        <v>27.896673467718472</v>
      </c>
    </row>
    <row r="16" spans="2:21" x14ac:dyDescent="0.2">
      <c r="B16" s="172">
        <v>500</v>
      </c>
      <c r="C16" s="171">
        <v>100</v>
      </c>
      <c r="D16" s="139">
        <f t="shared" si="5"/>
        <v>471.93715634084674</v>
      </c>
      <c r="F16" s="172">
        <v>500</v>
      </c>
      <c r="G16" s="171">
        <v>100</v>
      </c>
      <c r="H16" s="139">
        <f t="shared" si="6"/>
        <v>529.73154717964769</v>
      </c>
      <c r="J16" s="172">
        <v>500</v>
      </c>
      <c r="K16" s="171">
        <v>471.93715634084674</v>
      </c>
      <c r="L16" s="139">
        <f t="shared" si="7"/>
        <v>100.00000000000007</v>
      </c>
      <c r="N16" s="178" t="s">
        <v>5</v>
      </c>
      <c r="O16" s="163" t="s">
        <v>70</v>
      </c>
      <c r="P16" s="162">
        <v>357</v>
      </c>
      <c r="Q16" s="110">
        <f t="shared" ca="1" si="0"/>
        <v>350.01785668734118</v>
      </c>
      <c r="R16" s="110">
        <f t="shared" ca="1" si="1"/>
        <v>369.15973118217357</v>
      </c>
      <c r="S16" s="110">
        <f t="shared" ca="1" si="2"/>
        <v>92.179996538450069</v>
      </c>
      <c r="T16" s="110">
        <f t="shared" ca="1" si="3"/>
        <v>338.48863860971096</v>
      </c>
      <c r="U16" s="182">
        <f t="shared" ca="1" si="4"/>
        <v>18.511361390289039</v>
      </c>
    </row>
    <row r="17" spans="2:21" x14ac:dyDescent="0.2">
      <c r="B17" s="172">
        <v>600</v>
      </c>
      <c r="C17" s="171">
        <v>100</v>
      </c>
      <c r="D17" s="139">
        <f t="shared" si="5"/>
        <v>566.32458760901602</v>
      </c>
      <c r="F17" s="172">
        <v>600</v>
      </c>
      <c r="G17" s="171">
        <v>100</v>
      </c>
      <c r="H17" s="139">
        <f t="shared" si="6"/>
        <v>635.67785661557718</v>
      </c>
      <c r="J17" s="172">
        <v>600</v>
      </c>
      <c r="K17" s="171">
        <v>566.32458760901602</v>
      </c>
      <c r="L17" s="139">
        <f t="shared" si="7"/>
        <v>100.00000000000007</v>
      </c>
      <c r="N17" s="178" t="s">
        <v>2</v>
      </c>
      <c r="O17" s="163" t="s">
        <v>74</v>
      </c>
      <c r="P17" s="162">
        <v>501</v>
      </c>
      <c r="Q17" s="110">
        <f t="shared" ca="1" si="0"/>
        <v>262.51339251550576</v>
      </c>
      <c r="R17" s="110">
        <f t="shared" ca="1" si="1"/>
        <v>276.55731886407199</v>
      </c>
      <c r="S17" s="110">
        <f t="shared" ca="1" si="2"/>
        <v>90.224995673063432</v>
      </c>
      <c r="T17" s="110">
        <f t="shared" ca="1" si="3"/>
        <v>475.55859374999989</v>
      </c>
      <c r="U17" s="182">
        <f t="shared" ca="1" si="4"/>
        <v>25.441406250000114</v>
      </c>
    </row>
    <row r="18" spans="2:21" x14ac:dyDescent="0.2">
      <c r="B18" s="172">
        <v>700</v>
      </c>
      <c r="C18" s="171">
        <v>100</v>
      </c>
      <c r="D18" s="139">
        <f t="shared" si="5"/>
        <v>660.71201887718541</v>
      </c>
      <c r="F18" s="172">
        <v>700</v>
      </c>
      <c r="G18" s="171">
        <v>100</v>
      </c>
      <c r="H18" s="139">
        <f t="shared" si="6"/>
        <v>741.62416605150668</v>
      </c>
      <c r="J18" s="172">
        <v>700</v>
      </c>
      <c r="K18" s="171">
        <v>660.71201887718541</v>
      </c>
      <c r="L18" s="139">
        <f t="shared" si="7"/>
        <v>100.00000000000007</v>
      </c>
      <c r="N18" s="178" t="s">
        <v>76</v>
      </c>
      <c r="O18" s="163" t="s">
        <v>4</v>
      </c>
      <c r="P18" s="162">
        <v>464</v>
      </c>
      <c r="Q18" s="110">
        <f t="shared" ca="1" si="0"/>
        <v>311.12698372208104</v>
      </c>
      <c r="R18" s="110">
        <f t="shared" ca="1" si="1"/>
        <v>328.14198327304319</v>
      </c>
      <c r="S18" s="110">
        <f t="shared" ca="1" si="2"/>
        <v>92.179996538450439</v>
      </c>
      <c r="T18" s="110">
        <f t="shared" ca="1" si="3"/>
        <v>439.9404154479156</v>
      </c>
      <c r="U18" s="182">
        <f t="shared" ca="1" si="4"/>
        <v>24.059584552084402</v>
      </c>
    </row>
    <row r="19" spans="2:21" x14ac:dyDescent="0.2">
      <c r="B19" s="172">
        <v>800</v>
      </c>
      <c r="C19" s="171">
        <v>100</v>
      </c>
      <c r="D19" s="139">
        <f t="shared" si="5"/>
        <v>755.09945014535481</v>
      </c>
      <c r="F19" s="172">
        <v>800</v>
      </c>
      <c r="G19" s="171">
        <v>100</v>
      </c>
      <c r="H19" s="139">
        <f t="shared" si="6"/>
        <v>847.57047548743628</v>
      </c>
      <c r="J19" s="172">
        <v>800</v>
      </c>
      <c r="K19" s="171">
        <v>755.09945014535481</v>
      </c>
      <c r="L19" s="139">
        <f t="shared" si="7"/>
        <v>100.00000000000007</v>
      </c>
      <c r="N19" s="178" t="s">
        <v>5</v>
      </c>
      <c r="O19" s="163" t="s">
        <v>70</v>
      </c>
      <c r="P19" s="162">
        <v>406</v>
      </c>
      <c r="Q19" s="110">
        <f t="shared" ca="1" si="0"/>
        <v>350.01785668734118</v>
      </c>
      <c r="R19" s="110">
        <f t="shared" ca="1" si="1"/>
        <v>369.15973118217357</v>
      </c>
      <c r="S19" s="110">
        <f t="shared" ca="1" si="2"/>
        <v>92.179996538450069</v>
      </c>
      <c r="T19" s="110">
        <f t="shared" ca="1" si="3"/>
        <v>384.94786351692619</v>
      </c>
      <c r="U19" s="182">
        <f t="shared" ca="1" si="4"/>
        <v>21.052136483073809</v>
      </c>
    </row>
    <row r="20" spans="2:21" x14ac:dyDescent="0.2">
      <c r="B20" s="172">
        <v>900</v>
      </c>
      <c r="C20" s="171">
        <v>100</v>
      </c>
      <c r="D20" s="139">
        <f t="shared" si="5"/>
        <v>849.48688141352409</v>
      </c>
      <c r="F20" s="172">
        <v>900</v>
      </c>
      <c r="G20" s="171">
        <v>100</v>
      </c>
      <c r="H20" s="139">
        <f t="shared" si="6"/>
        <v>953.51678492336578</v>
      </c>
      <c r="J20" s="172">
        <v>900</v>
      </c>
      <c r="K20" s="171">
        <v>849.48688141352409</v>
      </c>
      <c r="L20" s="139">
        <f t="shared" si="7"/>
        <v>100.00000000000007</v>
      </c>
      <c r="N20" s="178" t="s">
        <v>6</v>
      </c>
      <c r="O20" s="163" t="s">
        <v>72</v>
      </c>
      <c r="P20" s="162">
        <v>371</v>
      </c>
      <c r="Q20" s="110">
        <f t="shared" ca="1" si="0"/>
        <v>393.77008877325864</v>
      </c>
      <c r="R20" s="110">
        <f t="shared" ca="1" si="1"/>
        <v>414.83597829610801</v>
      </c>
      <c r="S20" s="110">
        <f t="shared" ca="1" si="2"/>
        <v>90.224995673063432</v>
      </c>
      <c r="T20" s="110">
        <f t="shared" ca="1" si="3"/>
        <v>352.16015624999989</v>
      </c>
      <c r="U20" s="182">
        <f t="shared" ca="1" si="4"/>
        <v>18.839843750000114</v>
      </c>
    </row>
    <row r="21" spans="2:21" x14ac:dyDescent="0.2">
      <c r="B21" s="172">
        <v>1000</v>
      </c>
      <c r="C21" s="171">
        <v>100</v>
      </c>
      <c r="D21" s="139">
        <f t="shared" si="5"/>
        <v>943.87431268169348</v>
      </c>
      <c r="F21" s="172">
        <v>1000</v>
      </c>
      <c r="G21" s="171">
        <v>100</v>
      </c>
      <c r="H21" s="139">
        <f t="shared" si="6"/>
        <v>1059.4630943592954</v>
      </c>
      <c r="J21" s="172">
        <v>1000</v>
      </c>
      <c r="K21" s="171">
        <v>943.87431268169348</v>
      </c>
      <c r="L21" s="139">
        <f t="shared" si="7"/>
        <v>100.00000000000007</v>
      </c>
      <c r="N21" s="178" t="s">
        <v>73</v>
      </c>
      <c r="O21" s="163" t="s">
        <v>8</v>
      </c>
      <c r="P21" s="162">
        <v>325</v>
      </c>
      <c r="Q21" s="110">
        <f t="shared" ca="1" si="0"/>
        <v>466.69047558312155</v>
      </c>
      <c r="R21" s="110">
        <f t="shared" ca="1" si="1"/>
        <v>492.21297490956476</v>
      </c>
      <c r="S21" s="110">
        <f t="shared" ca="1" si="2"/>
        <v>92.179996538450069</v>
      </c>
      <c r="T21" s="110">
        <f t="shared" ca="1" si="3"/>
        <v>308.1479203029582</v>
      </c>
      <c r="U21" s="182">
        <f t="shared" ca="1" si="4"/>
        <v>16.852079697041802</v>
      </c>
    </row>
    <row r="22" spans="2:21" x14ac:dyDescent="0.2">
      <c r="B22" s="173">
        <v>1100</v>
      </c>
      <c r="C22" s="174">
        <v>100</v>
      </c>
      <c r="D22" s="142">
        <f t="shared" si="5"/>
        <v>1038.2617439498629</v>
      </c>
      <c r="F22" s="173">
        <v>1100</v>
      </c>
      <c r="G22" s="174">
        <v>100</v>
      </c>
      <c r="H22" s="142">
        <f t="shared" si="6"/>
        <v>1165.4094037952248</v>
      </c>
      <c r="J22" s="173">
        <v>1100</v>
      </c>
      <c r="K22" s="174">
        <v>1038.2617439498629</v>
      </c>
      <c r="L22" s="142">
        <f t="shared" si="7"/>
        <v>100.00000000000007</v>
      </c>
      <c r="N22" s="178" t="s">
        <v>2</v>
      </c>
      <c r="O22" s="163" t="s">
        <v>74</v>
      </c>
      <c r="P22" s="162">
        <v>294</v>
      </c>
      <c r="Q22" s="110">
        <f t="shared" ca="1" si="0"/>
        <v>262.51339251550576</v>
      </c>
      <c r="R22" s="110">
        <f t="shared" ca="1" si="1"/>
        <v>276.55731886407199</v>
      </c>
      <c r="S22" s="110">
        <f t="shared" ca="1" si="2"/>
        <v>90.224995673063432</v>
      </c>
      <c r="T22" s="110">
        <f t="shared" ca="1" si="3"/>
        <v>279.07031249999994</v>
      </c>
      <c r="U22" s="182">
        <f t="shared" ca="1" si="4"/>
        <v>14.929687500000057</v>
      </c>
    </row>
    <row r="23" spans="2:21" x14ac:dyDescent="0.2">
      <c r="N23" s="178" t="s">
        <v>3</v>
      </c>
      <c r="O23" s="163" t="s">
        <v>76</v>
      </c>
      <c r="P23" s="162">
        <v>265</v>
      </c>
      <c r="Q23" s="110">
        <f t="shared" ca="1" si="0"/>
        <v>295.327566579944</v>
      </c>
      <c r="R23" s="110">
        <f t="shared" ca="1" si="1"/>
        <v>311.12698372208104</v>
      </c>
      <c r="S23" s="110">
        <f t="shared" ca="1" si="2"/>
        <v>90.224995673063432</v>
      </c>
      <c r="T23" s="110">
        <f t="shared" ca="1" si="3"/>
        <v>251.54296874999991</v>
      </c>
      <c r="U23" s="182">
        <f t="shared" ca="1" si="4"/>
        <v>13.457031250000085</v>
      </c>
    </row>
    <row r="24" spans="2:21" x14ac:dyDescent="0.2">
      <c r="N24" s="178" t="s">
        <v>4</v>
      </c>
      <c r="O24" s="163" t="s">
        <v>5</v>
      </c>
      <c r="P24" s="162">
        <v>242</v>
      </c>
      <c r="Q24" s="110">
        <f t="shared" ca="1" si="0"/>
        <v>328.14198327304319</v>
      </c>
      <c r="R24" s="110">
        <f t="shared" ca="1" si="1"/>
        <v>350.01785668734118</v>
      </c>
      <c r="S24" s="110">
        <f t="shared" ca="1" si="2"/>
        <v>111.73000519232453</v>
      </c>
      <c r="T24" s="110">
        <f t="shared" ca="1" si="3"/>
        <v>226.87516775182982</v>
      </c>
      <c r="U24" s="182">
        <f t="shared" ca="1" si="4"/>
        <v>15.124832248170179</v>
      </c>
    </row>
    <row r="25" spans="2:21" x14ac:dyDescent="0.2">
      <c r="N25" s="178" t="s">
        <v>70</v>
      </c>
      <c r="O25" s="163" t="s">
        <v>6</v>
      </c>
      <c r="P25" s="162">
        <v>215</v>
      </c>
      <c r="Q25" s="110">
        <f t="shared" ca="1" si="0"/>
        <v>369.15973118217357</v>
      </c>
      <c r="R25" s="110">
        <f t="shared" ca="1" si="1"/>
        <v>393.77008877325864</v>
      </c>
      <c r="S25" s="110">
        <f t="shared" ca="1" si="2"/>
        <v>111.73000519232379</v>
      </c>
      <c r="T25" s="110">
        <f t="shared" ca="1" si="3"/>
        <v>201.56264903571665</v>
      </c>
      <c r="U25" s="182">
        <f t="shared" ca="1" si="4"/>
        <v>13.437350964283354</v>
      </c>
    </row>
    <row r="26" spans="2:21" x14ac:dyDescent="0.2">
      <c r="N26" s="178" t="s">
        <v>72</v>
      </c>
      <c r="O26" s="163" t="s">
        <v>7</v>
      </c>
      <c r="P26" s="162">
        <v>192</v>
      </c>
      <c r="Q26" s="110">
        <f t="shared" ca="1" si="0"/>
        <v>414.83597829610801</v>
      </c>
      <c r="R26" s="110">
        <f t="shared" ca="1" si="1"/>
        <v>440.00000000000011</v>
      </c>
      <c r="S26" s="110">
        <f t="shared" ca="1" si="2"/>
        <v>101.95500086538728</v>
      </c>
      <c r="T26" s="110">
        <f t="shared" ca="1" si="3"/>
        <v>181.01933598375618</v>
      </c>
      <c r="U26" s="182">
        <f t="shared" ca="1" si="4"/>
        <v>10.980664016243821</v>
      </c>
    </row>
    <row r="27" spans="2:21" x14ac:dyDescent="0.2">
      <c r="I27" s="170"/>
      <c r="N27" s="179" t="s">
        <v>73</v>
      </c>
      <c r="O27" s="180" t="s">
        <v>8</v>
      </c>
      <c r="P27" s="169">
        <v>172</v>
      </c>
      <c r="Q27" s="141">
        <f t="shared" ca="1" si="0"/>
        <v>466.69047558312155</v>
      </c>
      <c r="R27" s="141">
        <f t="shared" ca="1" si="1"/>
        <v>492.21297490956476</v>
      </c>
      <c r="S27" s="141">
        <f t="shared" ca="1" si="2"/>
        <v>92.179996538450069</v>
      </c>
      <c r="T27" s="141">
        <f t="shared" ca="1" si="3"/>
        <v>163.08136089879633</v>
      </c>
      <c r="U27" s="183">
        <f t="shared" ca="1" si="4"/>
        <v>8.9186391012036665</v>
      </c>
    </row>
    <row r="28" spans="2:21" x14ac:dyDescent="0.2">
      <c r="I28" s="170"/>
      <c r="K28" s="119"/>
      <c r="N28" s="117"/>
      <c r="O28" s="117"/>
    </row>
    <row r="29" spans="2:21" x14ac:dyDescent="0.2">
      <c r="I29" s="170"/>
      <c r="Q29" s="278"/>
      <c r="R29" s="278"/>
      <c r="S29" s="278"/>
    </row>
    <row r="30" spans="2:21" x14ac:dyDescent="0.2">
      <c r="I30" s="170"/>
    </row>
    <row r="31" spans="2:21" x14ac:dyDescent="0.2">
      <c r="I31" s="170"/>
    </row>
    <row r="33" spans="9:9" x14ac:dyDescent="0.2">
      <c r="I33" s="170"/>
    </row>
    <row r="34" spans="9:9" x14ac:dyDescent="0.2">
      <c r="I34" s="170"/>
    </row>
    <row r="35" spans="9:9" x14ac:dyDescent="0.2">
      <c r="I35" s="170"/>
    </row>
    <row r="36" spans="9:9" x14ac:dyDescent="0.2">
      <c r="I36" s="170"/>
    </row>
  </sheetData>
  <sheetProtection sheet="1" scenarios="1" formatCells="0"/>
  <mergeCells count="11">
    <mergeCell ref="B1:D1"/>
    <mergeCell ref="Q7:U7"/>
    <mergeCell ref="N3:U6"/>
    <mergeCell ref="Q29:S29"/>
    <mergeCell ref="O7:P7"/>
    <mergeCell ref="F10:H10"/>
    <mergeCell ref="B10:D10"/>
    <mergeCell ref="J10:L10"/>
    <mergeCell ref="B9:D9"/>
    <mergeCell ref="F9:H9"/>
    <mergeCell ref="J9:L9"/>
  </mergeCells>
  <conditionalFormatting sqref="B1:B6 A7 E7:Q7 V7:XFD7 A8:XFD25 A26 C26:XFD26 A27:XFD29 A30 C30:XFD30 A31:XFD1048576">
    <cfRule type="expression" dxfId="141" priority="1">
      <formula>CELL("protect",A1)=0</formula>
    </cfRule>
  </conditionalFormatting>
  <conditionalFormatting sqref="B1:B6">
    <cfRule type="expression" dxfId="140" priority="4">
      <formula>_xlfn.ISFORMULA(B1)</formula>
    </cfRule>
  </conditionalFormatting>
  <conditionalFormatting sqref="C17:C22">
    <cfRule type="expression" dxfId="139" priority="3">
      <formula>_xlfn.ISFORMULA(C17)</formula>
    </cfRule>
  </conditionalFormatting>
  <conditionalFormatting sqref="E7:O7 V7:XFD7 A8:XFD8 M9:XFD9 B9:B10 E9:F10 I9:J10 M10:S10 Q10:XFD28 B11:S11 B12:E15 F12:G16 J12:J16 H12:I22 K12:S22 B16:C16 E16 D16:D22 H23:S28 H29:H31 J29:XFD31 H32:XFD33 H34:H36 J34:XFD36 H37:XFD38 H39:K40 L39:XFD41 B41:K41 A42:XFD1048576">
    <cfRule type="expression" dxfId="138" priority="7">
      <formula>_xlfn.ISFORMULA(A7)</formula>
    </cfRule>
  </conditionalFormatting>
  <conditionalFormatting sqref="G17:G22">
    <cfRule type="expression" dxfId="137" priority="2">
      <formula>_xlfn.ISFORMULA(G17)</formula>
    </cfRule>
  </conditionalFormatting>
  <conditionalFormatting sqref="Q7 N8:S28 Q29">
    <cfRule type="expression" dxfId="136" priority="5">
      <formula>_xlfn.ISFORMULA(N7)</formula>
    </cfRule>
  </conditionalFormatting>
  <hyperlinks>
    <hyperlink ref="B3" location="Overview!A1" display="Back to Overview" xr:uid="{53369DBC-27AB-D141-A1E6-B33D300E5322}"/>
  </hyperlinks>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767F7-D3BD-D647-A434-A5B4C5A5DEED}">
  <sheetPr codeName="Sheet27">
    <tabColor theme="8" tint="0.59999389629810485"/>
  </sheetPr>
  <dimension ref="B1:Z63"/>
  <sheetViews>
    <sheetView zoomScale="97" workbookViewId="0"/>
  </sheetViews>
  <sheetFormatPr baseColWidth="10" defaultColWidth="12" defaultRowHeight="15" x14ac:dyDescent="0.2"/>
  <cols>
    <col min="1" max="1" width="2.83203125" style="4" customWidth="1"/>
    <col min="2" max="16384" width="12" style="4"/>
  </cols>
  <sheetData>
    <row r="1" spans="2:22" ht="18" x14ac:dyDescent="0.2">
      <c r="B1" s="289" t="s">
        <v>147</v>
      </c>
      <c r="C1" s="289"/>
      <c r="D1" s="289"/>
      <c r="F1" s="79"/>
      <c r="G1" s="79"/>
      <c r="L1" s="134"/>
    </row>
    <row r="2" spans="2:22" ht="48" x14ac:dyDescent="0.2">
      <c r="C2" s="70"/>
      <c r="D2" s="154" t="s">
        <v>84</v>
      </c>
      <c r="E2" s="72" t="str">
        <f>D2</f>
        <v>Pythagorean Comma</v>
      </c>
      <c r="F2" s="72" t="str">
        <f>_xlfn.CONCAT("1/",D3," ",D2)</f>
        <v>1/1 Pythagorean Comma</v>
      </c>
      <c r="G2" s="102"/>
      <c r="H2" s="103"/>
      <c r="I2" s="70"/>
      <c r="J2" s="103"/>
      <c r="K2" s="70"/>
    </row>
    <row r="3" spans="2:22" x14ac:dyDescent="0.2">
      <c r="C3" s="74" t="s">
        <v>125</v>
      </c>
      <c r="D3" s="155">
        <v>1</v>
      </c>
      <c r="E3" s="1">
        <f>IF(D2="Pythagorean Comma",524288/531441,IF(D2="Syntonic Comma",80/81,IF(D2="Cents",1/POWER(2,1/1200),"Not in List")))</f>
        <v>0.98654036854514426</v>
      </c>
      <c r="F3" s="132">
        <f>POWER(E3,1/D3)</f>
        <v>0.98654036854514426</v>
      </c>
    </row>
    <row r="4" spans="2:22" ht="16" x14ac:dyDescent="0.2">
      <c r="B4" s="80" t="s">
        <v>63</v>
      </c>
      <c r="L4" s="134"/>
    </row>
    <row r="5" spans="2:22" ht="16" x14ac:dyDescent="0.2">
      <c r="B5" s="80"/>
      <c r="L5" s="134"/>
    </row>
    <row r="6" spans="2:22" ht="18" x14ac:dyDescent="0.2">
      <c r="B6" s="310" t="s">
        <v>148</v>
      </c>
      <c r="C6" s="311"/>
      <c r="D6" s="311"/>
      <c r="E6" s="311"/>
      <c r="F6" s="312"/>
      <c r="I6" s="310" t="s">
        <v>149</v>
      </c>
      <c r="J6" s="311"/>
      <c r="K6" s="311"/>
      <c r="L6" s="311"/>
      <c r="M6" s="311"/>
      <c r="N6" s="311"/>
      <c r="O6" s="312"/>
      <c r="Q6" s="310" t="s">
        <v>129</v>
      </c>
      <c r="R6" s="311"/>
      <c r="S6" s="311"/>
      <c r="T6" s="311"/>
      <c r="U6" s="311"/>
      <c r="V6" s="312"/>
    </row>
    <row r="7" spans="2:22" s="74" customFormat="1" ht="48" x14ac:dyDescent="0.2">
      <c r="B7" s="135" t="s">
        <v>0</v>
      </c>
      <c r="C7" s="136" t="s">
        <v>30</v>
      </c>
      <c r="D7" s="136" t="s">
        <v>527</v>
      </c>
      <c r="E7" s="136" t="s">
        <v>31</v>
      </c>
      <c r="F7" s="137" t="s">
        <v>1</v>
      </c>
      <c r="I7" s="135" t="s">
        <v>0</v>
      </c>
      <c r="J7" s="138" t="s">
        <v>31</v>
      </c>
      <c r="K7" s="136" t="s">
        <v>32</v>
      </c>
      <c r="L7" s="136" t="s">
        <v>33</v>
      </c>
      <c r="M7" s="136" t="s">
        <v>34</v>
      </c>
      <c r="N7" s="138" t="s">
        <v>35</v>
      </c>
      <c r="O7" s="137" t="s">
        <v>36</v>
      </c>
      <c r="Q7" s="83" t="s">
        <v>89</v>
      </c>
      <c r="R7" s="84" t="s">
        <v>136</v>
      </c>
      <c r="S7" s="84" t="s">
        <v>90</v>
      </c>
      <c r="T7" s="84" t="s">
        <v>88</v>
      </c>
      <c r="U7" s="84" t="s">
        <v>32</v>
      </c>
      <c r="V7" s="52" t="s">
        <v>91</v>
      </c>
    </row>
    <row r="8" spans="2:22" x14ac:dyDescent="0.2">
      <c r="B8" s="107" t="s">
        <v>2</v>
      </c>
      <c r="C8" s="97">
        <v>1</v>
      </c>
      <c r="D8" s="97">
        <v>1</v>
      </c>
      <c r="E8" s="156">
        <v>120</v>
      </c>
      <c r="F8" s="47">
        <f t="shared" ref="F8:F20" si="0">$F$22*$E$22/E8</f>
        <v>264</v>
      </c>
      <c r="I8" s="107" t="s">
        <v>2</v>
      </c>
      <c r="J8" s="4">
        <f>VLOOKUP(I8,$B$8:$F$29,4,FALSE)</f>
        <v>120</v>
      </c>
      <c r="K8" s="4">
        <f>VLOOKUP(I8,$B$8:$F$29,5,FALSE)</f>
        <v>264</v>
      </c>
      <c r="L8" s="4">
        <f t="shared" ref="L8:L20" si="1">LOG(K8/$K$8,2)*1200</f>
        <v>0</v>
      </c>
      <c r="M8" s="4">
        <f t="shared" ref="M8:M20" si="2">LOG(J8/$J$8,2)*1200</f>
        <v>0</v>
      </c>
      <c r="N8" s="4">
        <f t="shared" ref="N8:N20" si="3">K8/$K$8</f>
        <v>1</v>
      </c>
      <c r="O8" s="47"/>
      <c r="Q8" s="107" t="s">
        <v>2</v>
      </c>
      <c r="R8" s="4">
        <f>F8</f>
        <v>264</v>
      </c>
      <c r="S8" s="4">
        <f>LOG(K8/R8,2)*1200</f>
        <v>0</v>
      </c>
      <c r="T8" s="81" t="s">
        <v>2</v>
      </c>
      <c r="U8" s="4">
        <f t="shared" ref="U8:U20" si="4">VLOOKUP(T8,Master_Frequencies,2,FALSE)</f>
        <v>264</v>
      </c>
      <c r="V8" s="47">
        <f>VLOOKUP(T8,$Q$7:$S$20,3,FALSE)</f>
        <v>0</v>
      </c>
    </row>
    <row r="9" spans="2:22" x14ac:dyDescent="0.2">
      <c r="B9" s="107" t="s">
        <v>74</v>
      </c>
      <c r="C9" s="97">
        <v>24</v>
      </c>
      <c r="D9" s="97">
        <v>25</v>
      </c>
      <c r="E9" s="4">
        <f>$E$8*C9/D9</f>
        <v>115.2</v>
      </c>
      <c r="F9" s="47">
        <f t="shared" si="0"/>
        <v>275</v>
      </c>
      <c r="I9" s="107" t="s">
        <v>74</v>
      </c>
      <c r="J9" s="4">
        <f t="shared" ref="J9:J20" si="5">VLOOKUP(I9,$B$8:$F$29,4,FALSE)</f>
        <v>115.2</v>
      </c>
      <c r="K9" s="4">
        <f t="shared" ref="K9:K20" si="6">VLOOKUP(I9,$B$8:$F$29,5,FALSE)</f>
        <v>275</v>
      </c>
      <c r="L9" s="4">
        <f t="shared" si="1"/>
        <v>70.672426864282343</v>
      </c>
      <c r="M9" s="4">
        <f t="shared" si="2"/>
        <v>-70.672426864282073</v>
      </c>
      <c r="N9" s="4">
        <f t="shared" si="3"/>
        <v>1.0416666666666667</v>
      </c>
      <c r="O9" s="47">
        <f t="shared" ref="O9:O20" si="7">LOG(K9/K8,2)*1200</f>
        <v>70.672426864282343</v>
      </c>
      <c r="Q9" s="107" t="s">
        <v>74</v>
      </c>
      <c r="R9" s="4">
        <f>R8*POWER($R$8*2/$R$8,1/12)</f>
        <v>279.69825691085396</v>
      </c>
      <c r="S9" s="4">
        <f t="shared" ref="S9:S20" si="8">LOG(K9/R9,2)*1200</f>
        <v>-29.32757313571782</v>
      </c>
      <c r="T9" s="81" t="s">
        <v>6</v>
      </c>
      <c r="U9" s="4">
        <f t="shared" si="4"/>
        <v>396</v>
      </c>
      <c r="V9" s="47">
        <f t="shared" ref="V9:V20" si="9">VLOOKUP(T9,$Q$7:$S$20,3,FALSE)</f>
        <v>1.9550008653868458</v>
      </c>
    </row>
    <row r="10" spans="2:22" x14ac:dyDescent="0.2">
      <c r="B10" s="107" t="s">
        <v>75</v>
      </c>
      <c r="C10" s="97">
        <v>15</v>
      </c>
      <c r="D10" s="97">
        <v>16</v>
      </c>
      <c r="E10" s="4">
        <f t="shared" ref="E10:E29" si="10">$E$8*C10/D10</f>
        <v>112.5</v>
      </c>
      <c r="F10" s="47">
        <f t="shared" si="0"/>
        <v>281.60000000000002</v>
      </c>
      <c r="I10" s="107" t="s">
        <v>3</v>
      </c>
      <c r="J10" s="4">
        <f t="shared" si="5"/>
        <v>106.66666666666667</v>
      </c>
      <c r="K10" s="4">
        <f t="shared" si="6"/>
        <v>297</v>
      </c>
      <c r="L10" s="4">
        <f t="shared" si="1"/>
        <v>203.91000173077484</v>
      </c>
      <c r="M10" s="4">
        <f t="shared" si="2"/>
        <v>-203.91000173077472</v>
      </c>
      <c r="N10" s="4">
        <f t="shared" si="3"/>
        <v>1.125</v>
      </c>
      <c r="O10" s="47">
        <f t="shared" si="7"/>
        <v>133.23757486649274</v>
      </c>
      <c r="Q10" s="107" t="s">
        <v>3</v>
      </c>
      <c r="R10" s="4">
        <f t="shared" ref="R10:R19" si="11">R9*POWER($R$8*2/$R$8,1/12)</f>
        <v>296.32998075367448</v>
      </c>
      <c r="S10" s="4">
        <f t="shared" si="8"/>
        <v>3.9100017307747521</v>
      </c>
      <c r="T10" s="81" t="s">
        <v>3</v>
      </c>
      <c r="U10" s="4">
        <f t="shared" si="4"/>
        <v>297</v>
      </c>
      <c r="V10" s="47">
        <f t="shared" si="9"/>
        <v>3.9100017307747521</v>
      </c>
    </row>
    <row r="11" spans="2:22" x14ac:dyDescent="0.2">
      <c r="B11" s="107" t="s">
        <v>37</v>
      </c>
      <c r="C11" s="97">
        <v>9</v>
      </c>
      <c r="D11" s="97">
        <v>10</v>
      </c>
      <c r="E11" s="4">
        <f t="shared" si="10"/>
        <v>108</v>
      </c>
      <c r="F11" s="47">
        <f t="shared" si="0"/>
        <v>293.33333333333331</v>
      </c>
      <c r="I11" s="107" t="s">
        <v>76</v>
      </c>
      <c r="J11" s="4">
        <f t="shared" si="5"/>
        <v>102.4</v>
      </c>
      <c r="K11" s="4">
        <f t="shared" si="6"/>
        <v>309.375</v>
      </c>
      <c r="L11" s="4">
        <f t="shared" si="1"/>
        <v>274.58242859505702</v>
      </c>
      <c r="M11" s="4">
        <f t="shared" si="2"/>
        <v>-274.58242859505697</v>
      </c>
      <c r="N11" s="4">
        <f t="shared" si="3"/>
        <v>1.171875</v>
      </c>
      <c r="O11" s="47">
        <f t="shared" si="7"/>
        <v>70.672426864282343</v>
      </c>
      <c r="Q11" s="107" t="s">
        <v>76</v>
      </c>
      <c r="R11" s="4">
        <f t="shared" si="11"/>
        <v>313.95067836071837</v>
      </c>
      <c r="S11" s="4">
        <f t="shared" si="8"/>
        <v>-25.417571404942983</v>
      </c>
      <c r="T11" s="81" t="s">
        <v>7</v>
      </c>
      <c r="U11" s="4">
        <f t="shared" si="4"/>
        <v>440</v>
      </c>
      <c r="V11" s="47">
        <f t="shared" si="9"/>
        <v>-15.64128700055311</v>
      </c>
    </row>
    <row r="12" spans="2:22" x14ac:dyDescent="0.2">
      <c r="B12" s="107" t="s">
        <v>3</v>
      </c>
      <c r="C12" s="97">
        <v>8</v>
      </c>
      <c r="D12" s="97">
        <v>9</v>
      </c>
      <c r="E12" s="4">
        <f t="shared" si="10"/>
        <v>106.66666666666667</v>
      </c>
      <c r="F12" s="47">
        <f t="shared" si="0"/>
        <v>297</v>
      </c>
      <c r="I12" s="107" t="s">
        <v>4</v>
      </c>
      <c r="J12" s="4">
        <f t="shared" si="5"/>
        <v>96</v>
      </c>
      <c r="K12" s="4">
        <f t="shared" si="6"/>
        <v>330</v>
      </c>
      <c r="L12" s="4">
        <f t="shared" si="1"/>
        <v>386.31371386483482</v>
      </c>
      <c r="M12" s="4">
        <f t="shared" si="2"/>
        <v>-386.31371386483477</v>
      </c>
      <c r="N12" s="4">
        <f t="shared" si="3"/>
        <v>1.25</v>
      </c>
      <c r="O12" s="47">
        <f t="shared" si="7"/>
        <v>111.73128526977776</v>
      </c>
      <c r="Q12" s="107" t="s">
        <v>4</v>
      </c>
      <c r="R12" s="4">
        <f t="shared" si="11"/>
        <v>332.61915717224656</v>
      </c>
      <c r="S12" s="4">
        <f t="shared" si="8"/>
        <v>-13.686286135165501</v>
      </c>
      <c r="T12" s="81" t="s">
        <v>4</v>
      </c>
      <c r="U12" s="4">
        <f t="shared" si="4"/>
        <v>330</v>
      </c>
      <c r="V12" s="47">
        <f t="shared" si="9"/>
        <v>-13.686286135165501</v>
      </c>
    </row>
    <row r="13" spans="2:22" x14ac:dyDescent="0.2">
      <c r="B13" s="107" t="s">
        <v>76</v>
      </c>
      <c r="C13" s="97">
        <v>64</v>
      </c>
      <c r="D13" s="97">
        <v>75</v>
      </c>
      <c r="E13" s="4">
        <f t="shared" si="10"/>
        <v>102.4</v>
      </c>
      <c r="F13" s="47">
        <f t="shared" si="0"/>
        <v>309.375</v>
      </c>
      <c r="I13" s="107" t="s">
        <v>5</v>
      </c>
      <c r="J13" s="4">
        <f t="shared" si="5"/>
        <v>90</v>
      </c>
      <c r="K13" s="4">
        <f t="shared" si="6"/>
        <v>352</v>
      </c>
      <c r="L13" s="4">
        <f t="shared" si="1"/>
        <v>498.04499913461245</v>
      </c>
      <c r="M13" s="4">
        <f t="shared" si="2"/>
        <v>-498.04499913461257</v>
      </c>
      <c r="N13" s="4">
        <f t="shared" si="3"/>
        <v>1.3333333333333333</v>
      </c>
      <c r="O13" s="47">
        <f t="shared" si="7"/>
        <v>111.73128526977776</v>
      </c>
      <c r="Q13" s="107" t="s">
        <v>5</v>
      </c>
      <c r="R13" s="4">
        <f t="shared" si="11"/>
        <v>352.39772150088913</v>
      </c>
      <c r="S13" s="4">
        <f t="shared" si="8"/>
        <v>-1.9550008653877775</v>
      </c>
      <c r="T13" s="81" t="s">
        <v>8</v>
      </c>
      <c r="U13" s="4">
        <f t="shared" si="4"/>
        <v>495</v>
      </c>
      <c r="V13" s="47">
        <f t="shared" si="9"/>
        <v>-11.731285269778395</v>
      </c>
    </row>
    <row r="14" spans="2:22" x14ac:dyDescent="0.2">
      <c r="B14" s="107" t="s">
        <v>38</v>
      </c>
      <c r="C14" s="97">
        <v>5</v>
      </c>
      <c r="D14" s="97">
        <v>6</v>
      </c>
      <c r="E14" s="4">
        <f t="shared" si="10"/>
        <v>100</v>
      </c>
      <c r="F14" s="47">
        <f t="shared" si="0"/>
        <v>316.8</v>
      </c>
      <c r="I14" s="107" t="s">
        <v>70</v>
      </c>
      <c r="J14" s="4">
        <f t="shared" si="5"/>
        <v>85.333333333333329</v>
      </c>
      <c r="K14" s="4">
        <f t="shared" si="6"/>
        <v>371.25</v>
      </c>
      <c r="L14" s="4">
        <f t="shared" si="1"/>
        <v>590.22371559560963</v>
      </c>
      <c r="M14" s="4">
        <f t="shared" si="2"/>
        <v>-590.22371559560986</v>
      </c>
      <c r="N14" s="4">
        <f t="shared" si="3"/>
        <v>1.40625</v>
      </c>
      <c r="O14" s="47">
        <f t="shared" si="7"/>
        <v>92.17871646099708</v>
      </c>
      <c r="Q14" s="107" t="s">
        <v>70</v>
      </c>
      <c r="R14" s="4">
        <f t="shared" si="11"/>
        <v>373.35238046649715</v>
      </c>
      <c r="S14" s="4">
        <f t="shared" si="8"/>
        <v>-9.7762844043906689</v>
      </c>
      <c r="T14" s="81" t="s">
        <v>70</v>
      </c>
      <c r="U14" s="4">
        <f t="shared" si="4"/>
        <v>371.25</v>
      </c>
      <c r="V14" s="47">
        <f t="shared" si="9"/>
        <v>-9.7762844043906689</v>
      </c>
    </row>
    <row r="15" spans="2:22" x14ac:dyDescent="0.2">
      <c r="B15" s="107" t="s">
        <v>4</v>
      </c>
      <c r="C15" s="97">
        <v>4</v>
      </c>
      <c r="D15" s="97">
        <v>5</v>
      </c>
      <c r="E15" s="4">
        <f t="shared" si="10"/>
        <v>96</v>
      </c>
      <c r="F15" s="47">
        <f t="shared" si="0"/>
        <v>330</v>
      </c>
      <c r="I15" s="107" t="s">
        <v>6</v>
      </c>
      <c r="J15" s="4">
        <f t="shared" si="5"/>
        <v>80</v>
      </c>
      <c r="K15" s="4">
        <f t="shared" si="6"/>
        <v>396</v>
      </c>
      <c r="L15" s="4">
        <f t="shared" si="1"/>
        <v>701.95500086538743</v>
      </c>
      <c r="M15" s="4">
        <f t="shared" si="2"/>
        <v>-701.95500086538755</v>
      </c>
      <c r="N15" s="4">
        <f t="shared" si="3"/>
        <v>1.5</v>
      </c>
      <c r="O15" s="47">
        <f t="shared" si="7"/>
        <v>111.73128526977776</v>
      </c>
      <c r="Q15" s="107" t="s">
        <v>6</v>
      </c>
      <c r="R15" s="4">
        <f t="shared" si="11"/>
        <v>395.55306829544401</v>
      </c>
      <c r="S15" s="4">
        <f t="shared" si="8"/>
        <v>1.9550008653868458</v>
      </c>
      <c r="T15" s="81" t="s">
        <v>74</v>
      </c>
      <c r="U15" s="4">
        <f t="shared" si="4"/>
        <v>275</v>
      </c>
      <c r="V15" s="47">
        <f t="shared" si="9"/>
        <v>-29.32757313571782</v>
      </c>
    </row>
    <row r="16" spans="2:22" x14ac:dyDescent="0.2">
      <c r="B16" s="107" t="s">
        <v>5</v>
      </c>
      <c r="C16" s="97">
        <v>3</v>
      </c>
      <c r="D16" s="97">
        <v>4</v>
      </c>
      <c r="E16" s="4">
        <f t="shared" si="10"/>
        <v>90</v>
      </c>
      <c r="F16" s="47">
        <f t="shared" si="0"/>
        <v>352</v>
      </c>
      <c r="I16" s="107" t="s">
        <v>72</v>
      </c>
      <c r="J16" s="4">
        <f t="shared" si="5"/>
        <v>76.8</v>
      </c>
      <c r="K16" s="4">
        <f t="shared" si="6"/>
        <v>412.5</v>
      </c>
      <c r="L16" s="4">
        <f t="shared" si="1"/>
        <v>772.62742772966965</v>
      </c>
      <c r="M16" s="4">
        <f t="shared" si="2"/>
        <v>-772.62742772966965</v>
      </c>
      <c r="N16" s="4">
        <f t="shared" si="3"/>
        <v>1.5625</v>
      </c>
      <c r="O16" s="47">
        <f t="shared" si="7"/>
        <v>70.672426864282343</v>
      </c>
      <c r="Q16" s="107" t="s">
        <v>72</v>
      </c>
      <c r="R16" s="4">
        <f t="shared" si="11"/>
        <v>419.07387771960475</v>
      </c>
      <c r="S16" s="4">
        <f t="shared" si="8"/>
        <v>-27.372572270330757</v>
      </c>
      <c r="T16" s="81" t="s">
        <v>72</v>
      </c>
      <c r="U16" s="4">
        <f t="shared" si="4"/>
        <v>412.5</v>
      </c>
      <c r="V16" s="47">
        <f t="shared" si="9"/>
        <v>-27.372572270330757</v>
      </c>
    </row>
    <row r="17" spans="2:26" x14ac:dyDescent="0.2">
      <c r="B17" s="107" t="s">
        <v>71</v>
      </c>
      <c r="C17" s="97">
        <v>18</v>
      </c>
      <c r="D17" s="97">
        <v>25</v>
      </c>
      <c r="E17" s="4">
        <f t="shared" si="10"/>
        <v>86.4</v>
      </c>
      <c r="F17" s="47">
        <f t="shared" si="0"/>
        <v>366.66666666666663</v>
      </c>
      <c r="I17" s="107" t="s">
        <v>7</v>
      </c>
      <c r="J17" s="4">
        <f t="shared" si="5"/>
        <v>72</v>
      </c>
      <c r="K17" s="4">
        <f t="shared" si="6"/>
        <v>440</v>
      </c>
      <c r="L17" s="4">
        <f t="shared" si="1"/>
        <v>884.35871299944745</v>
      </c>
      <c r="M17" s="4">
        <f t="shared" si="2"/>
        <v>-884.35871299944745</v>
      </c>
      <c r="N17" s="4">
        <f t="shared" si="3"/>
        <v>1.6666666666666667</v>
      </c>
      <c r="O17" s="47">
        <f t="shared" si="7"/>
        <v>111.73128526977776</v>
      </c>
      <c r="Q17" s="107" t="s">
        <v>7</v>
      </c>
      <c r="R17" s="4">
        <f t="shared" si="11"/>
        <v>443.9933072539614</v>
      </c>
      <c r="S17" s="4">
        <f t="shared" si="8"/>
        <v>-15.64128700055311</v>
      </c>
      <c r="T17" s="81" t="s">
        <v>76</v>
      </c>
      <c r="U17" s="4">
        <f t="shared" si="4"/>
        <v>309.375</v>
      </c>
      <c r="V17" s="47">
        <f t="shared" si="9"/>
        <v>-25.417571404942983</v>
      </c>
    </row>
    <row r="18" spans="2:26" x14ac:dyDescent="0.2">
      <c r="B18" s="107" t="s">
        <v>70</v>
      </c>
      <c r="C18" s="97">
        <v>32</v>
      </c>
      <c r="D18" s="97">
        <v>45</v>
      </c>
      <c r="E18" s="4">
        <f t="shared" si="10"/>
        <v>85.333333333333329</v>
      </c>
      <c r="F18" s="47">
        <f t="shared" si="0"/>
        <v>371.25</v>
      </c>
      <c r="I18" s="107" t="s">
        <v>73</v>
      </c>
      <c r="J18" s="4">
        <f t="shared" si="5"/>
        <v>66.666666666666671</v>
      </c>
      <c r="K18" s="4">
        <f t="shared" si="6"/>
        <v>475.2</v>
      </c>
      <c r="L18" s="4">
        <f t="shared" si="1"/>
        <v>1017.5962878659401</v>
      </c>
      <c r="M18" s="4">
        <f t="shared" si="2"/>
        <v>-1017.59628786594</v>
      </c>
      <c r="N18" s="4">
        <f t="shared" si="3"/>
        <v>1.8</v>
      </c>
      <c r="O18" s="47">
        <f t="shared" si="7"/>
        <v>133.23757486649274</v>
      </c>
      <c r="Q18" s="107" t="s">
        <v>73</v>
      </c>
      <c r="R18" s="4">
        <f t="shared" si="11"/>
        <v>470.39452317809929</v>
      </c>
      <c r="S18" s="4">
        <f t="shared" si="8"/>
        <v>17.596287865939541</v>
      </c>
      <c r="T18" s="81" t="s">
        <v>73</v>
      </c>
      <c r="U18" s="4">
        <f t="shared" si="4"/>
        <v>475.2</v>
      </c>
      <c r="V18" s="47">
        <f t="shared" si="9"/>
        <v>17.596287865939541</v>
      </c>
    </row>
    <row r="19" spans="2:26" x14ac:dyDescent="0.2">
      <c r="B19" s="107" t="s">
        <v>6</v>
      </c>
      <c r="C19" s="97">
        <v>2</v>
      </c>
      <c r="D19" s="97">
        <v>3</v>
      </c>
      <c r="E19" s="4">
        <f t="shared" si="10"/>
        <v>80</v>
      </c>
      <c r="F19" s="47">
        <f t="shared" si="0"/>
        <v>396</v>
      </c>
      <c r="I19" s="107" t="s">
        <v>8</v>
      </c>
      <c r="J19" s="4">
        <f t="shared" si="5"/>
        <v>64</v>
      </c>
      <c r="K19" s="4">
        <f t="shared" si="6"/>
        <v>495</v>
      </c>
      <c r="L19" s="4">
        <f t="shared" si="1"/>
        <v>1088.2687147302222</v>
      </c>
      <c r="M19" s="4">
        <f t="shared" si="2"/>
        <v>-1088.2687147302224</v>
      </c>
      <c r="N19" s="4">
        <f t="shared" si="3"/>
        <v>1.875</v>
      </c>
      <c r="O19" s="47">
        <f t="shared" si="7"/>
        <v>70.672426864282343</v>
      </c>
      <c r="Q19" s="107" t="s">
        <v>8</v>
      </c>
      <c r="R19" s="4">
        <f t="shared" si="11"/>
        <v>498.36563709593435</v>
      </c>
      <c r="S19" s="4">
        <f t="shared" si="8"/>
        <v>-11.731285269778395</v>
      </c>
      <c r="T19" s="81" t="s">
        <v>5</v>
      </c>
      <c r="U19" s="4">
        <f t="shared" si="4"/>
        <v>352</v>
      </c>
      <c r="V19" s="47">
        <f t="shared" si="9"/>
        <v>-1.9550008653877775</v>
      </c>
    </row>
    <row r="20" spans="2:26" x14ac:dyDescent="0.2">
      <c r="B20" s="107" t="s">
        <v>72</v>
      </c>
      <c r="C20" s="97">
        <v>16</v>
      </c>
      <c r="D20" s="97">
        <v>25</v>
      </c>
      <c r="E20" s="4">
        <f t="shared" si="10"/>
        <v>76.8</v>
      </c>
      <c r="F20" s="47">
        <f t="shared" si="0"/>
        <v>412.5</v>
      </c>
      <c r="I20" s="108" t="s">
        <v>78</v>
      </c>
      <c r="J20" s="53">
        <f t="shared" si="5"/>
        <v>60</v>
      </c>
      <c r="K20" s="53">
        <f t="shared" si="6"/>
        <v>528</v>
      </c>
      <c r="L20" s="53">
        <f t="shared" si="1"/>
        <v>1200</v>
      </c>
      <c r="M20" s="53">
        <f t="shared" si="2"/>
        <v>-1200</v>
      </c>
      <c r="N20" s="53">
        <f t="shared" si="3"/>
        <v>2</v>
      </c>
      <c r="O20" s="48">
        <f t="shared" si="7"/>
        <v>111.73128526977776</v>
      </c>
      <c r="Q20" s="108" t="s">
        <v>78</v>
      </c>
      <c r="R20" s="53">
        <f>R19*POWER($R$8*2/$R$8,1/12)</f>
        <v>528.00000000000023</v>
      </c>
      <c r="S20" s="53">
        <f t="shared" si="8"/>
        <v>-7.6882236091558047E-13</v>
      </c>
      <c r="T20" s="151" t="s">
        <v>78</v>
      </c>
      <c r="U20" s="53">
        <f t="shared" si="4"/>
        <v>528</v>
      </c>
      <c r="V20" s="48">
        <f t="shared" si="9"/>
        <v>-7.6882236091558047E-13</v>
      </c>
    </row>
    <row r="21" spans="2:26" x14ac:dyDescent="0.2">
      <c r="B21" s="107" t="s">
        <v>39</v>
      </c>
      <c r="C21" s="97">
        <v>5</v>
      </c>
      <c r="D21" s="97">
        <v>8</v>
      </c>
      <c r="E21" s="4">
        <f t="shared" si="10"/>
        <v>75</v>
      </c>
      <c r="F21" s="47">
        <f>$F$22*$E$22/E21</f>
        <v>422.4</v>
      </c>
    </row>
    <row r="22" spans="2:26" x14ac:dyDescent="0.2">
      <c r="B22" s="107" t="s">
        <v>7</v>
      </c>
      <c r="C22" s="97">
        <v>3</v>
      </c>
      <c r="D22" s="97">
        <v>5</v>
      </c>
      <c r="E22" s="4">
        <f t="shared" si="10"/>
        <v>72</v>
      </c>
      <c r="F22" s="158">
        <v>440</v>
      </c>
    </row>
    <row r="23" spans="2:26" x14ac:dyDescent="0.2">
      <c r="B23" s="107" t="s">
        <v>40</v>
      </c>
      <c r="C23" s="97">
        <v>16</v>
      </c>
      <c r="D23" s="97">
        <v>27</v>
      </c>
      <c r="E23" s="4">
        <f t="shared" si="10"/>
        <v>71.111111111111114</v>
      </c>
      <c r="F23" s="47">
        <f>$F$22*$E$22/E23</f>
        <v>445.5</v>
      </c>
    </row>
    <row r="24" spans="2:26" x14ac:dyDescent="0.2">
      <c r="B24" s="107" t="s">
        <v>41</v>
      </c>
      <c r="C24" s="97">
        <v>128</v>
      </c>
      <c r="D24" s="97">
        <v>225</v>
      </c>
      <c r="E24" s="4">
        <f t="shared" si="10"/>
        <v>68.266666666666666</v>
      </c>
      <c r="F24" s="47">
        <f t="shared" ref="F24:F29" si="12">$F$22*$E$22/E24</f>
        <v>464.0625</v>
      </c>
    </row>
    <row r="25" spans="2:26" x14ac:dyDescent="0.2">
      <c r="B25" s="107" t="s">
        <v>42</v>
      </c>
      <c r="C25" s="97">
        <v>9</v>
      </c>
      <c r="D25" s="97">
        <v>16</v>
      </c>
      <c r="E25" s="4">
        <f t="shared" si="10"/>
        <v>67.5</v>
      </c>
      <c r="F25" s="47">
        <f t="shared" si="12"/>
        <v>469.33333333333331</v>
      </c>
    </row>
    <row r="26" spans="2:26" x14ac:dyDescent="0.2">
      <c r="B26" s="107" t="s">
        <v>73</v>
      </c>
      <c r="C26" s="97">
        <v>5</v>
      </c>
      <c r="D26" s="97">
        <v>9</v>
      </c>
      <c r="E26" s="4">
        <f t="shared" si="10"/>
        <v>66.666666666666671</v>
      </c>
      <c r="F26" s="47">
        <f t="shared" si="12"/>
        <v>475.2</v>
      </c>
    </row>
    <row r="27" spans="2:26" x14ac:dyDescent="0.2">
      <c r="B27" s="107" t="s">
        <v>8</v>
      </c>
      <c r="C27" s="97">
        <v>8</v>
      </c>
      <c r="D27" s="97">
        <v>15</v>
      </c>
      <c r="E27" s="4">
        <f>$E$8*C27/D27</f>
        <v>64</v>
      </c>
      <c r="F27" s="47">
        <f t="shared" si="12"/>
        <v>495</v>
      </c>
    </row>
    <row r="28" spans="2:26" x14ac:dyDescent="0.2">
      <c r="B28" s="107" t="s">
        <v>78</v>
      </c>
      <c r="C28" s="97">
        <v>1</v>
      </c>
      <c r="D28" s="97">
        <v>2</v>
      </c>
      <c r="E28" s="4">
        <f t="shared" si="10"/>
        <v>60</v>
      </c>
      <c r="F28" s="47">
        <f t="shared" si="12"/>
        <v>528</v>
      </c>
    </row>
    <row r="29" spans="2:26" x14ac:dyDescent="0.2">
      <c r="B29" s="108" t="s">
        <v>42</v>
      </c>
      <c r="C29" s="98">
        <v>6</v>
      </c>
      <c r="D29" s="98">
        <v>16</v>
      </c>
      <c r="E29" s="53">
        <f t="shared" si="10"/>
        <v>45</v>
      </c>
      <c r="F29" s="48">
        <f t="shared" si="12"/>
        <v>704</v>
      </c>
    </row>
    <row r="30" spans="2:26" ht="16" x14ac:dyDescent="0.2">
      <c r="B30" s="80" t="s">
        <v>63</v>
      </c>
    </row>
    <row r="31" spans="2:26" ht="18" x14ac:dyDescent="0.2">
      <c r="B31" s="18"/>
      <c r="J31" s="74"/>
      <c r="Q31" s="18"/>
      <c r="T31" s="18"/>
      <c r="X31" s="310" t="s">
        <v>522</v>
      </c>
      <c r="Y31" s="311"/>
      <c r="Z31" s="312"/>
    </row>
    <row r="32" spans="2:26" ht="18" x14ac:dyDescent="0.2">
      <c r="B32" s="310" t="s">
        <v>135</v>
      </c>
      <c r="C32" s="311"/>
      <c r="D32" s="311"/>
      <c r="E32" s="129">
        <f>1200*LOG(5/4,2)</f>
        <v>386.31371386483482</v>
      </c>
      <c r="F32" s="143" t="s">
        <v>16</v>
      </c>
      <c r="G32" s="144"/>
      <c r="H32" s="69"/>
      <c r="I32" s="310" t="s">
        <v>133</v>
      </c>
      <c r="J32" s="311"/>
      <c r="K32" s="311"/>
      <c r="L32" s="311"/>
      <c r="M32" s="311"/>
      <c r="N32" s="311"/>
      <c r="O32" s="312"/>
      <c r="Q32" s="310" t="s">
        <v>134</v>
      </c>
      <c r="R32" s="311"/>
      <c r="S32" s="311"/>
      <c r="T32" s="311"/>
      <c r="U32" s="311"/>
      <c r="V32" s="312"/>
      <c r="X32" s="51"/>
      <c r="Y32" s="89" t="s">
        <v>96</v>
      </c>
      <c r="Z32" s="159">
        <v>1</v>
      </c>
    </row>
    <row r="33" spans="2:26" s="84" customFormat="1" ht="48" x14ac:dyDescent="0.2">
      <c r="B33" s="83" t="s">
        <v>130</v>
      </c>
      <c r="C33" s="84" t="s">
        <v>131</v>
      </c>
      <c r="D33" s="84" t="s">
        <v>132</v>
      </c>
      <c r="E33" s="84" t="str" cm="1">
        <f t="array" aca="1" ref="E33" ca="1">_xlfn.CONCAT(_xlfn.TEXTAFTER(CELL("filename",A8),"]")," Interval in cents")</f>
        <v>Monochord Interval in cents</v>
      </c>
      <c r="F33" s="84" t="s">
        <v>18</v>
      </c>
      <c r="G33" s="52" t="str">
        <f>_xlfn.CONCAT("diff ",$F$2)</f>
        <v>diff 1/1 Pythagorean Comma</v>
      </c>
      <c r="I33" s="123" t="s">
        <v>130</v>
      </c>
      <c r="J33" s="84" t="s">
        <v>521</v>
      </c>
      <c r="K33" s="84" t="s">
        <v>132</v>
      </c>
      <c r="L33" s="146" t="s">
        <v>19</v>
      </c>
      <c r="M33" s="84" t="s">
        <v>130</v>
      </c>
      <c r="N33" s="84" t="s">
        <v>131</v>
      </c>
      <c r="O33" s="52" t="s">
        <v>20</v>
      </c>
      <c r="Q33" s="85" t="s">
        <v>21</v>
      </c>
      <c r="R33" s="84" t="s">
        <v>1</v>
      </c>
      <c r="S33" s="84" t="s">
        <v>12</v>
      </c>
      <c r="T33" s="84" t="s">
        <v>22</v>
      </c>
      <c r="U33" s="84" t="s">
        <v>23</v>
      </c>
      <c r="V33" s="52" t="s">
        <v>49</v>
      </c>
      <c r="X33" s="83" t="s">
        <v>0</v>
      </c>
      <c r="Y33" s="84" t="s">
        <v>93</v>
      </c>
      <c r="Z33" s="52" t="s">
        <v>92</v>
      </c>
    </row>
    <row r="34" spans="2:26" x14ac:dyDescent="0.2">
      <c r="B34" s="107" t="s">
        <v>2</v>
      </c>
      <c r="C34" s="81" t="s">
        <v>4</v>
      </c>
      <c r="D34" s="97">
        <v>1</v>
      </c>
      <c r="E34" s="4">
        <f t="shared" ref="E34:E45" si="13">LOG(D34*VLOOKUP(C34,Master_Frequencies,2,FALSE)/VLOOKUP(B34,Master_Frequencies,2,FALSE),2)*1200</f>
        <v>386.31371386483482</v>
      </c>
      <c r="F34" s="4">
        <f t="shared" ref="F34:F45" si="14">VLOOKUP(B34,Master_Frequencies,2,FALSE)*5/4</f>
        <v>330</v>
      </c>
      <c r="G34" s="47">
        <f t="shared" ref="G34:G45" si="15">IF($D$2="Cents",LOG(VLOOKUP(C34,Master_Frequencies,2,FALSE)/F34,2)*1200*$F$3,LOG(D34*VLOOKUP(C34,Master_Frequencies,2,FALSE)/F34,$F$3))</f>
        <v>0</v>
      </c>
      <c r="I34" s="107" t="s">
        <v>2</v>
      </c>
      <c r="J34" s="81" t="s">
        <v>6</v>
      </c>
      <c r="K34" s="97">
        <v>1</v>
      </c>
      <c r="L34" s="191">
        <f t="shared" ref="L34:L45" si="16">K34*VLOOKUP(J34,Master_Frequencies,2,FALSE)/VLOOKUP(I34,Master_Frequencies,2,FALSE)</f>
        <v>1.5</v>
      </c>
      <c r="M34" s="81" t="s">
        <v>2</v>
      </c>
      <c r="N34" s="81" t="s">
        <v>4</v>
      </c>
      <c r="O34" s="191">
        <f t="shared" ref="O34:O42" si="17">VLOOKUP(N34,Master_Frequencies,2,FALSE)/VLOOKUP(M34,Master_Frequencies,2,FALSE)</f>
        <v>1.25</v>
      </c>
      <c r="Q34" s="99">
        <v>1</v>
      </c>
      <c r="R34" s="18">
        <f>$C$50*Q34</f>
        <v>264</v>
      </c>
      <c r="S34" s="97">
        <v>0</v>
      </c>
      <c r="T34" s="4">
        <f>R34/POWER(2,S34)</f>
        <v>264</v>
      </c>
      <c r="U34" s="18" t="str" cm="1">
        <f t="array" ref="U34">_xlfn.XLOOKUP(0,ABS($C$50:$C$62-T34),$B$50:$B$62,,1)</f>
        <v>C</v>
      </c>
      <c r="V34" s="47">
        <f t="shared" ref="V34:V46" si="18">LOG(T34/VLOOKUP(U34,Master_Frequencies,2,FALSE),2)*1200</f>
        <v>0</v>
      </c>
      <c r="X34" s="85" t="s">
        <v>2</v>
      </c>
      <c r="Y34" s="4">
        <f t="shared" ref="Y34:Y46" si="19">VLOOKUP(X34,Master_Frequencies,2,FALSE)/POWER(2,$Z$32)</f>
        <v>132</v>
      </c>
      <c r="Z34" s="47">
        <f t="shared" ref="Z34:Z46" si="20">VLOOKUP(X34,Master_Frequencies,2,FALSE)*POWER(2,$Z$32)</f>
        <v>528</v>
      </c>
    </row>
    <row r="35" spans="2:26" x14ac:dyDescent="0.2">
      <c r="B35" s="107" t="s">
        <v>74</v>
      </c>
      <c r="C35" s="81" t="s">
        <v>5</v>
      </c>
      <c r="D35" s="97">
        <v>1</v>
      </c>
      <c r="E35" s="4">
        <f t="shared" si="13"/>
        <v>427.37257227033041</v>
      </c>
      <c r="F35" s="4">
        <f t="shared" si="14"/>
        <v>343.75</v>
      </c>
      <c r="G35" s="47">
        <f t="shared" si="15"/>
        <v>-1.7501636926965047</v>
      </c>
      <c r="I35" s="107" t="s">
        <v>74</v>
      </c>
      <c r="J35" s="81" t="s">
        <v>72</v>
      </c>
      <c r="K35" s="97">
        <v>1</v>
      </c>
      <c r="L35" s="191">
        <f t="shared" si="16"/>
        <v>1.5</v>
      </c>
      <c r="M35" s="81" t="s">
        <v>74</v>
      </c>
      <c r="N35" s="81" t="s">
        <v>5</v>
      </c>
      <c r="O35" s="191">
        <f t="shared" si="17"/>
        <v>1.28</v>
      </c>
      <c r="Q35" s="99">
        <v>2</v>
      </c>
      <c r="R35" s="18">
        <f t="shared" ref="R35:R46" si="21">$C$50*Q35</f>
        <v>528</v>
      </c>
      <c r="S35" s="97">
        <v>1</v>
      </c>
      <c r="T35" s="4">
        <f t="shared" ref="T35:T46" si="22">R35/POWER(2,S35)</f>
        <v>264</v>
      </c>
      <c r="U35" s="18" t="str" cm="1">
        <f t="array" ref="U35">_xlfn.XLOOKUP(0,ABS($C$50:$C$62-T35),$B$50:$B$62,,1)</f>
        <v>C</v>
      </c>
      <c r="V35" s="47">
        <f t="shared" si="18"/>
        <v>0</v>
      </c>
      <c r="X35" s="85" t="s">
        <v>74</v>
      </c>
      <c r="Y35" s="4">
        <f t="shared" si="19"/>
        <v>137.5</v>
      </c>
      <c r="Z35" s="47">
        <f t="shared" si="20"/>
        <v>550</v>
      </c>
    </row>
    <row r="36" spans="2:26" x14ac:dyDescent="0.2">
      <c r="B36" s="107" t="s">
        <v>3</v>
      </c>
      <c r="C36" s="81" t="s">
        <v>70</v>
      </c>
      <c r="D36" s="97">
        <v>1</v>
      </c>
      <c r="E36" s="4">
        <f t="shared" si="13"/>
        <v>386.31371386483482</v>
      </c>
      <c r="F36" s="4">
        <f t="shared" si="14"/>
        <v>371.25</v>
      </c>
      <c r="G36" s="47">
        <f t="shared" si="15"/>
        <v>0</v>
      </c>
      <c r="I36" s="107" t="s">
        <v>3</v>
      </c>
      <c r="J36" s="81" t="s">
        <v>7</v>
      </c>
      <c r="K36" s="97">
        <v>1</v>
      </c>
      <c r="L36" s="191">
        <f t="shared" si="16"/>
        <v>1.4814814814814814</v>
      </c>
      <c r="M36" s="81" t="s">
        <v>3</v>
      </c>
      <c r="N36" s="81" t="s">
        <v>70</v>
      </c>
      <c r="O36" s="191">
        <f t="shared" si="17"/>
        <v>1.25</v>
      </c>
      <c r="Q36" s="99">
        <v>3</v>
      </c>
      <c r="R36" s="18">
        <f t="shared" si="21"/>
        <v>792</v>
      </c>
      <c r="S36" s="97">
        <v>1</v>
      </c>
      <c r="T36" s="4">
        <f t="shared" si="22"/>
        <v>396</v>
      </c>
      <c r="U36" s="18" t="str" cm="1">
        <f t="array" ref="U36">_xlfn.XLOOKUP(0,ABS($C$50:$C$62-T36),$B$50:$B$62,,1)</f>
        <v>G</v>
      </c>
      <c r="V36" s="47">
        <f t="shared" si="18"/>
        <v>0</v>
      </c>
      <c r="X36" s="85" t="s">
        <v>3</v>
      </c>
      <c r="Y36" s="4">
        <f t="shared" si="19"/>
        <v>148.5</v>
      </c>
      <c r="Z36" s="47">
        <f t="shared" si="20"/>
        <v>594</v>
      </c>
    </row>
    <row r="37" spans="2:26" x14ac:dyDescent="0.2">
      <c r="B37" s="107" t="s">
        <v>76</v>
      </c>
      <c r="C37" s="81" t="s">
        <v>6</v>
      </c>
      <c r="D37" s="97">
        <v>1</v>
      </c>
      <c r="E37" s="4">
        <f t="shared" si="13"/>
        <v>427.37257227033041</v>
      </c>
      <c r="F37" s="4">
        <f t="shared" si="14"/>
        <v>386.71875</v>
      </c>
      <c r="G37" s="47">
        <f t="shared" si="15"/>
        <v>-1.7501636926965047</v>
      </c>
      <c r="I37" s="107" t="s">
        <v>76</v>
      </c>
      <c r="J37" s="81" t="s">
        <v>73</v>
      </c>
      <c r="K37" s="97">
        <v>1</v>
      </c>
      <c r="L37" s="191">
        <f t="shared" si="16"/>
        <v>1.536</v>
      </c>
      <c r="M37" s="81" t="s">
        <v>76</v>
      </c>
      <c r="N37" s="81" t="s">
        <v>6</v>
      </c>
      <c r="O37" s="191">
        <f t="shared" si="17"/>
        <v>1.28</v>
      </c>
      <c r="Q37" s="99">
        <v>4</v>
      </c>
      <c r="R37" s="18">
        <f t="shared" si="21"/>
        <v>1056</v>
      </c>
      <c r="S37" s="97">
        <v>2</v>
      </c>
      <c r="T37" s="4">
        <f t="shared" si="22"/>
        <v>264</v>
      </c>
      <c r="U37" s="18" t="str" cm="1">
        <f t="array" ref="U37">_xlfn.XLOOKUP(0,ABS($C$50:$C$62-T37),$B$50:$B$62,,1)</f>
        <v>C</v>
      </c>
      <c r="V37" s="47">
        <f t="shared" si="18"/>
        <v>0</v>
      </c>
      <c r="X37" s="85" t="s">
        <v>76</v>
      </c>
      <c r="Y37" s="4">
        <f t="shared" si="19"/>
        <v>154.6875</v>
      </c>
      <c r="Z37" s="47">
        <f t="shared" si="20"/>
        <v>618.75</v>
      </c>
    </row>
    <row r="38" spans="2:26" x14ac:dyDescent="0.2">
      <c r="B38" s="107" t="s">
        <v>4</v>
      </c>
      <c r="C38" s="81" t="s">
        <v>72</v>
      </c>
      <c r="D38" s="97">
        <v>1</v>
      </c>
      <c r="E38" s="4">
        <f t="shared" si="13"/>
        <v>386.31371386483482</v>
      </c>
      <c r="F38" s="4">
        <f t="shared" si="14"/>
        <v>412.5</v>
      </c>
      <c r="G38" s="47">
        <f t="shared" si="15"/>
        <v>0</v>
      </c>
      <c r="I38" s="107" t="s">
        <v>4</v>
      </c>
      <c r="J38" s="81" t="s">
        <v>8</v>
      </c>
      <c r="K38" s="97">
        <v>1</v>
      </c>
      <c r="L38" s="191">
        <f t="shared" si="16"/>
        <v>1.5</v>
      </c>
      <c r="M38" s="81" t="s">
        <v>4</v>
      </c>
      <c r="N38" s="81" t="s">
        <v>72</v>
      </c>
      <c r="O38" s="191">
        <f t="shared" si="17"/>
        <v>1.25</v>
      </c>
      <c r="Q38" s="99">
        <v>5</v>
      </c>
      <c r="R38" s="18">
        <f t="shared" si="21"/>
        <v>1320</v>
      </c>
      <c r="S38" s="97">
        <v>2</v>
      </c>
      <c r="T38" s="4">
        <f t="shared" si="22"/>
        <v>330</v>
      </c>
      <c r="U38" s="18" t="str" cm="1">
        <f t="array" ref="U38">_xlfn.XLOOKUP(0,ABS($C$50:$C$62-T38),$B$50:$B$62,,1)</f>
        <v>E</v>
      </c>
      <c r="V38" s="47">
        <f t="shared" si="18"/>
        <v>0</v>
      </c>
      <c r="X38" s="85" t="s">
        <v>4</v>
      </c>
      <c r="Y38" s="4">
        <f t="shared" si="19"/>
        <v>165</v>
      </c>
      <c r="Z38" s="47">
        <f t="shared" si="20"/>
        <v>660</v>
      </c>
    </row>
    <row r="39" spans="2:26" x14ac:dyDescent="0.2">
      <c r="B39" s="107" t="s">
        <v>5</v>
      </c>
      <c r="C39" s="81" t="s">
        <v>7</v>
      </c>
      <c r="D39" s="97">
        <v>1</v>
      </c>
      <c r="E39" s="4">
        <f t="shared" si="13"/>
        <v>386.31371386483482</v>
      </c>
      <c r="F39" s="4">
        <f t="shared" si="14"/>
        <v>440</v>
      </c>
      <c r="G39" s="47">
        <f t="shared" si="15"/>
        <v>0</v>
      </c>
      <c r="I39" s="107" t="s">
        <v>5</v>
      </c>
      <c r="J39" s="81" t="s">
        <v>78</v>
      </c>
      <c r="K39" s="97">
        <v>1</v>
      </c>
      <c r="L39" s="191">
        <f t="shared" si="16"/>
        <v>1.5</v>
      </c>
      <c r="M39" s="81" t="s">
        <v>5</v>
      </c>
      <c r="N39" s="81" t="s">
        <v>7</v>
      </c>
      <c r="O39" s="191">
        <f t="shared" si="17"/>
        <v>1.25</v>
      </c>
      <c r="Q39" s="99">
        <v>6</v>
      </c>
      <c r="R39" s="18">
        <f t="shared" si="21"/>
        <v>1584</v>
      </c>
      <c r="S39" s="97">
        <v>2</v>
      </c>
      <c r="T39" s="4">
        <f t="shared" si="22"/>
        <v>396</v>
      </c>
      <c r="U39" s="18" t="str" cm="1">
        <f t="array" ref="U39">_xlfn.XLOOKUP(0,ABS($C$50:$C$62-T39),$B$50:$B$62,,1)</f>
        <v>G</v>
      </c>
      <c r="V39" s="47">
        <f t="shared" si="18"/>
        <v>0</v>
      </c>
      <c r="X39" s="85" t="s">
        <v>5</v>
      </c>
      <c r="Y39" s="4">
        <f t="shared" si="19"/>
        <v>176</v>
      </c>
      <c r="Z39" s="47">
        <f t="shared" si="20"/>
        <v>704</v>
      </c>
    </row>
    <row r="40" spans="2:26" x14ac:dyDescent="0.2">
      <c r="B40" s="107" t="s">
        <v>70</v>
      </c>
      <c r="C40" s="81" t="s">
        <v>73</v>
      </c>
      <c r="D40" s="97">
        <v>1</v>
      </c>
      <c r="E40" s="4">
        <f t="shared" si="13"/>
        <v>427.37257227033041</v>
      </c>
      <c r="F40" s="4">
        <f t="shared" si="14"/>
        <v>464.0625</v>
      </c>
      <c r="G40" s="47">
        <f t="shared" si="15"/>
        <v>-1.7501636926965047</v>
      </c>
      <c r="I40" s="107" t="s">
        <v>70</v>
      </c>
      <c r="J40" s="81" t="s">
        <v>74</v>
      </c>
      <c r="K40" s="97">
        <v>2</v>
      </c>
      <c r="L40" s="191">
        <f t="shared" si="16"/>
        <v>1.4814814814814814</v>
      </c>
      <c r="M40" s="81" t="s">
        <v>70</v>
      </c>
      <c r="N40" s="81" t="s">
        <v>73</v>
      </c>
      <c r="O40" s="191">
        <f t="shared" si="17"/>
        <v>1.28</v>
      </c>
      <c r="Q40" s="99">
        <v>7</v>
      </c>
      <c r="R40" s="18">
        <f t="shared" si="21"/>
        <v>1848</v>
      </c>
      <c r="S40" s="97">
        <v>2</v>
      </c>
      <c r="T40" s="4">
        <f t="shared" si="22"/>
        <v>462</v>
      </c>
      <c r="U40" s="18" t="str" cm="1">
        <f t="array" ref="U40">_xlfn.XLOOKUP(0,ABS($C$50:$C$62-T40),$B$50:$B$62,,1)</f>
        <v>A#</v>
      </c>
      <c r="V40" s="47">
        <f t="shared" si="18"/>
        <v>-48.770381396815111</v>
      </c>
      <c r="X40" s="85" t="s">
        <v>70</v>
      </c>
      <c r="Y40" s="4">
        <f t="shared" si="19"/>
        <v>185.625</v>
      </c>
      <c r="Z40" s="47">
        <f t="shared" si="20"/>
        <v>742.5</v>
      </c>
    </row>
    <row r="41" spans="2:26" x14ac:dyDescent="0.2">
      <c r="B41" s="107" t="s">
        <v>6</v>
      </c>
      <c r="C41" s="81" t="s">
        <v>8</v>
      </c>
      <c r="D41" s="97">
        <v>1</v>
      </c>
      <c r="E41" s="4">
        <f t="shared" si="13"/>
        <v>386.31371386483482</v>
      </c>
      <c r="F41" s="4">
        <f t="shared" si="14"/>
        <v>495</v>
      </c>
      <c r="G41" s="47">
        <f t="shared" si="15"/>
        <v>0</v>
      </c>
      <c r="I41" s="107" t="s">
        <v>6</v>
      </c>
      <c r="J41" s="81" t="s">
        <v>3</v>
      </c>
      <c r="K41" s="97">
        <v>2</v>
      </c>
      <c r="L41" s="191">
        <f t="shared" si="16"/>
        <v>1.5</v>
      </c>
      <c r="M41" s="81" t="s">
        <v>6</v>
      </c>
      <c r="N41" s="81" t="s">
        <v>8</v>
      </c>
      <c r="O41" s="191">
        <f t="shared" si="17"/>
        <v>1.25</v>
      </c>
      <c r="Q41" s="99">
        <v>8</v>
      </c>
      <c r="R41" s="18">
        <f t="shared" si="21"/>
        <v>2112</v>
      </c>
      <c r="S41" s="97">
        <v>3</v>
      </c>
      <c r="T41" s="4">
        <f t="shared" si="22"/>
        <v>264</v>
      </c>
      <c r="U41" s="18" t="str" cm="1">
        <f t="array" ref="U41">_xlfn.XLOOKUP(0,ABS($C$50:$C$62-T41),$B$50:$B$62,,1)</f>
        <v>C</v>
      </c>
      <c r="V41" s="47">
        <f t="shared" si="18"/>
        <v>0</v>
      </c>
      <c r="X41" s="85" t="s">
        <v>6</v>
      </c>
      <c r="Y41" s="4">
        <f t="shared" si="19"/>
        <v>198</v>
      </c>
      <c r="Z41" s="47">
        <f t="shared" si="20"/>
        <v>792</v>
      </c>
    </row>
    <row r="42" spans="2:26" x14ac:dyDescent="0.2">
      <c r="B42" s="107" t="s">
        <v>72</v>
      </c>
      <c r="C42" s="81" t="s">
        <v>78</v>
      </c>
      <c r="D42" s="97">
        <v>1</v>
      </c>
      <c r="E42" s="4">
        <f t="shared" si="13"/>
        <v>427.37257227033041</v>
      </c>
      <c r="F42" s="4">
        <f t="shared" si="14"/>
        <v>515.625</v>
      </c>
      <c r="G42" s="47">
        <f t="shared" si="15"/>
        <v>-1.7501636926965047</v>
      </c>
      <c r="I42" s="107" t="s">
        <v>72</v>
      </c>
      <c r="J42" s="81" t="s">
        <v>76</v>
      </c>
      <c r="K42" s="97">
        <v>2</v>
      </c>
      <c r="L42" s="191">
        <f t="shared" si="16"/>
        <v>1.5</v>
      </c>
      <c r="M42" s="81" t="s">
        <v>72</v>
      </c>
      <c r="N42" s="81" t="s">
        <v>78</v>
      </c>
      <c r="O42" s="191">
        <f t="shared" si="17"/>
        <v>1.28</v>
      </c>
      <c r="Q42" s="99">
        <v>9</v>
      </c>
      <c r="R42" s="18">
        <f t="shared" si="21"/>
        <v>2376</v>
      </c>
      <c r="S42" s="97">
        <v>3</v>
      </c>
      <c r="T42" s="4">
        <f t="shared" si="22"/>
        <v>297</v>
      </c>
      <c r="U42" s="18" t="str" cm="1">
        <f t="array" ref="U42">_xlfn.XLOOKUP(0,ABS($C$50:$C$62-T42),$B$50:$B$62,,1)</f>
        <v>D</v>
      </c>
      <c r="V42" s="47">
        <f t="shared" si="18"/>
        <v>0</v>
      </c>
      <c r="X42" s="85" t="s">
        <v>72</v>
      </c>
      <c r="Y42" s="4">
        <f t="shared" si="19"/>
        <v>206.25</v>
      </c>
      <c r="Z42" s="47">
        <f t="shared" si="20"/>
        <v>825</v>
      </c>
    </row>
    <row r="43" spans="2:26" x14ac:dyDescent="0.2">
      <c r="B43" s="107" t="s">
        <v>7</v>
      </c>
      <c r="C43" s="81" t="s">
        <v>74</v>
      </c>
      <c r="D43" s="97">
        <v>2</v>
      </c>
      <c r="E43" s="4">
        <f t="shared" si="13"/>
        <v>386.31371386483482</v>
      </c>
      <c r="F43" s="4">
        <f t="shared" si="14"/>
        <v>550</v>
      </c>
      <c r="G43" s="47">
        <f t="shared" si="15"/>
        <v>0</v>
      </c>
      <c r="I43" s="107" t="s">
        <v>7</v>
      </c>
      <c r="J43" s="81" t="s">
        <v>4</v>
      </c>
      <c r="K43" s="97">
        <v>2</v>
      </c>
      <c r="L43" s="191">
        <f t="shared" si="16"/>
        <v>1.5</v>
      </c>
      <c r="M43" s="81" t="s">
        <v>7</v>
      </c>
      <c r="N43" s="81" t="s">
        <v>74</v>
      </c>
      <c r="O43" s="191">
        <f>2*VLOOKUP(N43,Master_Frequencies,2,FALSE)/VLOOKUP(M43,Master_Frequencies,2,FALSE)</f>
        <v>1.25</v>
      </c>
      <c r="Q43" s="99">
        <v>10</v>
      </c>
      <c r="R43" s="18">
        <f t="shared" si="21"/>
        <v>2640</v>
      </c>
      <c r="S43" s="97">
        <v>3</v>
      </c>
      <c r="T43" s="4">
        <f t="shared" si="22"/>
        <v>330</v>
      </c>
      <c r="U43" s="18" t="str" cm="1">
        <f t="array" ref="U43">_xlfn.XLOOKUP(0,ABS($C$50:$C$62-T43),$B$50:$B$62,,1)</f>
        <v>E</v>
      </c>
      <c r="V43" s="47">
        <f t="shared" si="18"/>
        <v>0</v>
      </c>
      <c r="X43" s="85" t="s">
        <v>7</v>
      </c>
      <c r="Y43" s="4">
        <f t="shared" si="19"/>
        <v>220</v>
      </c>
      <c r="Z43" s="47">
        <f t="shared" si="20"/>
        <v>880</v>
      </c>
    </row>
    <row r="44" spans="2:26" x14ac:dyDescent="0.2">
      <c r="B44" s="107" t="s">
        <v>73</v>
      </c>
      <c r="C44" s="81" t="s">
        <v>3</v>
      </c>
      <c r="D44" s="97">
        <v>2</v>
      </c>
      <c r="E44" s="4">
        <f t="shared" si="13"/>
        <v>386.31371386483482</v>
      </c>
      <c r="F44" s="4">
        <f t="shared" si="14"/>
        <v>594</v>
      </c>
      <c r="G44" s="47">
        <f t="shared" si="15"/>
        <v>0</v>
      </c>
      <c r="I44" s="107" t="s">
        <v>73</v>
      </c>
      <c r="J44" s="81" t="s">
        <v>5</v>
      </c>
      <c r="K44" s="97">
        <v>2</v>
      </c>
      <c r="L44" s="191">
        <f t="shared" si="16"/>
        <v>1.4814814814814816</v>
      </c>
      <c r="M44" s="81" t="s">
        <v>73</v>
      </c>
      <c r="N44" s="81" t="s">
        <v>3</v>
      </c>
      <c r="O44" s="191">
        <f>2*VLOOKUP(N44,Master_Frequencies,2,FALSE)/VLOOKUP(M44,Master_Frequencies,2,FALSE)</f>
        <v>1.25</v>
      </c>
      <c r="Q44" s="99">
        <v>11</v>
      </c>
      <c r="R44" s="18">
        <f t="shared" si="21"/>
        <v>2904</v>
      </c>
      <c r="S44" s="97">
        <v>3</v>
      </c>
      <c r="T44" s="4">
        <f t="shared" si="22"/>
        <v>363</v>
      </c>
      <c r="U44" s="18" t="str" cm="1">
        <f t="array" ref="U44">_xlfn.XLOOKUP(0,ABS($C$50:$C$62-T44),$B$50:$B$62,,1)</f>
        <v>F#</v>
      </c>
      <c r="V44" s="47">
        <f t="shared" si="18"/>
        <v>-38.905773230853008</v>
      </c>
      <c r="X44" s="85" t="s">
        <v>73</v>
      </c>
      <c r="Y44" s="4">
        <f t="shared" si="19"/>
        <v>237.6</v>
      </c>
      <c r="Z44" s="47">
        <f t="shared" si="20"/>
        <v>950.4</v>
      </c>
    </row>
    <row r="45" spans="2:26" x14ac:dyDescent="0.2">
      <c r="B45" s="108" t="s">
        <v>8</v>
      </c>
      <c r="C45" s="151" t="s">
        <v>76</v>
      </c>
      <c r="D45" s="98">
        <v>2</v>
      </c>
      <c r="E45" s="53">
        <f t="shared" si="13"/>
        <v>386.31371386483482</v>
      </c>
      <c r="F45" s="53">
        <f t="shared" si="14"/>
        <v>618.75</v>
      </c>
      <c r="G45" s="48">
        <f t="shared" si="15"/>
        <v>0</v>
      </c>
      <c r="I45" s="108" t="s">
        <v>8</v>
      </c>
      <c r="J45" s="151" t="s">
        <v>70</v>
      </c>
      <c r="K45" s="98">
        <v>2</v>
      </c>
      <c r="L45" s="192">
        <f t="shared" si="16"/>
        <v>1.5</v>
      </c>
      <c r="M45" s="151" t="s">
        <v>8</v>
      </c>
      <c r="N45" s="151" t="s">
        <v>76</v>
      </c>
      <c r="O45" s="192">
        <f>2*VLOOKUP(N45,Master_Frequencies,2,FALSE)/VLOOKUP(M45,Master_Frequencies,2,FALSE)</f>
        <v>1.25</v>
      </c>
      <c r="Q45" s="99">
        <v>12</v>
      </c>
      <c r="R45" s="18">
        <f t="shared" si="21"/>
        <v>3168</v>
      </c>
      <c r="S45" s="97">
        <v>3</v>
      </c>
      <c r="T45" s="4">
        <f t="shared" si="22"/>
        <v>396</v>
      </c>
      <c r="U45" s="18" t="str" cm="1">
        <f t="array" ref="U45">_xlfn.XLOOKUP(0,ABS($C$50:$C$62-T45),$B$50:$B$62,,1)</f>
        <v>G</v>
      </c>
      <c r="V45" s="47">
        <f t="shared" si="18"/>
        <v>0</v>
      </c>
      <c r="X45" s="85" t="s">
        <v>8</v>
      </c>
      <c r="Y45" s="4">
        <f t="shared" si="19"/>
        <v>247.5</v>
      </c>
      <c r="Z45" s="47">
        <f t="shared" si="20"/>
        <v>990</v>
      </c>
    </row>
    <row r="46" spans="2:26" x14ac:dyDescent="0.2">
      <c r="Q46" s="100">
        <v>13</v>
      </c>
      <c r="R46" s="50">
        <f t="shared" si="21"/>
        <v>3432</v>
      </c>
      <c r="S46" s="98">
        <v>3</v>
      </c>
      <c r="T46" s="53">
        <f t="shared" si="22"/>
        <v>429</v>
      </c>
      <c r="U46" s="50" t="str" cm="1">
        <f t="array" ref="U46">_xlfn.XLOOKUP(0,ABS($C$50:$C$62-T46),$B$50:$B$62,,1)</f>
        <v>A</v>
      </c>
      <c r="V46" s="48">
        <f t="shared" si="18"/>
        <v>-43.83105123013685</v>
      </c>
      <c r="X46" s="87" t="s">
        <v>78</v>
      </c>
      <c r="Y46" s="53">
        <f t="shared" si="19"/>
        <v>264</v>
      </c>
      <c r="Z46" s="48">
        <f t="shared" si="20"/>
        <v>1056</v>
      </c>
    </row>
    <row r="47" spans="2:26" ht="16" thickBot="1" x14ac:dyDescent="0.25"/>
    <row r="48" spans="2:26" ht="16" thickTop="1" x14ac:dyDescent="0.2">
      <c r="B48" s="308" t="s">
        <v>138</v>
      </c>
      <c r="C48" s="309"/>
    </row>
    <row r="49" spans="2:3" ht="32" x14ac:dyDescent="0.2">
      <c r="B49" s="90" t="s">
        <v>14</v>
      </c>
      <c r="C49" s="91" t="s">
        <v>15</v>
      </c>
    </row>
    <row r="50" spans="2:3" x14ac:dyDescent="0.2">
      <c r="B50" s="92" t="s">
        <v>2</v>
      </c>
      <c r="C50" s="93">
        <f t="shared" ref="C50:C60" si="23">VLOOKUP(B50,I8:K20,3,FALSE)</f>
        <v>264</v>
      </c>
    </row>
    <row r="51" spans="2:3" x14ac:dyDescent="0.2">
      <c r="B51" s="92" t="s">
        <v>74</v>
      </c>
      <c r="C51" s="93">
        <f t="shared" si="23"/>
        <v>275</v>
      </c>
    </row>
    <row r="52" spans="2:3" x14ac:dyDescent="0.2">
      <c r="B52" s="92" t="s">
        <v>3</v>
      </c>
      <c r="C52" s="93">
        <f t="shared" si="23"/>
        <v>297</v>
      </c>
    </row>
    <row r="53" spans="2:3" x14ac:dyDescent="0.2">
      <c r="B53" s="92" t="s">
        <v>76</v>
      </c>
      <c r="C53" s="93">
        <f t="shared" si="23"/>
        <v>309.375</v>
      </c>
    </row>
    <row r="54" spans="2:3" x14ac:dyDescent="0.2">
      <c r="B54" s="92" t="s">
        <v>4</v>
      </c>
      <c r="C54" s="93">
        <f t="shared" si="23"/>
        <v>330</v>
      </c>
    </row>
    <row r="55" spans="2:3" x14ac:dyDescent="0.2">
      <c r="B55" s="92" t="s">
        <v>5</v>
      </c>
      <c r="C55" s="93">
        <f t="shared" si="23"/>
        <v>352</v>
      </c>
    </row>
    <row r="56" spans="2:3" x14ac:dyDescent="0.2">
      <c r="B56" s="92" t="s">
        <v>70</v>
      </c>
      <c r="C56" s="93">
        <f t="shared" si="23"/>
        <v>371.25</v>
      </c>
    </row>
    <row r="57" spans="2:3" x14ac:dyDescent="0.2">
      <c r="B57" s="92" t="s">
        <v>6</v>
      </c>
      <c r="C57" s="93">
        <f t="shared" si="23"/>
        <v>396</v>
      </c>
    </row>
    <row r="58" spans="2:3" x14ac:dyDescent="0.2">
      <c r="B58" s="92" t="s">
        <v>72</v>
      </c>
      <c r="C58" s="93">
        <f t="shared" si="23"/>
        <v>412.5</v>
      </c>
    </row>
    <row r="59" spans="2:3" x14ac:dyDescent="0.2">
      <c r="B59" s="92" t="s">
        <v>7</v>
      </c>
      <c r="C59" s="93">
        <f t="shared" si="23"/>
        <v>440</v>
      </c>
    </row>
    <row r="60" spans="2:3" x14ac:dyDescent="0.2">
      <c r="B60" s="92" t="s">
        <v>73</v>
      </c>
      <c r="C60" s="93">
        <f t="shared" si="23"/>
        <v>475.2</v>
      </c>
    </row>
    <row r="61" spans="2:3" x14ac:dyDescent="0.2">
      <c r="B61" s="92" t="s">
        <v>8</v>
      </c>
      <c r="C61" s="93">
        <f>VLOOKUP(B61,I19:K46,3,FALSE)</f>
        <v>495</v>
      </c>
    </row>
    <row r="62" spans="2:3" ht="16" thickBot="1" x14ac:dyDescent="0.25">
      <c r="B62" s="94" t="s">
        <v>78</v>
      </c>
      <c r="C62" s="95">
        <f>VLOOKUP(B62,I20:K46,3,FALSE)</f>
        <v>528</v>
      </c>
    </row>
    <row r="63" spans="2:3" ht="16" thickTop="1" x14ac:dyDescent="0.2"/>
  </sheetData>
  <sheetProtection sheet="1" scenarios="1" formatCells="0"/>
  <mergeCells count="9">
    <mergeCell ref="X31:Z31"/>
    <mergeCell ref="B48:C48"/>
    <mergeCell ref="B32:D32"/>
    <mergeCell ref="B1:D1"/>
    <mergeCell ref="B6:F6"/>
    <mergeCell ref="I6:O6"/>
    <mergeCell ref="Q6:V6"/>
    <mergeCell ref="I32:O32"/>
    <mergeCell ref="Q32:V32"/>
  </mergeCells>
  <conditionalFormatting sqref="A1:XFD1048576">
    <cfRule type="expression" dxfId="41" priority="1">
      <formula>CELL("protected",A1)=0</formula>
    </cfRule>
    <cfRule type="expression" dxfId="40" priority="3">
      <formula>_xlfn.ISFORMULA(A1)</formula>
    </cfRule>
  </conditionalFormatting>
  <hyperlinks>
    <hyperlink ref="B30" location="Overview!A1" display="Back to Overview" xr:uid="{606B5D86-ECA7-0D48-A34E-4D1848D5BBF4}"/>
    <hyperlink ref="B4" location="Overview!A1" display="Back to Overview" xr:uid="{3CC8BD21-7DE6-D949-8330-EB43FD10E2FB}"/>
  </hyperlinks>
  <pageMargins left="0.7" right="0.7" top="0.75" bottom="0.75" header="0.3" footer="0.3"/>
  <drawing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87CD-F38A-3847-A5FB-DAEAD8A66D04}">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102</v>
      </c>
      <c r="C1" s="289"/>
      <c r="D1" s="289"/>
      <c r="E1" s="289"/>
      <c r="F1" s="289"/>
      <c r="G1" s="289"/>
      <c r="P1" s="4" t="s">
        <v>478</v>
      </c>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I2*2*8/27*POWER($F$3,$D$12-$D$9)</f>
        <v>262.51339251550581</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262.51339251550581</v>
      </c>
      <c r="G9" s="97">
        <v>0</v>
      </c>
      <c r="H9" s="188">
        <f t="shared" ref="H9:H21" si="0">E9/POWER(2,G9)</f>
        <v>262.51339251550581</v>
      </c>
      <c r="J9" s="85" t="s">
        <v>2</v>
      </c>
      <c r="K9" s="4">
        <f t="shared" ref="K9:K21" si="1">VLOOKUP(J9,Master_Frequencies,2,FALSE)</f>
        <v>262.51339251550581</v>
      </c>
      <c r="L9" s="4">
        <f t="shared" ref="L9:L21" si="2">LOG(K9/K$9,2)*1200</f>
        <v>0</v>
      </c>
      <c r="N9" s="158">
        <v>3600</v>
      </c>
      <c r="P9" s="123" t="str">
        <f>J9</f>
        <v>C</v>
      </c>
      <c r="Q9" s="4">
        <f>E9</f>
        <v>262.51339251550581</v>
      </c>
      <c r="R9" s="4">
        <f>LOG(K9/Q9,2)*1200</f>
        <v>0</v>
      </c>
      <c r="S9" s="145" t="str">
        <f t="shared" ref="S9:S21" si="3">B9</f>
        <v>C</v>
      </c>
      <c r="T9" s="4">
        <f t="shared" ref="T9:T21" si="4">VLOOKUP(S9,Master_Frequencies,2,FALSE)</f>
        <v>262.51339251550581</v>
      </c>
      <c r="U9" s="47">
        <f t="shared" ref="U9:U21" si="5">VLOOKUP(S9,$P$9:$R$21,3,FALSE)</f>
        <v>0</v>
      </c>
    </row>
    <row r="10" spans="2:23" x14ac:dyDescent="0.2">
      <c r="B10" s="107" t="s">
        <v>6</v>
      </c>
      <c r="C10" s="185">
        <v>-2</v>
      </c>
      <c r="D10" s="4">
        <f>D9+C10</f>
        <v>-2</v>
      </c>
      <c r="E10" s="4">
        <f t="shared" ref="E10:E21" si="6">IF(C10&lt;0,(E9*3/2)*POWER($F$3,ABS(C10)),(E9*3/2)*POWER(1/$F$3,ABS(C10)))</f>
        <v>392.88176036212946</v>
      </c>
      <c r="F10" s="4">
        <f t="shared" ref="F10:F21" si="7">LOG(E10/E9,2)*1200</f>
        <v>698.04499913461268</v>
      </c>
      <c r="G10" s="97">
        <v>0</v>
      </c>
      <c r="H10" s="188">
        <f t="shared" si="0"/>
        <v>392.88176036212946</v>
      </c>
      <c r="J10" s="85" t="s">
        <v>74</v>
      </c>
      <c r="K10" s="4">
        <f t="shared" si="1"/>
        <v>277.18263097687213</v>
      </c>
      <c r="L10" s="4">
        <f t="shared" si="2"/>
        <v>94.134997403837588</v>
      </c>
      <c r="M10" s="4">
        <f t="shared" ref="M10:M21" si="8">LOG(K10/K9,2)*1200</f>
        <v>94.134997403837588</v>
      </c>
      <c r="N10" s="47">
        <f t="shared" ref="N10:N21" si="9">N$9*K$9/K10</f>
        <v>3409.4784717397206</v>
      </c>
      <c r="P10" s="123" t="str">
        <f t="shared" ref="P10:P21" si="10">J10</f>
        <v>C#</v>
      </c>
      <c r="Q10" s="4">
        <f t="shared" ref="Q10:Q21" si="11">Q9*POWER($Q$9*2/$Q$9,1/12)</f>
        <v>278.12325114523406</v>
      </c>
      <c r="R10" s="4">
        <f t="shared" ref="R10:R21" si="12">LOG(K10/Q10,2)*1200</f>
        <v>-5.8650025961624666</v>
      </c>
      <c r="S10" s="145" t="str">
        <f t="shared" si="3"/>
        <v>G</v>
      </c>
      <c r="T10" s="4">
        <f t="shared" si="4"/>
        <v>392.88176036212946</v>
      </c>
      <c r="U10" s="47">
        <f t="shared" si="5"/>
        <v>-1.955000865387585</v>
      </c>
    </row>
    <row r="11" spans="2:23" x14ac:dyDescent="0.2">
      <c r="B11" s="107" t="s">
        <v>3</v>
      </c>
      <c r="C11" s="185">
        <v>-2</v>
      </c>
      <c r="D11" s="4">
        <f t="shared" ref="D11:D21" si="13">D10+C11</f>
        <v>-4</v>
      </c>
      <c r="E11" s="4">
        <f t="shared" si="6"/>
        <v>587.9931539726241</v>
      </c>
      <c r="F11" s="4">
        <f t="shared" si="7"/>
        <v>698.04499913461268</v>
      </c>
      <c r="G11" s="97">
        <v>1</v>
      </c>
      <c r="H11" s="188">
        <f t="shared" si="0"/>
        <v>293.99657698631205</v>
      </c>
      <c r="J11" s="85" t="s">
        <v>3</v>
      </c>
      <c r="K11" s="4">
        <f t="shared" si="1"/>
        <v>293.99657698631205</v>
      </c>
      <c r="L11" s="4">
        <f t="shared" si="2"/>
        <v>196.08999826922548</v>
      </c>
      <c r="M11" s="4">
        <f t="shared" si="8"/>
        <v>101.95500086538762</v>
      </c>
      <c r="N11" s="47">
        <f t="shared" si="9"/>
        <v>3214.4871302356037</v>
      </c>
      <c r="P11" s="123" t="str">
        <f t="shared" si="10"/>
        <v>D</v>
      </c>
      <c r="Q11" s="4">
        <f t="shared" si="11"/>
        <v>294.66132027159711</v>
      </c>
      <c r="R11" s="4">
        <f t="shared" si="12"/>
        <v>-3.9100017307748658</v>
      </c>
      <c r="S11" s="145" t="str">
        <f t="shared" si="3"/>
        <v>D</v>
      </c>
      <c r="T11" s="4">
        <f t="shared" si="4"/>
        <v>293.99657698631205</v>
      </c>
      <c r="U11" s="47">
        <f t="shared" si="5"/>
        <v>-3.9100017307748658</v>
      </c>
    </row>
    <row r="12" spans="2:23" x14ac:dyDescent="0.2">
      <c r="B12" s="107" t="s">
        <v>7</v>
      </c>
      <c r="C12" s="185">
        <v>-2</v>
      </c>
      <c r="D12" s="4">
        <f t="shared" si="13"/>
        <v>-6</v>
      </c>
      <c r="E12" s="4">
        <f t="shared" si="6"/>
        <v>880.00000000000023</v>
      </c>
      <c r="F12" s="4">
        <f t="shared" si="7"/>
        <v>698.04499913461268</v>
      </c>
      <c r="G12" s="97">
        <v>1</v>
      </c>
      <c r="H12" s="188">
        <f t="shared" si="0"/>
        <v>440.00000000000011</v>
      </c>
      <c r="J12" s="85" t="s">
        <v>76</v>
      </c>
      <c r="K12" s="4">
        <f t="shared" si="1"/>
        <v>311.47852318495887</v>
      </c>
      <c r="L12" s="4">
        <f t="shared" si="2"/>
        <v>296.08999826922496</v>
      </c>
      <c r="M12" s="4">
        <f t="shared" si="8"/>
        <v>99.99999999999973</v>
      </c>
      <c r="N12" s="47">
        <f t="shared" si="9"/>
        <v>3034.0718306752801</v>
      </c>
      <c r="P12" s="123" t="str">
        <f t="shared" si="10"/>
        <v>D#</v>
      </c>
      <c r="Q12" s="4">
        <f t="shared" si="11"/>
        <v>312.1827941629416</v>
      </c>
      <c r="R12" s="4">
        <f t="shared" si="12"/>
        <v>-3.9100017307752508</v>
      </c>
      <c r="S12" s="145" t="str">
        <f t="shared" si="3"/>
        <v>A</v>
      </c>
      <c r="T12" s="4">
        <f t="shared" si="4"/>
        <v>440.00000000000011</v>
      </c>
      <c r="U12" s="47">
        <f t="shared" si="5"/>
        <v>-5.8650025961626593</v>
      </c>
    </row>
    <row r="13" spans="2:23" x14ac:dyDescent="0.2">
      <c r="B13" s="107" t="s">
        <v>4</v>
      </c>
      <c r="C13" s="185">
        <v>-2</v>
      </c>
      <c r="D13" s="4">
        <f t="shared" si="13"/>
        <v>-8</v>
      </c>
      <c r="E13" s="4">
        <f t="shared" si="6"/>
        <v>1317.0221366829981</v>
      </c>
      <c r="F13" s="4">
        <f t="shared" si="7"/>
        <v>698.04499913461279</v>
      </c>
      <c r="G13" s="97">
        <v>2</v>
      </c>
      <c r="H13" s="188">
        <f t="shared" si="0"/>
        <v>329.25553417074951</v>
      </c>
      <c r="J13" s="85" t="s">
        <v>4</v>
      </c>
      <c r="K13" s="4">
        <f t="shared" si="1"/>
        <v>329.25553417074951</v>
      </c>
      <c r="L13" s="4">
        <f t="shared" si="2"/>
        <v>392.17999653845061</v>
      </c>
      <c r="M13" s="4">
        <f t="shared" si="8"/>
        <v>96.089998269225674</v>
      </c>
      <c r="N13" s="47">
        <f t="shared" si="9"/>
        <v>2870.2576417917576</v>
      </c>
      <c r="P13" s="123" t="str">
        <f t="shared" si="10"/>
        <v>E</v>
      </c>
      <c r="Q13" s="4">
        <f t="shared" si="11"/>
        <v>330.74614910960105</v>
      </c>
      <c r="R13" s="4">
        <f t="shared" si="12"/>
        <v>-7.820003461549498</v>
      </c>
      <c r="S13" s="145" t="str">
        <f t="shared" si="3"/>
        <v>E</v>
      </c>
      <c r="T13" s="4">
        <f t="shared" si="4"/>
        <v>329.25553417074951</v>
      </c>
      <c r="U13" s="47">
        <f t="shared" si="5"/>
        <v>-7.820003461549498</v>
      </c>
    </row>
    <row r="14" spans="2:23" x14ac:dyDescent="0.2">
      <c r="B14" s="107" t="s">
        <v>8</v>
      </c>
      <c r="C14" s="185">
        <v>-1</v>
      </c>
      <c r="D14" s="4">
        <f t="shared" si="13"/>
        <v>-9</v>
      </c>
      <c r="E14" s="4">
        <f t="shared" si="6"/>
        <v>1973.3035877953839</v>
      </c>
      <c r="F14" s="4">
        <f t="shared" si="7"/>
        <v>699.99999999999977</v>
      </c>
      <c r="G14" s="97">
        <v>2</v>
      </c>
      <c r="H14" s="188">
        <f t="shared" si="0"/>
        <v>493.32589694884598</v>
      </c>
      <c r="J14" s="85" t="s">
        <v>5</v>
      </c>
      <c r="K14" s="4">
        <f t="shared" si="1"/>
        <v>350.01785668734101</v>
      </c>
      <c r="L14" s="4">
        <f t="shared" si="2"/>
        <v>498.04499913461217</v>
      </c>
      <c r="M14" s="4">
        <f t="shared" si="8"/>
        <v>105.86500259616146</v>
      </c>
      <c r="N14" s="47">
        <f t="shared" si="9"/>
        <v>2700.0000000000005</v>
      </c>
      <c r="P14" s="123" t="str">
        <f t="shared" si="10"/>
        <v>F</v>
      </c>
      <c r="Q14" s="4">
        <f t="shared" si="11"/>
        <v>350.41333858307883</v>
      </c>
      <c r="R14" s="4">
        <f t="shared" si="12"/>
        <v>-1.9550008653879698</v>
      </c>
      <c r="S14" s="145" t="str">
        <f t="shared" si="3"/>
        <v>B</v>
      </c>
      <c r="T14" s="4">
        <f t="shared" si="4"/>
        <v>493.32589694884598</v>
      </c>
      <c r="U14" s="47">
        <f t="shared" si="5"/>
        <v>-7.8200034615502698</v>
      </c>
    </row>
    <row r="15" spans="2:23" x14ac:dyDescent="0.2">
      <c r="B15" s="107" t="s">
        <v>70</v>
      </c>
      <c r="C15" s="185">
        <v>-1</v>
      </c>
      <c r="D15" s="4">
        <f t="shared" si="13"/>
        <v>-10</v>
      </c>
      <c r="E15" s="4">
        <f t="shared" si="6"/>
        <v>2956.6147304199694</v>
      </c>
      <c r="F15" s="4">
        <f t="shared" si="7"/>
        <v>699.99999999999977</v>
      </c>
      <c r="G15" s="97">
        <v>3</v>
      </c>
      <c r="H15" s="188">
        <f t="shared" si="0"/>
        <v>369.57684130249618</v>
      </c>
      <c r="J15" s="85" t="s">
        <v>70</v>
      </c>
      <c r="K15" s="4">
        <f t="shared" si="1"/>
        <v>369.57684130249618</v>
      </c>
      <c r="L15" s="4">
        <f t="shared" si="2"/>
        <v>592.17999653845015</v>
      </c>
      <c r="M15" s="4">
        <f t="shared" si="8"/>
        <v>94.134997403837943</v>
      </c>
      <c r="N15" s="47">
        <f t="shared" si="9"/>
        <v>2557.1088538047902</v>
      </c>
      <c r="P15" s="123" t="str">
        <f t="shared" si="10"/>
        <v>F#</v>
      </c>
      <c r="Q15" s="4">
        <f t="shared" si="11"/>
        <v>371.25000000000011</v>
      </c>
      <c r="R15" s="4">
        <f t="shared" si="12"/>
        <v>-7.8200034615498835</v>
      </c>
      <c r="S15" s="145" t="str">
        <f t="shared" si="3"/>
        <v>F#</v>
      </c>
      <c r="T15" s="4">
        <f t="shared" si="4"/>
        <v>369.57684130249618</v>
      </c>
      <c r="U15" s="47">
        <f t="shared" si="5"/>
        <v>-7.8200034615498835</v>
      </c>
    </row>
    <row r="16" spans="2:23" x14ac:dyDescent="0.2">
      <c r="B16" s="107" t="s">
        <v>74</v>
      </c>
      <c r="C16" s="185">
        <v>0</v>
      </c>
      <c r="D16" s="4">
        <f t="shared" si="13"/>
        <v>-10</v>
      </c>
      <c r="E16" s="4">
        <f t="shared" si="6"/>
        <v>4434.9220956299541</v>
      </c>
      <c r="F16" s="4">
        <f t="shared" si="7"/>
        <v>701.95500086538743</v>
      </c>
      <c r="G16" s="97">
        <v>4</v>
      </c>
      <c r="H16" s="188">
        <f t="shared" si="0"/>
        <v>277.18263097687213</v>
      </c>
      <c r="J16" s="85" t="s">
        <v>6</v>
      </c>
      <c r="K16" s="4">
        <f t="shared" si="1"/>
        <v>392.88176036212946</v>
      </c>
      <c r="L16" s="4">
        <f t="shared" si="2"/>
        <v>698.04499913461268</v>
      </c>
      <c r="M16" s="4">
        <f t="shared" si="8"/>
        <v>105.86500259616255</v>
      </c>
      <c r="N16" s="47">
        <f t="shared" si="9"/>
        <v>2405.4265389789161</v>
      </c>
      <c r="P16" s="123" t="str">
        <f t="shared" si="10"/>
        <v>G</v>
      </c>
      <c r="Q16" s="4">
        <f t="shared" si="11"/>
        <v>393.32567378088851</v>
      </c>
      <c r="R16" s="4">
        <f t="shared" si="12"/>
        <v>-1.955000865387585</v>
      </c>
      <c r="S16" s="145" t="str">
        <f t="shared" si="3"/>
        <v>C#</v>
      </c>
      <c r="T16" s="4">
        <f t="shared" si="4"/>
        <v>277.18263097687213</v>
      </c>
      <c r="U16" s="47">
        <f t="shared" si="5"/>
        <v>-5.8650025961624666</v>
      </c>
    </row>
    <row r="17" spans="2:26" x14ac:dyDescent="0.2">
      <c r="B17" s="107" t="s">
        <v>72</v>
      </c>
      <c r="C17" s="185">
        <v>0</v>
      </c>
      <c r="D17" s="4">
        <f t="shared" si="13"/>
        <v>-10</v>
      </c>
      <c r="E17" s="4">
        <f t="shared" si="6"/>
        <v>6652.3831434449312</v>
      </c>
      <c r="F17" s="4">
        <f t="shared" si="7"/>
        <v>701.95500086538743</v>
      </c>
      <c r="G17" s="97">
        <v>4</v>
      </c>
      <c r="H17" s="188">
        <f t="shared" si="0"/>
        <v>415.7739464653082</v>
      </c>
      <c r="J17" s="85" t="s">
        <v>72</v>
      </c>
      <c r="K17" s="4">
        <f t="shared" si="1"/>
        <v>415.7739464653082</v>
      </c>
      <c r="L17" s="4">
        <f t="shared" si="2"/>
        <v>796.08999826922502</v>
      </c>
      <c r="M17" s="4">
        <f t="shared" si="8"/>
        <v>98.044999134612354</v>
      </c>
      <c r="N17" s="47">
        <f t="shared" si="9"/>
        <v>2272.9856478264801</v>
      </c>
      <c r="P17" s="123" t="str">
        <f t="shared" si="10"/>
        <v>G#</v>
      </c>
      <c r="Q17" s="4">
        <f t="shared" si="11"/>
        <v>416.71403543485491</v>
      </c>
      <c r="R17" s="4">
        <f t="shared" si="12"/>
        <v>-3.910001730775444</v>
      </c>
      <c r="S17" s="145" t="str">
        <f t="shared" si="3"/>
        <v>G#</v>
      </c>
      <c r="T17" s="4">
        <f t="shared" si="4"/>
        <v>415.7739464653082</v>
      </c>
      <c r="U17" s="47">
        <f t="shared" si="5"/>
        <v>-3.910001730775444</v>
      </c>
    </row>
    <row r="18" spans="2:26" x14ac:dyDescent="0.2">
      <c r="B18" s="107" t="s">
        <v>76</v>
      </c>
      <c r="C18" s="185">
        <v>-1</v>
      </c>
      <c r="D18" s="4">
        <f t="shared" si="13"/>
        <v>-11</v>
      </c>
      <c r="E18" s="4">
        <f t="shared" si="6"/>
        <v>9967.312741918684</v>
      </c>
      <c r="F18" s="4">
        <f t="shared" si="7"/>
        <v>699.99999999999977</v>
      </c>
      <c r="G18" s="97">
        <v>5</v>
      </c>
      <c r="H18" s="188">
        <f t="shared" si="0"/>
        <v>311.47852318495887</v>
      </c>
      <c r="J18" s="85" t="s">
        <v>7</v>
      </c>
      <c r="K18" s="4">
        <f t="shared" si="1"/>
        <v>440.00000000000011</v>
      </c>
      <c r="L18" s="4">
        <f t="shared" si="2"/>
        <v>894.13499740383804</v>
      </c>
      <c r="M18" s="4">
        <f t="shared" si="8"/>
        <v>98.044999134612695</v>
      </c>
      <c r="N18" s="47">
        <f t="shared" si="9"/>
        <v>2147.8368478541379</v>
      </c>
      <c r="P18" s="123" t="str">
        <f t="shared" si="10"/>
        <v>A</v>
      </c>
      <c r="Q18" s="4">
        <f t="shared" si="11"/>
        <v>441.4931414447604</v>
      </c>
      <c r="R18" s="4">
        <f t="shared" si="12"/>
        <v>-5.8650025961626593</v>
      </c>
      <c r="S18" s="145" t="str">
        <f t="shared" si="3"/>
        <v>D#</v>
      </c>
      <c r="T18" s="4">
        <f t="shared" si="4"/>
        <v>311.47852318495887</v>
      </c>
      <c r="U18" s="47">
        <f t="shared" si="5"/>
        <v>-3.9100017307752508</v>
      </c>
    </row>
    <row r="19" spans="2:26" x14ac:dyDescent="0.2">
      <c r="B19" s="107" t="s">
        <v>73</v>
      </c>
      <c r="C19" s="185">
        <v>-1</v>
      </c>
      <c r="D19" s="4">
        <f t="shared" si="13"/>
        <v>-12</v>
      </c>
      <c r="E19" s="4">
        <f t="shared" si="6"/>
        <v>14934.095218659884</v>
      </c>
      <c r="F19" s="4">
        <f t="shared" si="7"/>
        <v>700</v>
      </c>
      <c r="G19" s="97">
        <v>5</v>
      </c>
      <c r="H19" s="188">
        <f t="shared" si="0"/>
        <v>466.69047558312138</v>
      </c>
      <c r="J19" s="85" t="s">
        <v>73</v>
      </c>
      <c r="K19" s="4">
        <f t="shared" si="1"/>
        <v>466.69047558312138</v>
      </c>
      <c r="L19" s="4">
        <f t="shared" si="2"/>
        <v>996.08999826922491</v>
      </c>
      <c r="M19" s="4">
        <f t="shared" si="8"/>
        <v>101.95500086538691</v>
      </c>
      <c r="N19" s="47">
        <f t="shared" si="9"/>
        <v>2025.0000000000002</v>
      </c>
      <c r="P19" s="123" t="str">
        <f t="shared" si="10"/>
        <v>A#</v>
      </c>
      <c r="Q19" s="4">
        <f t="shared" si="11"/>
        <v>467.7456897734719</v>
      </c>
      <c r="R19" s="4">
        <f t="shared" si="12"/>
        <v>-3.9100017307756363</v>
      </c>
      <c r="S19" s="145" t="str">
        <f t="shared" si="3"/>
        <v>A#</v>
      </c>
      <c r="T19" s="4">
        <f t="shared" si="4"/>
        <v>466.69047558312138</v>
      </c>
      <c r="U19" s="47">
        <f t="shared" si="5"/>
        <v>-3.9100017307756363</v>
      </c>
    </row>
    <row r="20" spans="2:26" x14ac:dyDescent="0.2">
      <c r="B20" s="107" t="s">
        <v>5</v>
      </c>
      <c r="C20" s="185">
        <v>0</v>
      </c>
      <c r="D20" s="4">
        <f t="shared" si="13"/>
        <v>-12</v>
      </c>
      <c r="E20" s="4">
        <f t="shared" si="6"/>
        <v>22401.142827989825</v>
      </c>
      <c r="F20" s="4">
        <f t="shared" si="7"/>
        <v>701.95500086538721</v>
      </c>
      <c r="G20" s="97">
        <v>6</v>
      </c>
      <c r="H20" s="188">
        <f t="shared" si="0"/>
        <v>350.01785668734101</v>
      </c>
      <c r="J20" s="85" t="s">
        <v>8</v>
      </c>
      <c r="K20" s="4">
        <f t="shared" si="1"/>
        <v>493.32589694884598</v>
      </c>
      <c r="L20" s="4">
        <f t="shared" si="2"/>
        <v>1092.1799965384505</v>
      </c>
      <c r="M20" s="4">
        <f t="shared" si="8"/>
        <v>96.089998269225674</v>
      </c>
      <c r="N20" s="47">
        <f t="shared" si="9"/>
        <v>1915.6671459998684</v>
      </c>
      <c r="P20" s="123" t="str">
        <f t="shared" si="10"/>
        <v>B</v>
      </c>
      <c r="Q20" s="4">
        <f t="shared" si="11"/>
        <v>495.55929586062553</v>
      </c>
      <c r="R20" s="4">
        <f t="shared" si="12"/>
        <v>-7.8200034615502698</v>
      </c>
      <c r="S20" s="145" t="str">
        <f t="shared" si="3"/>
        <v>F</v>
      </c>
      <c r="T20" s="4">
        <f t="shared" si="4"/>
        <v>350.01785668734101</v>
      </c>
      <c r="U20" s="47">
        <f t="shared" si="5"/>
        <v>-1.9550008653879698</v>
      </c>
    </row>
    <row r="21" spans="2:26" x14ac:dyDescent="0.2">
      <c r="B21" s="108" t="s">
        <v>78</v>
      </c>
      <c r="C21" s="186">
        <v>0</v>
      </c>
      <c r="D21" s="53">
        <f t="shared" si="13"/>
        <v>-12</v>
      </c>
      <c r="E21" s="53">
        <f t="shared" si="6"/>
        <v>33601.714241984737</v>
      </c>
      <c r="F21" s="53">
        <f t="shared" si="7"/>
        <v>701.95500086538743</v>
      </c>
      <c r="G21" s="98">
        <v>6</v>
      </c>
      <c r="H21" s="48">
        <f t="shared" si="0"/>
        <v>525.02678503101151</v>
      </c>
      <c r="J21" s="87" t="s">
        <v>78</v>
      </c>
      <c r="K21" s="53">
        <f t="shared" si="1"/>
        <v>525.02678503101151</v>
      </c>
      <c r="L21" s="53">
        <f t="shared" si="2"/>
        <v>1199.9999999999995</v>
      </c>
      <c r="M21" s="53">
        <f t="shared" si="8"/>
        <v>107.82000346154905</v>
      </c>
      <c r="N21" s="48">
        <f t="shared" si="9"/>
        <v>1800.0000000000002</v>
      </c>
      <c r="P21" s="108" t="str">
        <f t="shared" si="10"/>
        <v>c oct.</v>
      </c>
      <c r="Q21" s="53">
        <f t="shared" si="11"/>
        <v>525.02678503101185</v>
      </c>
      <c r="R21" s="53">
        <f t="shared" si="12"/>
        <v>-1.1532335413733707E-12</v>
      </c>
      <c r="S21" s="151" t="str">
        <f t="shared" si="3"/>
        <v>c oct.</v>
      </c>
      <c r="T21" s="53">
        <f t="shared" si="4"/>
        <v>525.02678503101151</v>
      </c>
      <c r="U21" s="48">
        <f t="shared" si="5"/>
        <v>-1.1532335413733707E-12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Neidhardt 1 Interval in cents</v>
      </c>
      <c r="F26" s="84" t="s">
        <v>18</v>
      </c>
      <c r="G26" s="52" t="str">
        <f>_xlfn.CONCAT("diff ",$F$2)</f>
        <v>diff 1/12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392.17999653845061</v>
      </c>
      <c r="F27" s="4">
        <f t="shared" ref="F27" si="15">VLOOKUP(B27,Master_Frequencies,2,FALSE)*5/4</f>
        <v>328.14174064438225</v>
      </c>
      <c r="G27" s="47">
        <f t="shared" ref="G27" si="16">IF($D$2="Cents",LOG(VLOOKUP(C27,Master_Frequencies,2,FALSE)/F27,2)*1200*$F$3,LOG(D27*VLOOKUP(C27,Master_Frequencies,2,FALSE)/F27,$F$3))</f>
        <v>-3.0006547707862516</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1.2542428064933924</v>
      </c>
      <c r="Q27" s="99">
        <v>1</v>
      </c>
      <c r="R27" s="18">
        <f>$E$9*Q27</f>
        <v>262.51339251550581</v>
      </c>
      <c r="S27" s="97">
        <v>0</v>
      </c>
      <c r="T27" s="4">
        <f>R27/POWER(2,S27)</f>
        <v>262.51339251550581</v>
      </c>
      <c r="U27" s="18" t="str" cm="1">
        <f t="array" ref="U27">_xlfn.XLOOKUP(0,ABS($C$44:$C$56-T27),$B$44:$B$56,,1)</f>
        <v>C</v>
      </c>
      <c r="V27" s="47">
        <f t="shared" ref="V27" si="19">LOG(T27/VLOOKUP(U27,Master_Frequencies,2,FALSE),2)*1200</f>
        <v>0</v>
      </c>
      <c r="X27" s="85" t="s">
        <v>2</v>
      </c>
      <c r="Y27" s="4">
        <f t="shared" ref="Y27" si="20">VLOOKUP(X27,Master_Frequencies,2,FALSE)/POWER(2,$Z$25)</f>
        <v>131.25669625775291</v>
      </c>
      <c r="Z27" s="47">
        <f t="shared" ref="Z27" si="21">VLOOKUP(X27,Master_Frequencies,2,FALSE)*POWER(2,$Z$25)</f>
        <v>525.02678503101163</v>
      </c>
    </row>
    <row r="28" spans="2:26" x14ac:dyDescent="0.2">
      <c r="B28" s="123" t="s">
        <v>74</v>
      </c>
      <c r="C28" s="145" t="s">
        <v>5</v>
      </c>
      <c r="D28" s="97">
        <v>1</v>
      </c>
      <c r="E28" s="4">
        <f t="shared" ref="E28" si="22">LOG(D28*VLOOKUP(C28,Master_Frequencies,2,FALSE)/VLOOKUP(B28,Master_Frequencies,2,FALSE),2)*1200</f>
        <v>403.91000173077458</v>
      </c>
      <c r="F28" s="4">
        <f t="shared" ref="F28" si="23">VLOOKUP(B28,Master_Frequencies,2,FALSE)*5/4</f>
        <v>346.47828872109017</v>
      </c>
      <c r="G28" s="47">
        <f t="shared" ref="G28" si="24">IF($D$2="Cents",LOG(VLOOKUP(C28,Master_Frequencies,2,FALSE)/F28,2)*1200*$F$3,LOG(D28*VLOOKUP(C28,Master_Frequencies,2,FALSE)/F28,$F$3))</f>
        <v>-9.0006547707858697</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1.2627698043480444</v>
      </c>
      <c r="Q28" s="99">
        <v>2</v>
      </c>
      <c r="R28" s="18">
        <f t="shared" ref="R28:R39" si="27">$E$9*Q28</f>
        <v>525.02678503101163</v>
      </c>
      <c r="S28" s="97">
        <v>0</v>
      </c>
      <c r="T28" s="4">
        <f t="shared" ref="T28:T39" si="28">R28/POWER(2,S28)</f>
        <v>525.02678503101163</v>
      </c>
      <c r="U28" s="18" t="str" cm="1">
        <f t="array" ref="U28">_xlfn.XLOOKUP(0,ABS($C$44:$C$56-T28),$B$44:$B$56,,1)</f>
        <v>c oct.</v>
      </c>
      <c r="V28" s="47">
        <f t="shared" ref="V28" si="29">LOG(T28/VLOOKUP(U28,Master_Frequencies,2,FALSE),2)*1200</f>
        <v>3.8441118045779013E-13</v>
      </c>
      <c r="X28" s="85" t="s">
        <v>74</v>
      </c>
      <c r="Y28" s="4">
        <f t="shared" ref="Y28" si="30">VLOOKUP(X28,Master_Frequencies,2,FALSE)/POWER(2,$Z$25)</f>
        <v>138.59131548843607</v>
      </c>
      <c r="Z28" s="47">
        <f t="shared" ref="Z28" si="31">VLOOKUP(X28,Master_Frequencies,2,FALSE)*POWER(2,$Z$25)</f>
        <v>554.36526195374427</v>
      </c>
    </row>
    <row r="29" spans="2:26" x14ac:dyDescent="0.2">
      <c r="B29" s="123" t="s">
        <v>3</v>
      </c>
      <c r="C29" s="145" t="s">
        <v>70</v>
      </c>
      <c r="D29" s="97">
        <v>1</v>
      </c>
      <c r="E29" s="4">
        <f t="shared" ref="E29" si="32">LOG(D29*VLOOKUP(C29,Master_Frequencies,2,FALSE)/VLOOKUP(B29,Master_Frequencies,2,FALSE),2)*1200</f>
        <v>396.08999826922508</v>
      </c>
      <c r="F29" s="4">
        <f t="shared" ref="F29" si="33">VLOOKUP(B29,Master_Frequencies,2,FALSE)*5/4</f>
        <v>367.49572123289005</v>
      </c>
      <c r="G29" s="47">
        <f t="shared" ref="G29" si="34">IF($D$2="Cents",LOG(VLOOKUP(C29,Master_Frequencies,2,FALSE)/F29,2)*1200*$F$3,LOG(D29*VLOOKUP(C29,Master_Frequencies,2,FALSE)/F29,$F$3))</f>
        <v>-5.0006547707859239</v>
      </c>
      <c r="I29" s="123" t="s">
        <v>3</v>
      </c>
      <c r="J29" s="145" t="s">
        <v>7</v>
      </c>
      <c r="K29" s="97">
        <v>1</v>
      </c>
      <c r="L29" s="191">
        <f t="shared" ref="L29" si="35">K29*VLOOKUP(J29,Master_Frequencies,2,FALSE)/VLOOKUP(I29,Master_Frequencies,2,FALSE)</f>
        <v>1.4966160644124973</v>
      </c>
      <c r="M29" s="145" t="s">
        <v>3</v>
      </c>
      <c r="N29" s="145" t="s">
        <v>70</v>
      </c>
      <c r="O29" s="191">
        <f t="shared" ref="O29" si="36">D29*VLOOKUP(N29,Master_Frequencies,2,FALSE)/VLOOKUP(M29,Master_Frequencies,2,FALSE)</f>
        <v>1.2570787221094177</v>
      </c>
      <c r="Q29" s="99">
        <v>3</v>
      </c>
      <c r="R29" s="18">
        <f t="shared" si="27"/>
        <v>787.5401775465175</v>
      </c>
      <c r="S29" s="97">
        <v>1</v>
      </c>
      <c r="T29" s="4">
        <f t="shared" si="28"/>
        <v>393.77008877325875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146.99828849315602</v>
      </c>
      <c r="Z29" s="47">
        <f t="shared" ref="Z29" si="39">VLOOKUP(X29,Master_Frequencies,2,FALSE)*POWER(2,$Z$25)</f>
        <v>587.9931539726241</v>
      </c>
    </row>
    <row r="30" spans="2:26" x14ac:dyDescent="0.2">
      <c r="B30" s="123" t="s">
        <v>76</v>
      </c>
      <c r="C30" s="145" t="s">
        <v>6</v>
      </c>
      <c r="D30" s="97">
        <v>1</v>
      </c>
      <c r="E30" s="4">
        <f t="shared" ref="E30" si="40">LOG(D30*VLOOKUP(C30,Master_Frequencies,2,FALSE)/VLOOKUP(B30,Master_Frequencies,2,FALSE),2)*1200</f>
        <v>401.95500086538777</v>
      </c>
      <c r="F30" s="4">
        <f t="shared" ref="F30" si="41">VLOOKUP(B30,Master_Frequencies,2,FALSE)*5/4</f>
        <v>389.34815398119861</v>
      </c>
      <c r="G30" s="47">
        <f t="shared" ref="G30" si="42">IF($D$2="Cents",LOG(VLOOKUP(C30,Master_Frequencies,2,FALSE)/F30,2)*1200*$F$3,LOG(D30*VLOOKUP(C30,Master_Frequencies,2,FALSE)/F30,$F$3))</f>
        <v>-8.0006547707861753</v>
      </c>
      <c r="I30" s="123" t="s">
        <v>76</v>
      </c>
      <c r="J30" s="145" t="s">
        <v>73</v>
      </c>
      <c r="K30" s="97">
        <v>1</v>
      </c>
      <c r="L30" s="191">
        <f t="shared" ref="L30" si="43">K30*VLOOKUP(J30,Master_Frequencies,2,FALSE)/VLOOKUP(I30,Master_Frequencies,2,FALSE)</f>
        <v>1.4983070768766815</v>
      </c>
      <c r="M30" s="145" t="s">
        <v>76</v>
      </c>
      <c r="N30" s="145" t="s">
        <v>6</v>
      </c>
      <c r="O30" s="191">
        <f t="shared" ref="O30" si="44">D30*VLOOKUP(N30,Master_Frequencies,2,FALSE)/VLOOKUP(M30,Master_Frequencies,2,FALSE)</f>
        <v>1.261344622880572</v>
      </c>
      <c r="Q30" s="99">
        <v>4</v>
      </c>
      <c r="R30" s="18">
        <f t="shared" si="27"/>
        <v>1050.0535700620233</v>
      </c>
      <c r="S30" s="97">
        <v>1</v>
      </c>
      <c r="T30" s="4">
        <f t="shared" si="28"/>
        <v>525.02678503101163</v>
      </c>
      <c r="U30" s="18" t="str" cm="1">
        <f t="array" ref="U30">_xlfn.XLOOKUP(0,ABS($C$44:$C$56-T30),$B$44:$B$56,,1)</f>
        <v>c oct.</v>
      </c>
      <c r="V30" s="47">
        <f t="shared" ref="V30" si="45">LOG(T30/VLOOKUP(U30,Master_Frequencies,2,FALSE),2)*1200</f>
        <v>3.8441118045779013E-13</v>
      </c>
      <c r="X30" s="85" t="s">
        <v>76</v>
      </c>
      <c r="Y30" s="4">
        <f t="shared" ref="Y30" si="46">VLOOKUP(X30,Master_Frequencies,2,FALSE)/POWER(2,$Z$25)</f>
        <v>155.73926159247944</v>
      </c>
      <c r="Z30" s="47">
        <f t="shared" ref="Z30" si="47">VLOOKUP(X30,Master_Frequencies,2,FALSE)*POWER(2,$Z$25)</f>
        <v>622.95704636991775</v>
      </c>
    </row>
    <row r="31" spans="2:26" x14ac:dyDescent="0.2">
      <c r="B31" s="123" t="s">
        <v>4</v>
      </c>
      <c r="C31" s="145" t="s">
        <v>72</v>
      </c>
      <c r="D31" s="97">
        <v>1</v>
      </c>
      <c r="E31" s="4">
        <f t="shared" ref="E31" si="48">LOG(D31*VLOOKUP(C31,Master_Frequencies,2,FALSE)/VLOOKUP(B31,Master_Frequencies,2,FALSE),2)*1200</f>
        <v>403.91000173077458</v>
      </c>
      <c r="F31" s="4">
        <f t="shared" ref="F31" si="49">VLOOKUP(B31,Master_Frequencies,2,FALSE)*5/4</f>
        <v>411.56941771343691</v>
      </c>
      <c r="G31" s="47">
        <f t="shared" ref="G31" si="50">IF($D$2="Cents",LOG(VLOOKUP(C31,Master_Frequencies,2,FALSE)/F31,2)*1200*$F$3,LOG(D31*VLOOKUP(C31,Master_Frequencies,2,FALSE)/F31,$F$3))</f>
        <v>-9.0006547707858697</v>
      </c>
      <c r="I31" s="123" t="s">
        <v>4</v>
      </c>
      <c r="J31" s="145" t="s">
        <v>8</v>
      </c>
      <c r="K31" s="97">
        <v>1</v>
      </c>
      <c r="L31" s="191">
        <f t="shared" ref="L31" si="51">K31*VLOOKUP(J31,Master_Frequencies,2,FALSE)/VLOOKUP(I31,Master_Frequencies,2,FALSE)</f>
        <v>1.4983070768766813</v>
      </c>
      <c r="M31" s="145" t="s">
        <v>4</v>
      </c>
      <c r="N31" s="145" t="s">
        <v>72</v>
      </c>
      <c r="O31" s="191">
        <f t="shared" ref="O31" si="52">D31*VLOOKUP(N31,Master_Frequencies,2,FALSE)/VLOOKUP(M31,Master_Frequencies,2,FALSE)</f>
        <v>1.2627698043480444</v>
      </c>
      <c r="Q31" s="99">
        <v>5</v>
      </c>
      <c r="R31" s="18">
        <f t="shared" si="27"/>
        <v>1312.566962577529</v>
      </c>
      <c r="S31" s="97">
        <v>2</v>
      </c>
      <c r="T31" s="4">
        <f t="shared" si="28"/>
        <v>328.14174064438225</v>
      </c>
      <c r="U31" s="18" t="str" cm="1">
        <f t="array" ref="U31">_xlfn.XLOOKUP(0,ABS($C$44:$C$56-T31),$B$44:$B$56,,1)</f>
        <v>E</v>
      </c>
      <c r="V31" s="47">
        <f t="shared" ref="V31" si="53">LOG(T31/VLOOKUP(U31,Master_Frequencies,2,FALSE),2)*1200</f>
        <v>-5.8662826736158431</v>
      </c>
      <c r="X31" s="85" t="s">
        <v>4</v>
      </c>
      <c r="Y31" s="4">
        <f t="shared" ref="Y31" si="54">VLOOKUP(X31,Master_Frequencies,2,FALSE)/POWER(2,$Z$25)</f>
        <v>164.62776708537476</v>
      </c>
      <c r="Z31" s="47">
        <f t="shared" ref="Z31" si="55">VLOOKUP(X31,Master_Frequencies,2,FALSE)*POWER(2,$Z$25)</f>
        <v>658.51106834149903</v>
      </c>
    </row>
    <row r="32" spans="2:26" x14ac:dyDescent="0.2">
      <c r="B32" s="123" t="s">
        <v>5</v>
      </c>
      <c r="C32" s="145" t="s">
        <v>7</v>
      </c>
      <c r="D32" s="97">
        <v>1</v>
      </c>
      <c r="E32" s="4">
        <f t="shared" ref="E32" si="56">LOG(D32*VLOOKUP(C32,Master_Frequencies,2,FALSE)/VLOOKUP(B32,Master_Frequencies,2,FALSE),2)*1200</f>
        <v>396.0899982692257</v>
      </c>
      <c r="F32" s="4">
        <f t="shared" ref="F32" si="57">VLOOKUP(B32,Master_Frequencies,2,FALSE)*5/4</f>
        <v>437.52232085917626</v>
      </c>
      <c r="G32" s="47">
        <f t="shared" ref="G32" si="58">IF($D$2="Cents",LOG(VLOOKUP(C32,Master_Frequencies,2,FALSE)/F32,2)*1200*$F$3,LOG(D32*VLOOKUP(C32,Master_Frequencies,2,FALSE)/F32,$F$3))</f>
        <v>-5.0006547707863147</v>
      </c>
      <c r="I32" s="123" t="s">
        <v>5</v>
      </c>
      <c r="J32" s="145" t="s">
        <v>78</v>
      </c>
      <c r="K32" s="97">
        <v>1</v>
      </c>
      <c r="L32" s="191">
        <f t="shared" ref="L32" si="59">K32*VLOOKUP(J32,Master_Frequencies,2,FALSE)/VLOOKUP(I32,Master_Frequencies,2,FALSE)</f>
        <v>1.5</v>
      </c>
      <c r="M32" s="145" t="s">
        <v>5</v>
      </c>
      <c r="N32" s="145" t="s">
        <v>7</v>
      </c>
      <c r="O32" s="191">
        <f t="shared" ref="O32" si="60">D32*VLOOKUP(N32,Master_Frequencies,2,FALSE)/VLOOKUP(M32,Master_Frequencies,2,FALSE)</f>
        <v>1.2570787221094182</v>
      </c>
      <c r="Q32" s="99">
        <v>6</v>
      </c>
      <c r="R32" s="18">
        <f t="shared" si="27"/>
        <v>1575.080355093035</v>
      </c>
      <c r="S32" s="97">
        <v>2</v>
      </c>
      <c r="T32" s="4">
        <f t="shared" si="28"/>
        <v>393.77008877325875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175.0089283436705</v>
      </c>
      <c r="Z32" s="47">
        <f t="shared" ref="Z32" si="63">VLOOKUP(X32,Master_Frequencies,2,FALSE)*POWER(2,$Z$25)</f>
        <v>700.03571337468202</v>
      </c>
    </row>
    <row r="33" spans="2:26" x14ac:dyDescent="0.2">
      <c r="B33" s="123" t="s">
        <v>70</v>
      </c>
      <c r="C33" s="145" t="s">
        <v>73</v>
      </c>
      <c r="D33" s="97">
        <v>1</v>
      </c>
      <c r="E33" s="4">
        <f t="shared" ref="E33" si="64">LOG(D33*VLOOKUP(C33,Master_Frequencies,2,FALSE)/VLOOKUP(B33,Master_Frequencies,2,FALSE),2)*1200</f>
        <v>403.91000173077458</v>
      </c>
      <c r="F33" s="4">
        <f t="shared" ref="F33" si="65">VLOOKUP(B33,Master_Frequencies,2,FALSE)*5/4</f>
        <v>461.97105162812022</v>
      </c>
      <c r="G33" s="47">
        <f t="shared" ref="G33" si="66">IF($D$2="Cents",LOG(VLOOKUP(C33,Master_Frequencies,2,FALSE)/F33,2)*1200*$F$3,LOG(D33*VLOOKUP(C33,Master_Frequencies,2,FALSE)/F33,$F$3))</f>
        <v>-9.0006547707860651</v>
      </c>
      <c r="I33" s="123" t="s">
        <v>70</v>
      </c>
      <c r="J33" s="145" t="s">
        <v>74</v>
      </c>
      <c r="K33" s="97">
        <v>2</v>
      </c>
      <c r="L33" s="191">
        <f t="shared" ref="L33" si="67">K33*VLOOKUP(J33,Master_Frequencies,2,FALSE)/VLOOKUP(I33,Master_Frequencies,2,FALSE)</f>
        <v>1.5</v>
      </c>
      <c r="M33" s="145" t="s">
        <v>70</v>
      </c>
      <c r="N33" s="145" t="s">
        <v>73</v>
      </c>
      <c r="O33" s="191">
        <f t="shared" ref="O33" si="68">D33*VLOOKUP(N33,Master_Frequencies,2,FALSE)/VLOOKUP(M33,Master_Frequencies,2,FALSE)</f>
        <v>1.2627698043480444</v>
      </c>
      <c r="Q33" s="99">
        <v>7</v>
      </c>
      <c r="R33" s="18">
        <f t="shared" si="27"/>
        <v>1837.5937476085408</v>
      </c>
      <c r="S33" s="97">
        <v>2</v>
      </c>
      <c r="T33" s="4">
        <f t="shared" si="28"/>
        <v>459.39843690213519</v>
      </c>
      <c r="U33" s="18" t="str" cm="1">
        <f t="array" ref="U33">_xlfn.XLOOKUP(0,ABS($C$44:$C$56-T33),$B$44:$B$56,,1)</f>
        <v>A#</v>
      </c>
      <c r="V33" s="47">
        <f t="shared" ref="V33" si="69">LOG(T33/VLOOKUP(U33,Master_Frequencies,2,FALSE),2)*1200</f>
        <v>-27.264091800100044</v>
      </c>
      <c r="X33" s="85" t="s">
        <v>70</v>
      </c>
      <c r="Y33" s="4">
        <f t="shared" ref="Y33" si="70">VLOOKUP(X33,Master_Frequencies,2,FALSE)/POWER(2,$Z$25)</f>
        <v>184.78842065124809</v>
      </c>
      <c r="Z33" s="47">
        <f t="shared" ref="Z33" si="71">VLOOKUP(X33,Master_Frequencies,2,FALSE)*POWER(2,$Z$25)</f>
        <v>739.15368260499235</v>
      </c>
    </row>
    <row r="34" spans="2:26" x14ac:dyDescent="0.2">
      <c r="B34" s="123" t="s">
        <v>6</v>
      </c>
      <c r="C34" s="145" t="s">
        <v>8</v>
      </c>
      <c r="D34" s="97">
        <v>1</v>
      </c>
      <c r="E34" s="4">
        <f t="shared" ref="E34" si="72">LOG(D34*VLOOKUP(C34,Master_Frequencies,2,FALSE)/VLOOKUP(B34,Master_Frequencies,2,FALSE),2)*1200</f>
        <v>394.13499740383776</v>
      </c>
      <c r="F34" s="4">
        <f t="shared" ref="F34" si="73">VLOOKUP(B34,Master_Frequencies,2,FALSE)*5/4</f>
        <v>491.1022004526618</v>
      </c>
      <c r="G34" s="47">
        <f t="shared" ref="G34" si="74">IF($D$2="Cents",LOG(VLOOKUP(C34,Master_Frequencies,2,FALSE)/F34,2)*1200*$F$3,LOG(D34*VLOOKUP(C34,Master_Frequencies,2,FALSE)/F34,$F$3))</f>
        <v>-4.0006547707860589</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1.2556599636850907</v>
      </c>
      <c r="Q34" s="99">
        <v>8</v>
      </c>
      <c r="R34" s="18">
        <f t="shared" si="27"/>
        <v>2100.1071401240465</v>
      </c>
      <c r="S34" s="97">
        <v>3</v>
      </c>
      <c r="T34" s="4">
        <f t="shared" si="28"/>
        <v>262.51339251550581</v>
      </c>
      <c r="U34" s="18" t="str" cm="1">
        <f t="array" ref="U34">_xlfn.XLOOKUP(0,ABS($C$44:$C$56-T34),$B$44:$B$56,,1)</f>
        <v>C</v>
      </c>
      <c r="V34" s="47">
        <f t="shared" ref="V34" si="77">LOG(T34/VLOOKUP(U34,Master_Frequencies,2,FALSE),2)*1200</f>
        <v>0</v>
      </c>
      <c r="X34" s="85" t="s">
        <v>6</v>
      </c>
      <c r="Y34" s="4">
        <f t="shared" ref="Y34" si="78">VLOOKUP(X34,Master_Frequencies,2,FALSE)/POWER(2,$Z$25)</f>
        <v>196.44088018106473</v>
      </c>
      <c r="Z34" s="47">
        <f t="shared" ref="Z34" si="79">VLOOKUP(X34,Master_Frequencies,2,FALSE)*POWER(2,$Z$25)</f>
        <v>785.76352072425891</v>
      </c>
    </row>
    <row r="35" spans="2:26" x14ac:dyDescent="0.2">
      <c r="B35" s="123" t="s">
        <v>72</v>
      </c>
      <c r="C35" s="145" t="s">
        <v>78</v>
      </c>
      <c r="D35" s="97">
        <v>1</v>
      </c>
      <c r="E35" s="4">
        <f t="shared" ref="E35" si="80">LOG(D35*VLOOKUP(C35,Master_Frequencies,2,FALSE)/VLOOKUP(B35,Master_Frequencies,2,FALSE),2)*1200</f>
        <v>403.91000173077458</v>
      </c>
      <c r="F35" s="4">
        <f t="shared" ref="F35" si="81">VLOOKUP(B35,Master_Frequencies,2,FALSE)*5/4</f>
        <v>519.71743308163525</v>
      </c>
      <c r="G35" s="47">
        <f t="shared" ref="G35" si="82">IF($D$2="Cents",LOG(VLOOKUP(C35,Master_Frequencies,2,FALSE)/F35,2)*1200*$F$3,LOG(D35*VLOOKUP(C35,Master_Frequencies,2,FALSE)/F35,$F$3))</f>
        <v>-9.0006547707858697</v>
      </c>
      <c r="I35" s="123" t="s">
        <v>72</v>
      </c>
      <c r="J35" s="145" t="s">
        <v>76</v>
      </c>
      <c r="K35" s="97">
        <v>2</v>
      </c>
      <c r="L35" s="191">
        <f t="shared" ref="L35" si="83">K35*VLOOKUP(J35,Master_Frequencies,2,FALSE)/VLOOKUP(I35,Master_Frequencies,2,FALSE)</f>
        <v>1.4983070768766813</v>
      </c>
      <c r="M35" s="145" t="s">
        <v>72</v>
      </c>
      <c r="N35" s="145" t="s">
        <v>78</v>
      </c>
      <c r="O35" s="191">
        <f t="shared" ref="O35" si="84">D35*VLOOKUP(N35,Master_Frequencies,2,FALSE)/VLOOKUP(M35,Master_Frequencies,2,FALSE)</f>
        <v>1.2627698043480444</v>
      </c>
      <c r="Q35" s="99">
        <v>9</v>
      </c>
      <c r="R35" s="18">
        <f t="shared" si="27"/>
        <v>2362.6205326395525</v>
      </c>
      <c r="S35" s="97">
        <v>3</v>
      </c>
      <c r="T35" s="4">
        <f t="shared" si="28"/>
        <v>295.32756657994406</v>
      </c>
      <c r="U35" s="18" t="str" cm="1">
        <f t="array" ref="U35">_xlfn.XLOOKUP(0,ABS($C$44:$C$56-T35),$B$44:$B$56,,1)</f>
        <v>D</v>
      </c>
      <c r="V35" s="47">
        <f t="shared" ref="V35" si="85">LOG(T35/VLOOKUP(U35,Master_Frequencies,2,FALSE),2)*1200</f>
        <v>7.8200034615495593</v>
      </c>
      <c r="X35" s="85" t="s">
        <v>72</v>
      </c>
      <c r="Y35" s="4">
        <f t="shared" ref="Y35" si="86">VLOOKUP(X35,Master_Frequencies,2,FALSE)/POWER(2,$Z$25)</f>
        <v>207.8869732326541</v>
      </c>
      <c r="Z35" s="47">
        <f t="shared" ref="Z35" si="87">VLOOKUP(X35,Master_Frequencies,2,FALSE)*POWER(2,$Z$25)</f>
        <v>831.5478929306164</v>
      </c>
    </row>
    <row r="36" spans="2:26" x14ac:dyDescent="0.2">
      <c r="B36" s="123" t="s">
        <v>7</v>
      </c>
      <c r="C36" s="145" t="s">
        <v>74</v>
      </c>
      <c r="D36" s="97">
        <v>2</v>
      </c>
      <c r="E36" s="4">
        <f t="shared" ref="E36" si="88">LOG(D36*VLOOKUP(C36,Master_Frequencies,2,FALSE)/VLOOKUP(B36,Master_Frequencies,2,FALSE),2)*1200</f>
        <v>399.99999999999972</v>
      </c>
      <c r="F36" s="4">
        <f t="shared" ref="F36" si="89">VLOOKUP(B36,Master_Frequencies,2,FALSE)*5/4</f>
        <v>550.00000000000011</v>
      </c>
      <c r="G36" s="47">
        <f t="shared" ref="G36" si="90">IF($D$2="Cents",LOG(VLOOKUP(C36,Master_Frequencies,2,FALSE)/F36,2)*1200*$F$3,LOG(D36*VLOOKUP(C36,Master_Frequencies,2,FALSE)/F36,$F$3))</f>
        <v>-7.0006547707861069</v>
      </c>
      <c r="I36" s="123" t="s">
        <v>7</v>
      </c>
      <c r="J36" s="145" t="s">
        <v>4</v>
      </c>
      <c r="K36" s="97">
        <v>2</v>
      </c>
      <c r="L36" s="191">
        <f t="shared" ref="L36" si="91">K36*VLOOKUP(J36,Master_Frequencies,2,FALSE)/VLOOKUP(I36,Master_Frequencies,2,FALSE)</f>
        <v>1.4966160644124975</v>
      </c>
      <c r="M36" s="145" t="s">
        <v>7</v>
      </c>
      <c r="N36" s="145" t="s">
        <v>74</v>
      </c>
      <c r="O36" s="191">
        <f t="shared" ref="O36" si="92">D36*VLOOKUP(N36,Master_Frequencies,2,FALSE)/VLOOKUP(M36,Master_Frequencies,2,FALSE)</f>
        <v>1.259921049894873</v>
      </c>
      <c r="Q36" s="99">
        <v>10</v>
      </c>
      <c r="R36" s="18">
        <f t="shared" si="27"/>
        <v>2625.133925155058</v>
      </c>
      <c r="S36" s="97">
        <v>3</v>
      </c>
      <c r="T36" s="4">
        <f t="shared" si="28"/>
        <v>328.14174064438225</v>
      </c>
      <c r="U36" s="18" t="str" cm="1">
        <f t="array" ref="U36">_xlfn.XLOOKUP(0,ABS($C$44:$C$56-T36),$B$44:$B$56,,1)</f>
        <v>E</v>
      </c>
      <c r="V36" s="47">
        <f t="shared" ref="V36" si="93">LOG(T36/VLOOKUP(U36,Master_Frequencies,2,FALSE),2)*1200</f>
        <v>-5.8662826736158431</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400.0000000000004</v>
      </c>
      <c r="F37" s="4">
        <f t="shared" ref="F37" si="97">VLOOKUP(B37,Master_Frequencies,2,FALSE)*5/4</f>
        <v>583.36309447890176</v>
      </c>
      <c r="G37" s="47">
        <f t="shared" ref="G37" si="98">IF($D$2="Cents",LOG(VLOOKUP(C37,Master_Frequencies,2,FALSE)/F37,2)*1200*$F$3,LOG(D37*VLOOKUP(C37,Master_Frequencies,2,FALSE)/F37,$F$3))</f>
        <v>-7.0006547707863023</v>
      </c>
      <c r="I37" s="123" t="s">
        <v>73</v>
      </c>
      <c r="J37" s="145" t="s">
        <v>5</v>
      </c>
      <c r="K37" s="97">
        <v>2</v>
      </c>
      <c r="L37" s="191">
        <f t="shared" ref="L37" si="99">K37*VLOOKUP(J37,Master_Frequencies,2,FALSE)/VLOOKUP(I37,Master_Frequencies,2,FALSE)</f>
        <v>1.4999999999999998</v>
      </c>
      <c r="M37" s="145" t="s">
        <v>73</v>
      </c>
      <c r="N37" s="145" t="s">
        <v>3</v>
      </c>
      <c r="O37" s="191">
        <f t="shared" ref="O37" si="100">D37*VLOOKUP(N37,Master_Frequencies,2,FALSE)/VLOOKUP(M37,Master_Frequencies,2,FALSE)</f>
        <v>1.2599210498948734</v>
      </c>
      <c r="Q37" s="99">
        <v>11</v>
      </c>
      <c r="R37" s="18">
        <f t="shared" si="27"/>
        <v>2887.647317670564</v>
      </c>
      <c r="S37" s="97">
        <v>3</v>
      </c>
      <c r="T37" s="4">
        <f t="shared" si="28"/>
        <v>360.9559147088205</v>
      </c>
      <c r="U37" s="18" t="str" cm="1">
        <f t="array" ref="U37">_xlfn.XLOOKUP(0,ABS($C$44:$C$56-T37),$B$44:$B$56,,1)</f>
        <v>F#</v>
      </c>
      <c r="V37" s="47">
        <f t="shared" ref="V37" si="101">LOG(T37/VLOOKUP(U37,Master_Frequencies,2,FALSE),2)*1200</f>
        <v>-40.862054173693593</v>
      </c>
      <c r="X37" s="85" t="s">
        <v>73</v>
      </c>
      <c r="Y37" s="4">
        <f t="shared" ref="Y37" si="102">VLOOKUP(X37,Master_Frequencies,2,FALSE)/POWER(2,$Z$25)</f>
        <v>233.34523779156069</v>
      </c>
      <c r="Z37" s="47">
        <f t="shared" ref="Z37" si="103">VLOOKUP(X37,Master_Frequencies,2,FALSE)*POWER(2,$Z$25)</f>
        <v>933.38095116624277</v>
      </c>
    </row>
    <row r="38" spans="2:26" x14ac:dyDescent="0.2">
      <c r="B38" s="124" t="s">
        <v>8</v>
      </c>
      <c r="C38" s="153" t="s">
        <v>76</v>
      </c>
      <c r="D38" s="98">
        <v>2</v>
      </c>
      <c r="E38" s="53">
        <f t="shared" ref="E38" si="104">LOG(D38*VLOOKUP(C38,Master_Frequencies,2,FALSE)/VLOOKUP(B38,Master_Frequencies,2,FALSE),2)*1200</f>
        <v>403.91000173077458</v>
      </c>
      <c r="F38" s="53">
        <f t="shared" ref="F38" si="105">VLOOKUP(B38,Master_Frequencies,2,FALSE)*5/4</f>
        <v>616.6573711860575</v>
      </c>
      <c r="G38" s="48">
        <f t="shared" ref="G38" si="106">IF($D$2="Cents",LOG(VLOOKUP(C38,Master_Frequencies,2,FALSE)/F38,2)*1200*$F$3,LOG(D38*VLOOKUP(C38,Master_Frequencies,2,FALSE)/F38,$F$3))</f>
        <v>-9.0006547707858697</v>
      </c>
      <c r="I38" s="124" t="s">
        <v>8</v>
      </c>
      <c r="J38" s="153" t="s">
        <v>70</v>
      </c>
      <c r="K38" s="98">
        <v>2</v>
      </c>
      <c r="L38" s="192">
        <f t="shared" ref="L38" si="107">K38*VLOOKUP(J38,Master_Frequencies,2,FALSE)/VLOOKUP(I38,Master_Frequencies,2,FALSE)</f>
        <v>1.4983070768766813</v>
      </c>
      <c r="M38" s="153" t="s">
        <v>8</v>
      </c>
      <c r="N38" s="153" t="s">
        <v>76</v>
      </c>
      <c r="O38" s="192">
        <f t="shared" ref="O38" si="108">D38*VLOOKUP(N38,Master_Frequencies,2,FALSE)/VLOOKUP(M38,Master_Frequencies,2,FALSE)</f>
        <v>1.2627698043480444</v>
      </c>
      <c r="Q38" s="99">
        <v>12</v>
      </c>
      <c r="R38" s="18">
        <f t="shared" si="27"/>
        <v>3150.16071018607</v>
      </c>
      <c r="S38" s="97">
        <v>3</v>
      </c>
      <c r="T38" s="4">
        <f t="shared" si="28"/>
        <v>393.77008877325875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246.66294847442299</v>
      </c>
      <c r="Z38" s="47">
        <f t="shared" ref="Z38" si="111">VLOOKUP(X38,Master_Frequencies,2,FALSE)*POWER(2,$Z$25)</f>
        <v>986.65179389769196</v>
      </c>
    </row>
    <row r="39" spans="2:26" x14ac:dyDescent="0.2">
      <c r="Q39" s="100">
        <v>13</v>
      </c>
      <c r="R39" s="50">
        <f t="shared" si="27"/>
        <v>3412.6741027015755</v>
      </c>
      <c r="S39" s="98">
        <v>3</v>
      </c>
      <c r="T39" s="53">
        <f t="shared" si="28"/>
        <v>426.58426283769694</v>
      </c>
      <c r="U39" s="50" t="str" cm="1">
        <f t="array" ref="U39">_xlfn.XLOOKUP(0,ABS($C$44:$C$56-T39),$B$44:$B$56,,1)</f>
        <v>G#</v>
      </c>
      <c r="V39" s="48">
        <f t="shared" ref="V39" si="112">LOG(T39/VLOOKUP(U39,Master_Frequencies,2,FALSE),2)*1200</f>
        <v>44.4376635000853</v>
      </c>
      <c r="X39" s="87" t="s">
        <v>78</v>
      </c>
      <c r="Y39" s="53">
        <f t="shared" ref="Y39" si="113">VLOOKUP(X39,Master_Frequencies,2,FALSE)/POWER(2,$Z$25)</f>
        <v>262.51339251550576</v>
      </c>
      <c r="Z39" s="48">
        <f t="shared" ref="Z39" si="114">VLOOKUP(X39,Master_Frequencies,2,FALSE)*POWER(2,$Z$25)</f>
        <v>1050.053570062023</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262.51339251550581</v>
      </c>
    </row>
    <row r="45" spans="2:26" x14ac:dyDescent="0.2">
      <c r="B45" s="92" t="s">
        <v>74</v>
      </c>
      <c r="C45" s="93">
        <f t="shared" ref="C45:C56" si="115">VLOOKUP(B45,$B$9:$H$21,7,FALSE)</f>
        <v>277.18263097687213</v>
      </c>
    </row>
    <row r="46" spans="2:26" x14ac:dyDescent="0.2">
      <c r="B46" s="92" t="s">
        <v>3</v>
      </c>
      <c r="C46" s="93">
        <f t="shared" si="115"/>
        <v>293.99657698631205</v>
      </c>
    </row>
    <row r="47" spans="2:26" x14ac:dyDescent="0.2">
      <c r="B47" s="92" t="s">
        <v>76</v>
      </c>
      <c r="C47" s="93">
        <f t="shared" si="115"/>
        <v>311.47852318495887</v>
      </c>
    </row>
    <row r="48" spans="2:26" x14ac:dyDescent="0.2">
      <c r="B48" s="92" t="s">
        <v>4</v>
      </c>
      <c r="C48" s="93">
        <f t="shared" si="115"/>
        <v>329.25553417074951</v>
      </c>
    </row>
    <row r="49" spans="2:3" x14ac:dyDescent="0.2">
      <c r="B49" s="92" t="s">
        <v>5</v>
      </c>
      <c r="C49" s="93">
        <f t="shared" si="115"/>
        <v>350.01785668734101</v>
      </c>
    </row>
    <row r="50" spans="2:3" x14ac:dyDescent="0.2">
      <c r="B50" s="92" t="s">
        <v>70</v>
      </c>
      <c r="C50" s="93">
        <f t="shared" si="115"/>
        <v>369.57684130249618</v>
      </c>
    </row>
    <row r="51" spans="2:3" x14ac:dyDescent="0.2">
      <c r="B51" s="92" t="s">
        <v>6</v>
      </c>
      <c r="C51" s="93">
        <f t="shared" si="115"/>
        <v>392.88176036212946</v>
      </c>
    </row>
    <row r="52" spans="2:3" x14ac:dyDescent="0.2">
      <c r="B52" s="92" t="s">
        <v>72</v>
      </c>
      <c r="C52" s="93">
        <f t="shared" si="115"/>
        <v>415.7739464653082</v>
      </c>
    </row>
    <row r="53" spans="2:3" x14ac:dyDescent="0.2">
      <c r="B53" s="92" t="s">
        <v>7</v>
      </c>
      <c r="C53" s="93">
        <f t="shared" si="115"/>
        <v>440.00000000000011</v>
      </c>
    </row>
    <row r="54" spans="2:3" x14ac:dyDescent="0.2">
      <c r="B54" s="92" t="s">
        <v>73</v>
      </c>
      <c r="C54" s="93">
        <f t="shared" si="115"/>
        <v>466.69047558312138</v>
      </c>
    </row>
    <row r="55" spans="2:3" x14ac:dyDescent="0.2">
      <c r="B55" s="92" t="s">
        <v>8</v>
      </c>
      <c r="C55" s="93">
        <f t="shared" si="115"/>
        <v>493.32589694884598</v>
      </c>
    </row>
    <row r="56" spans="2:3" ht="16" thickBot="1" x14ac:dyDescent="0.25">
      <c r="B56" s="94" t="s">
        <v>78</v>
      </c>
      <c r="C56" s="95">
        <f t="shared" si="115"/>
        <v>525.02678503101151</v>
      </c>
    </row>
    <row r="57" spans="2:3" ht="16" thickTop="1" x14ac:dyDescent="0.2"/>
  </sheetData>
  <sheetProtection sheet="1" scenarios="1" formatCells="0"/>
  <mergeCells count="9">
    <mergeCell ref="B1:G1"/>
    <mergeCell ref="B7:H7"/>
    <mergeCell ref="J7:N7"/>
    <mergeCell ref="P7:U7"/>
    <mergeCell ref="X24:Z24"/>
    <mergeCell ref="B25:D25"/>
    <mergeCell ref="I25:O25"/>
    <mergeCell ref="Q25:V25"/>
    <mergeCell ref="B42:C42"/>
  </mergeCells>
  <conditionalFormatting sqref="A1 H1:XFD1 A2:XFD1048576">
    <cfRule type="expression" dxfId="39" priority="3">
      <formula>_xlfn.ISFORMULA(A1)</formula>
    </cfRule>
  </conditionalFormatting>
  <conditionalFormatting sqref="A1:XFD1048576">
    <cfRule type="expression" dxfId="38"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B6D0D0CC-1DC1-1446-AA4E-35743055D6F7}">
      <formula1>Units</formula1>
    </dataValidation>
  </dataValidations>
  <hyperlinks>
    <hyperlink ref="B40" location="Overview!A1" display="Back to Overview" xr:uid="{9D35FFB8-90F1-FF4C-B690-938ADA43DCDC}"/>
    <hyperlink ref="B4" location="Overview!A1" display="Back to Overview" xr:uid="{91BBD621-6FD1-9446-B924-4A31671780B1}"/>
  </hyperlink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4042-087A-0845-9852-6602F6A29378}">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316" t="s">
        <v>152</v>
      </c>
      <c r="C1" s="316"/>
      <c r="D1" s="316"/>
      <c r="E1" s="316"/>
      <c r="F1" s="316"/>
      <c r="G1" s="316"/>
      <c r="P1" s="4" t="s">
        <v>478</v>
      </c>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I2*2*8/27*POWER($F$3,$D$12-$D$9)</f>
        <v>262.51339251550581</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262.51339251550581</v>
      </c>
      <c r="G9" s="97">
        <v>0</v>
      </c>
      <c r="H9" s="188">
        <f t="shared" ref="H9:H21" si="0">E9/POWER(2,G9)</f>
        <v>262.51339251550581</v>
      </c>
      <c r="J9" s="85" t="s">
        <v>2</v>
      </c>
      <c r="K9" s="4">
        <f t="shared" ref="K9:K21" si="1">VLOOKUP(J9,Master_Frequencies,2,FALSE)</f>
        <v>262.51339251550581</v>
      </c>
      <c r="L9" s="4">
        <f t="shared" ref="L9:L21" si="2">LOG(K9/K$9,2)*1200</f>
        <v>0</v>
      </c>
      <c r="N9" s="158">
        <v>3600</v>
      </c>
      <c r="P9" s="123" t="str">
        <f>J9</f>
        <v>C</v>
      </c>
      <c r="Q9" s="4">
        <f>E9</f>
        <v>262.51339251550581</v>
      </c>
      <c r="R9" s="4">
        <f>LOG(K9/Q9,2)*1200</f>
        <v>0</v>
      </c>
      <c r="S9" s="145" t="str">
        <f t="shared" ref="S9:S21" si="3">B9</f>
        <v>C</v>
      </c>
      <c r="T9" s="4">
        <f t="shared" ref="T9:T21" si="4">VLOOKUP(S9,Master_Frequencies,2,FALSE)</f>
        <v>262.51339251550581</v>
      </c>
      <c r="U9" s="47">
        <f t="shared" ref="U9:U21" si="5">VLOOKUP(S9,$P$9:$R$21,3,FALSE)</f>
        <v>0</v>
      </c>
    </row>
    <row r="10" spans="2:23" x14ac:dyDescent="0.2">
      <c r="B10" s="107" t="s">
        <v>6</v>
      </c>
      <c r="C10" s="185">
        <v>-2</v>
      </c>
      <c r="D10" s="4">
        <f>D9+C10</f>
        <v>-2</v>
      </c>
      <c r="E10" s="4">
        <f t="shared" ref="E10:E21" si="6">IF(C10&lt;0,(E9*3/2)*POWER($F$3,ABS(C10)),(E9*3/2)*POWER(1/$F$3,ABS(C10)))</f>
        <v>392.88176036212946</v>
      </c>
      <c r="F10" s="4">
        <f t="shared" ref="F10:F21" si="7">LOG(E10/E9,2)*1200</f>
        <v>698.04499913461268</v>
      </c>
      <c r="G10" s="97">
        <v>0</v>
      </c>
      <c r="H10" s="188">
        <f t="shared" si="0"/>
        <v>392.88176036212946</v>
      </c>
      <c r="J10" s="85" t="s">
        <v>74</v>
      </c>
      <c r="K10" s="4">
        <f t="shared" si="1"/>
        <v>277.49581703372587</v>
      </c>
      <c r="L10" s="4">
        <f t="shared" si="2"/>
        <v>96.089998269225319</v>
      </c>
      <c r="M10" s="4">
        <f t="shared" ref="M10:M21" si="8">LOG(K10/K9,2)*1200</f>
        <v>96.089998269225319</v>
      </c>
      <c r="N10" s="47">
        <f t="shared" ref="N10:N21" si="9">N$9*K$9/K10</f>
        <v>3405.6304817775435</v>
      </c>
      <c r="P10" s="123" t="str">
        <f t="shared" ref="P10:P21" si="10">J10</f>
        <v>C#</v>
      </c>
      <c r="Q10" s="4">
        <f t="shared" ref="Q10:Q21" si="11">Q9*POWER($Q$9*2/$Q$9,1/12)</f>
        <v>278.12325114523406</v>
      </c>
      <c r="R10" s="4">
        <f t="shared" ref="R10:R21" si="12">LOG(K10/Q10,2)*1200</f>
        <v>-3.9100017307748658</v>
      </c>
      <c r="S10" s="145" t="str">
        <f t="shared" si="3"/>
        <v>G</v>
      </c>
      <c r="T10" s="4">
        <f t="shared" si="4"/>
        <v>392.88176036212946</v>
      </c>
      <c r="U10" s="47">
        <f t="shared" si="5"/>
        <v>-1.955000865387585</v>
      </c>
    </row>
    <row r="11" spans="2:23" x14ac:dyDescent="0.2">
      <c r="B11" s="107" t="s">
        <v>3</v>
      </c>
      <c r="C11" s="185">
        <v>-2</v>
      </c>
      <c r="D11" s="4">
        <f t="shared" ref="D11:D21" si="13">D10+C11</f>
        <v>-4</v>
      </c>
      <c r="E11" s="4">
        <f t="shared" si="6"/>
        <v>587.9931539726241</v>
      </c>
      <c r="F11" s="4">
        <f t="shared" si="7"/>
        <v>698.04499913461268</v>
      </c>
      <c r="G11" s="97">
        <v>1</v>
      </c>
      <c r="H11" s="188">
        <f t="shared" si="0"/>
        <v>293.99657698631205</v>
      </c>
      <c r="J11" s="85" t="s">
        <v>3</v>
      </c>
      <c r="K11" s="4">
        <f t="shared" si="1"/>
        <v>293.99657698631205</v>
      </c>
      <c r="L11" s="4">
        <f t="shared" si="2"/>
        <v>196.08999826922548</v>
      </c>
      <c r="M11" s="4">
        <f t="shared" si="8"/>
        <v>100.00000000000007</v>
      </c>
      <c r="N11" s="47">
        <f t="shared" si="9"/>
        <v>3214.4871302356037</v>
      </c>
      <c r="P11" s="123" t="str">
        <f t="shared" si="10"/>
        <v>D</v>
      </c>
      <c r="Q11" s="4">
        <f t="shared" si="11"/>
        <v>294.66132027159711</v>
      </c>
      <c r="R11" s="4">
        <f t="shared" si="12"/>
        <v>-3.9100017307748658</v>
      </c>
      <c r="S11" s="145" t="str">
        <f t="shared" si="3"/>
        <v>D</v>
      </c>
      <c r="T11" s="4">
        <f t="shared" si="4"/>
        <v>293.99657698631205</v>
      </c>
      <c r="U11" s="47">
        <f t="shared" si="5"/>
        <v>-3.9100017307748658</v>
      </c>
    </row>
    <row r="12" spans="2:23" x14ac:dyDescent="0.2">
      <c r="B12" s="107" t="s">
        <v>7</v>
      </c>
      <c r="C12" s="185">
        <v>-2</v>
      </c>
      <c r="D12" s="4">
        <f t="shared" si="13"/>
        <v>-6</v>
      </c>
      <c r="E12" s="4">
        <f t="shared" si="6"/>
        <v>880.00000000000023</v>
      </c>
      <c r="F12" s="4">
        <f t="shared" si="7"/>
        <v>698.04499913461268</v>
      </c>
      <c r="G12" s="97">
        <v>1</v>
      </c>
      <c r="H12" s="188">
        <f t="shared" si="0"/>
        <v>440.00000000000011</v>
      </c>
      <c r="J12" s="85" t="s">
        <v>76</v>
      </c>
      <c r="K12" s="4">
        <f t="shared" si="1"/>
        <v>311.83045984898121</v>
      </c>
      <c r="L12" s="4">
        <f t="shared" si="2"/>
        <v>298.04499913461274</v>
      </c>
      <c r="M12" s="4">
        <f t="shared" si="8"/>
        <v>101.95500086538762</v>
      </c>
      <c r="N12" s="47">
        <f t="shared" si="9"/>
        <v>3030.6475304353066</v>
      </c>
      <c r="P12" s="123" t="str">
        <f t="shared" si="10"/>
        <v>D#</v>
      </c>
      <c r="Q12" s="4">
        <f t="shared" si="11"/>
        <v>312.1827941629416</v>
      </c>
      <c r="R12" s="4">
        <f t="shared" si="12"/>
        <v>-1.9550008653873929</v>
      </c>
      <c r="S12" s="145" t="str">
        <f t="shared" si="3"/>
        <v>A</v>
      </c>
      <c r="T12" s="4">
        <f t="shared" si="4"/>
        <v>440.00000000000011</v>
      </c>
      <c r="U12" s="47">
        <f t="shared" si="5"/>
        <v>-5.8650025961626593</v>
      </c>
    </row>
    <row r="13" spans="2:23" x14ac:dyDescent="0.2">
      <c r="B13" s="107" t="s">
        <v>4</v>
      </c>
      <c r="C13" s="185">
        <v>-1</v>
      </c>
      <c r="D13" s="4">
        <f t="shared" si="13"/>
        <v>-7</v>
      </c>
      <c r="E13" s="4">
        <f t="shared" si="6"/>
        <v>1318.5102276514801</v>
      </c>
      <c r="F13" s="4">
        <f t="shared" si="7"/>
        <v>700</v>
      </c>
      <c r="G13" s="97">
        <v>2</v>
      </c>
      <c r="H13" s="188">
        <f t="shared" si="0"/>
        <v>329.62755691287003</v>
      </c>
      <c r="J13" s="85" t="s">
        <v>4</v>
      </c>
      <c r="K13" s="4">
        <f t="shared" si="1"/>
        <v>329.62755691287003</v>
      </c>
      <c r="L13" s="4">
        <f t="shared" si="2"/>
        <v>394.1349974038381</v>
      </c>
      <c r="M13" s="4">
        <f t="shared" si="8"/>
        <v>96.089998269225319</v>
      </c>
      <c r="N13" s="47">
        <f t="shared" si="9"/>
        <v>2867.0182247706434</v>
      </c>
      <c r="P13" s="123" t="str">
        <f t="shared" si="10"/>
        <v>E</v>
      </c>
      <c r="Q13" s="4">
        <f t="shared" si="11"/>
        <v>330.74614910960105</v>
      </c>
      <c r="R13" s="4">
        <f t="shared" si="12"/>
        <v>-5.8650025961620802</v>
      </c>
      <c r="S13" s="145" t="str">
        <f t="shared" si="3"/>
        <v>E</v>
      </c>
      <c r="T13" s="4">
        <f t="shared" si="4"/>
        <v>329.62755691287003</v>
      </c>
      <c r="U13" s="47">
        <f t="shared" si="5"/>
        <v>-5.8650025961620802</v>
      </c>
    </row>
    <row r="14" spans="2:23" x14ac:dyDescent="0.2">
      <c r="B14" s="107" t="s">
        <v>8</v>
      </c>
      <c r="C14" s="185">
        <v>0</v>
      </c>
      <c r="D14" s="4">
        <f t="shared" si="13"/>
        <v>-7</v>
      </c>
      <c r="E14" s="4">
        <f t="shared" si="6"/>
        <v>1977.7653414772203</v>
      </c>
      <c r="F14" s="4">
        <f t="shared" si="7"/>
        <v>701.95500086538743</v>
      </c>
      <c r="G14" s="97">
        <v>2</v>
      </c>
      <c r="H14" s="188">
        <f t="shared" si="0"/>
        <v>494.44133536930508</v>
      </c>
      <c r="J14" s="85" t="s">
        <v>5</v>
      </c>
      <c r="K14" s="4">
        <f t="shared" si="1"/>
        <v>350.41333858307877</v>
      </c>
      <c r="L14" s="4">
        <f t="shared" si="2"/>
        <v>500</v>
      </c>
      <c r="M14" s="4">
        <f t="shared" si="8"/>
        <v>105.86500259616183</v>
      </c>
      <c r="N14" s="47">
        <f t="shared" si="9"/>
        <v>2696.9527383780264</v>
      </c>
      <c r="P14" s="123" t="str">
        <f t="shared" si="10"/>
        <v>F</v>
      </c>
      <c r="Q14" s="4">
        <f t="shared" si="11"/>
        <v>350.41333858307883</v>
      </c>
      <c r="R14" s="4">
        <f t="shared" si="12"/>
        <v>-1.9220559022889507E-13</v>
      </c>
      <c r="S14" s="145" t="str">
        <f t="shared" si="3"/>
        <v>B</v>
      </c>
      <c r="T14" s="4">
        <f t="shared" si="4"/>
        <v>494.44133536930508</v>
      </c>
      <c r="U14" s="47">
        <f t="shared" si="5"/>
        <v>-3.910001730775059</v>
      </c>
    </row>
    <row r="15" spans="2:23" x14ac:dyDescent="0.2">
      <c r="B15" s="107" t="s">
        <v>70</v>
      </c>
      <c r="C15" s="185">
        <v>-1</v>
      </c>
      <c r="D15" s="4">
        <f t="shared" si="13"/>
        <v>-8</v>
      </c>
      <c r="E15" s="4">
        <f t="shared" si="6"/>
        <v>2963.2998075367459</v>
      </c>
      <c r="F15" s="4">
        <f t="shared" si="7"/>
        <v>700</v>
      </c>
      <c r="G15" s="97">
        <v>3</v>
      </c>
      <c r="H15" s="188">
        <f t="shared" si="0"/>
        <v>370.41247594209324</v>
      </c>
      <c r="J15" s="85" t="s">
        <v>70</v>
      </c>
      <c r="K15" s="4">
        <f t="shared" si="1"/>
        <v>370.41247594209324</v>
      </c>
      <c r="L15" s="4">
        <f t="shared" si="2"/>
        <v>596.08999826922548</v>
      </c>
      <c r="M15" s="4">
        <f t="shared" si="8"/>
        <v>96.089998269225674</v>
      </c>
      <c r="N15" s="47">
        <f t="shared" si="9"/>
        <v>2551.3401260371174</v>
      </c>
      <c r="P15" s="123" t="str">
        <f t="shared" si="10"/>
        <v>F#</v>
      </c>
      <c r="Q15" s="4">
        <f t="shared" si="11"/>
        <v>371.25000000000011</v>
      </c>
      <c r="R15" s="4">
        <f t="shared" si="12"/>
        <v>-3.9100017307746739</v>
      </c>
      <c r="S15" s="145" t="str">
        <f t="shared" si="3"/>
        <v>F#</v>
      </c>
      <c r="T15" s="4">
        <f t="shared" si="4"/>
        <v>370.41247594209324</v>
      </c>
      <c r="U15" s="47">
        <f t="shared" si="5"/>
        <v>-3.9100017307746739</v>
      </c>
    </row>
    <row r="16" spans="2:23" x14ac:dyDescent="0.2">
      <c r="B16" s="107" t="s">
        <v>74</v>
      </c>
      <c r="C16" s="185">
        <v>-1</v>
      </c>
      <c r="D16" s="4">
        <f t="shared" si="13"/>
        <v>-9</v>
      </c>
      <c r="E16" s="4">
        <f t="shared" si="6"/>
        <v>4439.9330725396139</v>
      </c>
      <c r="F16" s="4">
        <f t="shared" si="7"/>
        <v>699.99999999999977</v>
      </c>
      <c r="G16" s="97">
        <v>4</v>
      </c>
      <c r="H16" s="188">
        <f t="shared" si="0"/>
        <v>277.49581703372587</v>
      </c>
      <c r="J16" s="85" t="s">
        <v>6</v>
      </c>
      <c r="K16" s="4">
        <f t="shared" si="1"/>
        <v>392.88176036212946</v>
      </c>
      <c r="L16" s="4">
        <f t="shared" si="2"/>
        <v>698.04499913461268</v>
      </c>
      <c r="M16" s="4">
        <f t="shared" si="8"/>
        <v>101.95500086538691</v>
      </c>
      <c r="N16" s="47">
        <f t="shared" si="9"/>
        <v>2405.4265389789161</v>
      </c>
      <c r="P16" s="123" t="str">
        <f t="shared" si="10"/>
        <v>G</v>
      </c>
      <c r="Q16" s="4">
        <f t="shared" si="11"/>
        <v>393.32567378088851</v>
      </c>
      <c r="R16" s="4">
        <f t="shared" si="12"/>
        <v>-1.955000865387585</v>
      </c>
      <c r="S16" s="145" t="str">
        <f t="shared" si="3"/>
        <v>C#</v>
      </c>
      <c r="T16" s="4">
        <f t="shared" si="4"/>
        <v>277.49581703372587</v>
      </c>
      <c r="U16" s="47">
        <f t="shared" si="5"/>
        <v>-3.9100017307748658</v>
      </c>
    </row>
    <row r="17" spans="2:26" x14ac:dyDescent="0.2">
      <c r="B17" s="107" t="s">
        <v>72</v>
      </c>
      <c r="C17" s="185">
        <v>-1</v>
      </c>
      <c r="D17" s="4">
        <f t="shared" si="13"/>
        <v>-10</v>
      </c>
      <c r="E17" s="4">
        <f t="shared" si="6"/>
        <v>6652.3831434449321</v>
      </c>
      <c r="F17" s="4">
        <f t="shared" si="7"/>
        <v>700</v>
      </c>
      <c r="G17" s="97">
        <v>4</v>
      </c>
      <c r="H17" s="188">
        <f t="shared" si="0"/>
        <v>415.77394646530826</v>
      </c>
      <c r="J17" s="85" t="s">
        <v>72</v>
      </c>
      <c r="K17" s="4">
        <f t="shared" si="1"/>
        <v>415.77394646530826</v>
      </c>
      <c r="L17" s="4">
        <f t="shared" si="2"/>
        <v>796.08999826922525</v>
      </c>
      <c r="M17" s="4">
        <f t="shared" si="8"/>
        <v>98.044999134612695</v>
      </c>
      <c r="N17" s="47">
        <f t="shared" si="9"/>
        <v>2272.9856478264801</v>
      </c>
      <c r="P17" s="123" t="str">
        <f t="shared" si="10"/>
        <v>G#</v>
      </c>
      <c r="Q17" s="4">
        <f t="shared" si="11"/>
        <v>416.71403543485491</v>
      </c>
      <c r="R17" s="4">
        <f t="shared" si="12"/>
        <v>-3.910001730775059</v>
      </c>
      <c r="S17" s="145" t="str">
        <f t="shared" si="3"/>
        <v>G#</v>
      </c>
      <c r="T17" s="4">
        <f t="shared" si="4"/>
        <v>415.77394646530826</v>
      </c>
      <c r="U17" s="47">
        <f t="shared" si="5"/>
        <v>-3.910001730775059</v>
      </c>
    </row>
    <row r="18" spans="2:26" x14ac:dyDescent="0.2">
      <c r="B18" s="107" t="s">
        <v>76</v>
      </c>
      <c r="C18" s="185">
        <v>0</v>
      </c>
      <c r="D18" s="4">
        <f t="shared" si="13"/>
        <v>-10</v>
      </c>
      <c r="E18" s="4">
        <f t="shared" si="6"/>
        <v>9978.5747151673986</v>
      </c>
      <c r="F18" s="4">
        <f t="shared" si="7"/>
        <v>701.95500086538743</v>
      </c>
      <c r="G18" s="97">
        <v>5</v>
      </c>
      <c r="H18" s="188">
        <f t="shared" si="0"/>
        <v>311.83045984898121</v>
      </c>
      <c r="J18" s="85" t="s">
        <v>7</v>
      </c>
      <c r="K18" s="4">
        <f t="shared" si="1"/>
        <v>440.00000000000011</v>
      </c>
      <c r="L18" s="4">
        <f t="shared" si="2"/>
        <v>894.13499740383804</v>
      </c>
      <c r="M18" s="4">
        <f t="shared" si="8"/>
        <v>98.044999134612695</v>
      </c>
      <c r="N18" s="47">
        <f t="shared" si="9"/>
        <v>2147.8368478541379</v>
      </c>
      <c r="P18" s="123" t="str">
        <f t="shared" si="10"/>
        <v>A</v>
      </c>
      <c r="Q18" s="4">
        <f t="shared" si="11"/>
        <v>441.4931414447604</v>
      </c>
      <c r="R18" s="4">
        <f t="shared" si="12"/>
        <v>-5.8650025961626593</v>
      </c>
      <c r="S18" s="145" t="str">
        <f t="shared" si="3"/>
        <v>D#</v>
      </c>
      <c r="T18" s="4">
        <f t="shared" si="4"/>
        <v>311.83045984898121</v>
      </c>
      <c r="U18" s="47">
        <f t="shared" si="5"/>
        <v>-1.9550008653873929</v>
      </c>
    </row>
    <row r="19" spans="2:26" x14ac:dyDescent="0.2">
      <c r="B19" s="107" t="s">
        <v>73</v>
      </c>
      <c r="C19" s="185">
        <v>0</v>
      </c>
      <c r="D19" s="4">
        <f t="shared" si="13"/>
        <v>-10</v>
      </c>
      <c r="E19" s="4">
        <f t="shared" si="6"/>
        <v>14967.862072751097</v>
      </c>
      <c r="F19" s="4">
        <f t="shared" si="7"/>
        <v>701.95500086538743</v>
      </c>
      <c r="G19" s="97">
        <v>5</v>
      </c>
      <c r="H19" s="188">
        <f t="shared" si="0"/>
        <v>467.74568977347178</v>
      </c>
      <c r="J19" s="85" t="s">
        <v>73</v>
      </c>
      <c r="K19" s="4">
        <f t="shared" si="1"/>
        <v>467.74568977347178</v>
      </c>
      <c r="L19" s="4">
        <f t="shared" si="2"/>
        <v>1000.0000000000002</v>
      </c>
      <c r="M19" s="4">
        <f t="shared" si="8"/>
        <v>105.86500259616219</v>
      </c>
      <c r="N19" s="47">
        <f t="shared" si="9"/>
        <v>2020.4316869568711</v>
      </c>
      <c r="P19" s="123" t="str">
        <f t="shared" si="10"/>
        <v>A#</v>
      </c>
      <c r="Q19" s="4">
        <f t="shared" si="11"/>
        <v>467.7456897734719</v>
      </c>
      <c r="R19" s="4">
        <f t="shared" si="12"/>
        <v>-3.8441118045779024E-13</v>
      </c>
      <c r="S19" s="145" t="str">
        <f t="shared" si="3"/>
        <v>A#</v>
      </c>
      <c r="T19" s="4">
        <f t="shared" si="4"/>
        <v>467.74568977347178</v>
      </c>
      <c r="U19" s="47">
        <f t="shared" si="5"/>
        <v>-3.8441118045779024E-13</v>
      </c>
    </row>
    <row r="20" spans="2:26" x14ac:dyDescent="0.2">
      <c r="B20" s="107" t="s">
        <v>5</v>
      </c>
      <c r="C20" s="185">
        <v>-1</v>
      </c>
      <c r="D20" s="4">
        <f t="shared" si="13"/>
        <v>-11</v>
      </c>
      <c r="E20" s="4">
        <f t="shared" si="6"/>
        <v>22426.453669317041</v>
      </c>
      <c r="F20" s="4">
        <f t="shared" si="7"/>
        <v>699.99999999999977</v>
      </c>
      <c r="G20" s="97">
        <v>6</v>
      </c>
      <c r="H20" s="188">
        <f t="shared" si="0"/>
        <v>350.41333858307877</v>
      </c>
      <c r="J20" s="85" t="s">
        <v>8</v>
      </c>
      <c r="K20" s="4">
        <f t="shared" si="1"/>
        <v>494.44133536930508</v>
      </c>
      <c r="L20" s="4">
        <f t="shared" si="2"/>
        <v>1096.0899982692256</v>
      </c>
      <c r="M20" s="4">
        <f t="shared" si="8"/>
        <v>96.089998269225319</v>
      </c>
      <c r="N20" s="47">
        <f t="shared" si="9"/>
        <v>1911.3454831804288</v>
      </c>
      <c r="P20" s="123" t="str">
        <f t="shared" si="10"/>
        <v>B</v>
      </c>
      <c r="Q20" s="4">
        <f t="shared" si="11"/>
        <v>495.55929586062553</v>
      </c>
      <c r="R20" s="4">
        <f t="shared" si="12"/>
        <v>-3.910001730775059</v>
      </c>
      <c r="S20" s="145" t="str">
        <f t="shared" si="3"/>
        <v>F</v>
      </c>
      <c r="T20" s="4">
        <f t="shared" si="4"/>
        <v>350.41333858307877</v>
      </c>
      <c r="U20" s="47">
        <f t="shared" si="5"/>
        <v>-1.9220559022889507E-13</v>
      </c>
    </row>
    <row r="21" spans="2:26" x14ac:dyDescent="0.2">
      <c r="B21" s="108" t="s">
        <v>78</v>
      </c>
      <c r="C21" s="186">
        <v>-1</v>
      </c>
      <c r="D21" s="53">
        <f t="shared" si="13"/>
        <v>-12</v>
      </c>
      <c r="E21" s="53">
        <f t="shared" si="6"/>
        <v>33601.714241984744</v>
      </c>
      <c r="F21" s="53">
        <f t="shared" si="7"/>
        <v>700</v>
      </c>
      <c r="G21" s="98">
        <v>6</v>
      </c>
      <c r="H21" s="48">
        <f t="shared" si="0"/>
        <v>525.02678503101163</v>
      </c>
      <c r="J21" s="87" t="s">
        <v>78</v>
      </c>
      <c r="K21" s="53">
        <f t="shared" si="1"/>
        <v>525.02678503101163</v>
      </c>
      <c r="L21" s="53">
        <f t="shared" si="2"/>
        <v>1200</v>
      </c>
      <c r="M21" s="53">
        <f t="shared" si="8"/>
        <v>103.91000173077444</v>
      </c>
      <c r="N21" s="48">
        <f t="shared" si="9"/>
        <v>1800</v>
      </c>
      <c r="P21" s="108" t="str">
        <f t="shared" si="10"/>
        <v>c oct.</v>
      </c>
      <c r="Q21" s="53">
        <f t="shared" si="11"/>
        <v>525.02678503101185</v>
      </c>
      <c r="R21" s="53">
        <f t="shared" si="12"/>
        <v>-7.6882236091558047E-13</v>
      </c>
      <c r="S21" s="151" t="str">
        <f t="shared" si="3"/>
        <v>c oct.</v>
      </c>
      <c r="T21" s="53">
        <f t="shared" si="4"/>
        <v>525.02678503101163</v>
      </c>
      <c r="U21" s="48">
        <f t="shared" si="5"/>
        <v>-7.6882236091558047E-13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Neidhardt 2 Interval in cents</v>
      </c>
      <c r="F26" s="84" t="s">
        <v>18</v>
      </c>
      <c r="G26" s="52" t="str">
        <f>_xlfn.CONCAT("diff ",$F$2)</f>
        <v>diff 1/12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394.1349974038381</v>
      </c>
      <c r="F27" s="4">
        <f t="shared" ref="F27" si="15">VLOOKUP(B27,Master_Frequencies,2,FALSE)*5/4</f>
        <v>328.14174064438225</v>
      </c>
      <c r="G27" s="47">
        <f t="shared" ref="G27" si="16">IF($D$2="Cents",LOG(VLOOKUP(C27,Master_Frequencies,2,FALSE)/F27,2)*1200*$F$3,LOG(D27*VLOOKUP(C27,Master_Frequencies,2,FALSE)/F27,$F$3))</f>
        <v>-4.0006547707862543</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1.2556599636850909</v>
      </c>
      <c r="Q27" s="99">
        <v>1</v>
      </c>
      <c r="R27" s="18">
        <f>$E$9*Q27</f>
        <v>262.51339251550581</v>
      </c>
      <c r="S27" s="97">
        <v>0</v>
      </c>
      <c r="T27" s="4">
        <f>R27/POWER(2,S27)</f>
        <v>262.51339251550581</v>
      </c>
      <c r="U27" s="18" t="str" cm="1">
        <f t="array" ref="U27">_xlfn.XLOOKUP(0,ABS($C$44:$C$56-T27),$B$44:$B$56,,1)</f>
        <v>C</v>
      </c>
      <c r="V27" s="47">
        <f t="shared" ref="V27" si="19">LOG(T27/VLOOKUP(U27,Master_Frequencies,2,FALSE),2)*1200</f>
        <v>0</v>
      </c>
      <c r="X27" s="85" t="s">
        <v>2</v>
      </c>
      <c r="Y27" s="4">
        <f t="shared" ref="Y27" si="20">VLOOKUP(X27,Master_Frequencies,2,FALSE)/POWER(2,$Z$25)</f>
        <v>131.25669625775291</v>
      </c>
      <c r="Z27" s="47">
        <f t="shared" ref="Z27" si="21">VLOOKUP(X27,Master_Frequencies,2,FALSE)*POWER(2,$Z$25)</f>
        <v>525.02678503101163</v>
      </c>
    </row>
    <row r="28" spans="2:26" x14ac:dyDescent="0.2">
      <c r="B28" s="123" t="s">
        <v>74</v>
      </c>
      <c r="C28" s="145" t="s">
        <v>5</v>
      </c>
      <c r="D28" s="97">
        <v>1</v>
      </c>
      <c r="E28" s="4">
        <f t="shared" ref="E28" si="22">LOG(D28*VLOOKUP(C28,Master_Frequencies,2,FALSE)/VLOOKUP(B28,Master_Frequencies,2,FALSE),2)*1200</f>
        <v>403.91000173077458</v>
      </c>
      <c r="F28" s="4">
        <f t="shared" ref="F28" si="23">VLOOKUP(B28,Master_Frequencies,2,FALSE)*5/4</f>
        <v>346.86977129215734</v>
      </c>
      <c r="G28" s="47">
        <f t="shared" ref="G28" si="24">IF($D$2="Cents",LOG(VLOOKUP(C28,Master_Frequencies,2,FALSE)/F28,2)*1200*$F$3,LOG(D28*VLOOKUP(C28,Master_Frequencies,2,FALSE)/F28,$F$3))</f>
        <v>-9.0006547707860651</v>
      </c>
      <c r="I28" s="123" t="s">
        <v>74</v>
      </c>
      <c r="J28" s="145" t="s">
        <v>72</v>
      </c>
      <c r="K28" s="97">
        <v>1</v>
      </c>
      <c r="L28" s="191">
        <f t="shared" ref="L28" si="25">K28*VLOOKUP(J28,Master_Frequencies,2,FALSE)/VLOOKUP(I28,Master_Frequencies,2,FALSE)</f>
        <v>1.4983070768766815</v>
      </c>
      <c r="M28" s="145" t="s">
        <v>74</v>
      </c>
      <c r="N28" s="145" t="s">
        <v>5</v>
      </c>
      <c r="O28" s="191">
        <f t="shared" ref="O28" si="26">D28*VLOOKUP(N28,Master_Frequencies,2,FALSE)/VLOOKUP(M28,Master_Frequencies,2,FALSE)</f>
        <v>1.2627698043480444</v>
      </c>
      <c r="Q28" s="99">
        <v>2</v>
      </c>
      <c r="R28" s="18">
        <f t="shared" ref="R28:R39" si="27">$E$9*Q28</f>
        <v>525.02678503101163</v>
      </c>
      <c r="S28" s="97">
        <v>0</v>
      </c>
      <c r="T28" s="4">
        <f t="shared" ref="T28:T39" si="28">R28/POWER(2,S28)</f>
        <v>525.02678503101163</v>
      </c>
      <c r="U28" s="18" t="str" cm="1">
        <f t="array" ref="U28">_xlfn.XLOOKUP(0,ABS($C$44:$C$56-T28),$B$44:$B$56,,1)</f>
        <v>c oct.</v>
      </c>
      <c r="V28" s="47">
        <f t="shared" ref="V28" si="29">LOG(T28/VLOOKUP(U28,Master_Frequencies,2,FALSE),2)*1200</f>
        <v>0</v>
      </c>
      <c r="X28" s="85" t="s">
        <v>74</v>
      </c>
      <c r="Y28" s="4">
        <f t="shared" ref="Y28" si="30">VLOOKUP(X28,Master_Frequencies,2,FALSE)/POWER(2,$Z$25)</f>
        <v>138.74790851686294</v>
      </c>
      <c r="Z28" s="47">
        <f t="shared" ref="Z28" si="31">VLOOKUP(X28,Master_Frequencies,2,FALSE)*POWER(2,$Z$25)</f>
        <v>554.99163406745174</v>
      </c>
    </row>
    <row r="29" spans="2:26" x14ac:dyDescent="0.2">
      <c r="B29" s="123" t="s">
        <v>3</v>
      </c>
      <c r="C29" s="145" t="s">
        <v>70</v>
      </c>
      <c r="D29" s="97">
        <v>1</v>
      </c>
      <c r="E29" s="4">
        <f t="shared" ref="E29" si="32">LOG(D29*VLOOKUP(C29,Master_Frequencies,2,FALSE)/VLOOKUP(B29,Master_Frequencies,2,FALSE),2)*1200</f>
        <v>400.0000000000004</v>
      </c>
      <c r="F29" s="4">
        <f t="shared" ref="F29" si="33">VLOOKUP(B29,Master_Frequencies,2,FALSE)*5/4</f>
        <v>367.49572123289005</v>
      </c>
      <c r="G29" s="47">
        <f t="shared" ref="G29" si="34">IF($D$2="Cents",LOG(VLOOKUP(C29,Master_Frequencies,2,FALSE)/F29,2)*1200*$F$3,LOG(D29*VLOOKUP(C29,Master_Frequencies,2,FALSE)/F29,$F$3))</f>
        <v>-7.0006547707863023</v>
      </c>
      <c r="I29" s="123" t="s">
        <v>3</v>
      </c>
      <c r="J29" s="145" t="s">
        <v>7</v>
      </c>
      <c r="K29" s="97">
        <v>1</v>
      </c>
      <c r="L29" s="191">
        <f t="shared" ref="L29" si="35">K29*VLOOKUP(J29,Master_Frequencies,2,FALSE)/VLOOKUP(I29,Master_Frequencies,2,FALSE)</f>
        <v>1.4966160644124973</v>
      </c>
      <c r="M29" s="145" t="s">
        <v>3</v>
      </c>
      <c r="N29" s="145" t="s">
        <v>70</v>
      </c>
      <c r="O29" s="191">
        <f t="shared" ref="O29" si="36">D29*VLOOKUP(N29,Master_Frequencies,2,FALSE)/VLOOKUP(M29,Master_Frequencies,2,FALSE)</f>
        <v>1.2599210498948734</v>
      </c>
      <c r="Q29" s="99">
        <v>3</v>
      </c>
      <c r="R29" s="18">
        <f t="shared" si="27"/>
        <v>787.5401775465175</v>
      </c>
      <c r="S29" s="97">
        <v>1</v>
      </c>
      <c r="T29" s="4">
        <f t="shared" si="28"/>
        <v>393.77008877325875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146.99828849315602</v>
      </c>
      <c r="Z29" s="47">
        <f t="shared" ref="Z29" si="39">VLOOKUP(X29,Master_Frequencies,2,FALSE)*POWER(2,$Z$25)</f>
        <v>587.9931539726241</v>
      </c>
    </row>
    <row r="30" spans="2:26" x14ac:dyDescent="0.2">
      <c r="B30" s="123" t="s">
        <v>76</v>
      </c>
      <c r="C30" s="145" t="s">
        <v>6</v>
      </c>
      <c r="D30" s="97">
        <v>1</v>
      </c>
      <c r="E30" s="4">
        <f t="shared" ref="E30" si="40">LOG(D30*VLOOKUP(C30,Master_Frequencies,2,FALSE)/VLOOKUP(B30,Master_Frequencies,2,FALSE),2)*1200</f>
        <v>399.99999999999972</v>
      </c>
      <c r="F30" s="4">
        <f t="shared" ref="F30" si="41">VLOOKUP(B30,Master_Frequencies,2,FALSE)*5/4</f>
        <v>389.78807481122652</v>
      </c>
      <c r="G30" s="47">
        <f t="shared" ref="G30" si="42">IF($D$2="Cents",LOG(VLOOKUP(C30,Master_Frequencies,2,FALSE)/F30,2)*1200*$F$3,LOG(D30*VLOOKUP(C30,Master_Frequencies,2,FALSE)/F30,$F$3))</f>
        <v>-7.0006547707859115</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1.259921049894873</v>
      </c>
      <c r="Q30" s="99">
        <v>4</v>
      </c>
      <c r="R30" s="18">
        <f t="shared" si="27"/>
        <v>1050.0535700620233</v>
      </c>
      <c r="S30" s="97">
        <v>1</v>
      </c>
      <c r="T30" s="4">
        <f t="shared" si="28"/>
        <v>525.02678503101163</v>
      </c>
      <c r="U30" s="18" t="str" cm="1">
        <f t="array" ref="U30">_xlfn.XLOOKUP(0,ABS($C$44:$C$56-T30),$B$44:$B$56,,1)</f>
        <v>c oct.</v>
      </c>
      <c r="V30" s="47">
        <f t="shared" ref="V30" si="45">LOG(T30/VLOOKUP(U30,Master_Frequencies,2,FALSE),2)*1200</f>
        <v>0</v>
      </c>
      <c r="X30" s="85" t="s">
        <v>76</v>
      </c>
      <c r="Y30" s="4">
        <f t="shared" ref="Y30" si="46">VLOOKUP(X30,Master_Frequencies,2,FALSE)/POWER(2,$Z$25)</f>
        <v>155.9152299244906</v>
      </c>
      <c r="Z30" s="47">
        <f t="shared" ref="Z30" si="47">VLOOKUP(X30,Master_Frequencies,2,FALSE)*POWER(2,$Z$25)</f>
        <v>623.66091969796241</v>
      </c>
    </row>
    <row r="31" spans="2:26" x14ac:dyDescent="0.2">
      <c r="B31" s="123" t="s">
        <v>4</v>
      </c>
      <c r="C31" s="145" t="s">
        <v>72</v>
      </c>
      <c r="D31" s="97">
        <v>1</v>
      </c>
      <c r="E31" s="4">
        <f t="shared" ref="E31" si="48">LOG(D31*VLOOKUP(C31,Master_Frequencies,2,FALSE)/VLOOKUP(B31,Master_Frequencies,2,FALSE),2)*1200</f>
        <v>401.95500086538743</v>
      </c>
      <c r="F31" s="4">
        <f t="shared" ref="F31" si="49">VLOOKUP(B31,Master_Frequencies,2,FALSE)*5/4</f>
        <v>412.03444614108753</v>
      </c>
      <c r="G31" s="47">
        <f t="shared" ref="G31" si="50">IF($D$2="Cents",LOG(VLOOKUP(C31,Master_Frequencies,2,FALSE)/F31,2)*1200*$F$3,LOG(D31*VLOOKUP(C31,Master_Frequencies,2,FALSE)/F31,$F$3))</f>
        <v>-8.0006547707861753</v>
      </c>
      <c r="I31" s="123" t="s">
        <v>4</v>
      </c>
      <c r="J31" s="145" t="s">
        <v>8</v>
      </c>
      <c r="K31" s="97">
        <v>1</v>
      </c>
      <c r="L31" s="191">
        <f t="shared" ref="L31" si="51">K31*VLOOKUP(J31,Master_Frequencies,2,FALSE)/VLOOKUP(I31,Master_Frequencies,2,FALSE)</f>
        <v>1.5</v>
      </c>
      <c r="M31" s="145" t="s">
        <v>4</v>
      </c>
      <c r="N31" s="145" t="s">
        <v>72</v>
      </c>
      <c r="O31" s="191">
        <f t="shared" ref="O31" si="52">D31*VLOOKUP(N31,Master_Frequencies,2,FALSE)/VLOOKUP(M31,Master_Frequencies,2,FALSE)</f>
        <v>1.2613446228805718</v>
      </c>
      <c r="Q31" s="99">
        <v>5</v>
      </c>
      <c r="R31" s="18">
        <f t="shared" si="27"/>
        <v>1312.566962577529</v>
      </c>
      <c r="S31" s="97">
        <v>2</v>
      </c>
      <c r="T31" s="4">
        <f t="shared" si="28"/>
        <v>328.14174064438225</v>
      </c>
      <c r="U31" s="18" t="str" cm="1">
        <f t="array" ref="U31">_xlfn.XLOOKUP(0,ABS($C$44:$C$56-T31),$B$44:$B$56,,1)</f>
        <v>E</v>
      </c>
      <c r="V31" s="47">
        <f t="shared" ref="V31" si="53">LOG(T31/VLOOKUP(U31,Master_Frequencies,2,FALSE),2)*1200</f>
        <v>-7.8212835390032032</v>
      </c>
      <c r="X31" s="85" t="s">
        <v>4</v>
      </c>
      <c r="Y31" s="4">
        <f t="shared" ref="Y31" si="54">VLOOKUP(X31,Master_Frequencies,2,FALSE)/POWER(2,$Z$25)</f>
        <v>164.81377845643502</v>
      </c>
      <c r="Z31" s="47">
        <f t="shared" ref="Z31" si="55">VLOOKUP(X31,Master_Frequencies,2,FALSE)*POWER(2,$Z$25)</f>
        <v>659.25511382574007</v>
      </c>
    </row>
    <row r="32" spans="2:26" x14ac:dyDescent="0.2">
      <c r="B32" s="123" t="s">
        <v>5</v>
      </c>
      <c r="C32" s="145" t="s">
        <v>7</v>
      </c>
      <c r="D32" s="97">
        <v>1</v>
      </c>
      <c r="E32" s="4">
        <f t="shared" ref="E32" si="56">LOG(D32*VLOOKUP(C32,Master_Frequencies,2,FALSE)/VLOOKUP(B32,Master_Frequencies,2,FALSE),2)*1200</f>
        <v>394.13499740383776</v>
      </c>
      <c r="F32" s="4">
        <f t="shared" ref="F32" si="57">VLOOKUP(B32,Master_Frequencies,2,FALSE)*5/4</f>
        <v>438.01667322884845</v>
      </c>
      <c r="G32" s="47">
        <f t="shared" ref="G32" si="58">IF($D$2="Cents",LOG(VLOOKUP(C32,Master_Frequencies,2,FALSE)/F32,2)*1200*$F$3,LOG(D32*VLOOKUP(C32,Master_Frequencies,2,FALSE)/F32,$F$3))</f>
        <v>-4.0006547707862543</v>
      </c>
      <c r="I32" s="123" t="s">
        <v>5</v>
      </c>
      <c r="J32" s="145" t="s">
        <v>78</v>
      </c>
      <c r="K32" s="97">
        <v>1</v>
      </c>
      <c r="L32" s="191">
        <f t="shared" ref="L32" si="59">K32*VLOOKUP(J32,Master_Frequencies,2,FALSE)/VLOOKUP(I32,Master_Frequencies,2,FALSE)</f>
        <v>1.4983070768766815</v>
      </c>
      <c r="M32" s="145" t="s">
        <v>5</v>
      </c>
      <c r="N32" s="145" t="s">
        <v>7</v>
      </c>
      <c r="O32" s="191">
        <f t="shared" ref="O32" si="60">D32*VLOOKUP(N32,Master_Frequencies,2,FALSE)/VLOOKUP(M32,Master_Frequencies,2,FALSE)</f>
        <v>1.2556599636850907</v>
      </c>
      <c r="Q32" s="99">
        <v>6</v>
      </c>
      <c r="R32" s="18">
        <f t="shared" si="27"/>
        <v>1575.080355093035</v>
      </c>
      <c r="S32" s="97">
        <v>2</v>
      </c>
      <c r="T32" s="4">
        <f t="shared" si="28"/>
        <v>393.77008877325875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175.20666929153938</v>
      </c>
      <c r="Z32" s="47">
        <f t="shared" ref="Z32" si="63">VLOOKUP(X32,Master_Frequencies,2,FALSE)*POWER(2,$Z$25)</f>
        <v>700.82667716615754</v>
      </c>
    </row>
    <row r="33" spans="2:26" x14ac:dyDescent="0.2">
      <c r="B33" s="123" t="s">
        <v>70</v>
      </c>
      <c r="C33" s="145" t="s">
        <v>73</v>
      </c>
      <c r="D33" s="97">
        <v>1</v>
      </c>
      <c r="E33" s="4">
        <f t="shared" ref="E33" si="64">LOG(D33*VLOOKUP(C33,Master_Frequencies,2,FALSE)/VLOOKUP(B33,Master_Frequencies,2,FALSE),2)*1200</f>
        <v>403.91000173077458</v>
      </c>
      <c r="F33" s="4">
        <f t="shared" ref="F33" si="65">VLOOKUP(B33,Master_Frequencies,2,FALSE)*5/4</f>
        <v>463.01559492761658</v>
      </c>
      <c r="G33" s="47">
        <f t="shared" ref="G33" si="66">IF($D$2="Cents",LOG(VLOOKUP(C33,Master_Frequencies,2,FALSE)/F33,2)*1200*$F$3,LOG(D33*VLOOKUP(C33,Master_Frequencies,2,FALSE)/F33,$F$3))</f>
        <v>-9.0006547707858697</v>
      </c>
      <c r="I33" s="123" t="s">
        <v>70</v>
      </c>
      <c r="J33" s="145" t="s">
        <v>74</v>
      </c>
      <c r="K33" s="97">
        <v>2</v>
      </c>
      <c r="L33" s="191">
        <f t="shared" ref="L33" si="67">K33*VLOOKUP(J33,Master_Frequencies,2,FALSE)/VLOOKUP(I33,Master_Frequencies,2,FALSE)</f>
        <v>1.4983070768766813</v>
      </c>
      <c r="M33" s="145" t="s">
        <v>70</v>
      </c>
      <c r="N33" s="145" t="s">
        <v>73</v>
      </c>
      <c r="O33" s="191">
        <f t="shared" ref="O33" si="68">D33*VLOOKUP(N33,Master_Frequencies,2,FALSE)/VLOOKUP(M33,Master_Frequencies,2,FALSE)</f>
        <v>1.2627698043480444</v>
      </c>
      <c r="Q33" s="99">
        <v>7</v>
      </c>
      <c r="R33" s="18">
        <f t="shared" si="27"/>
        <v>1837.5937476085408</v>
      </c>
      <c r="S33" s="97">
        <v>2</v>
      </c>
      <c r="T33" s="4">
        <f t="shared" si="28"/>
        <v>459.39843690213519</v>
      </c>
      <c r="U33" s="18" t="str" cm="1">
        <f t="array" ref="U33">_xlfn.XLOOKUP(0,ABS($C$44:$C$56-T33),$B$44:$B$56,,1)</f>
        <v>A#</v>
      </c>
      <c r="V33" s="47">
        <f t="shared" ref="V33" si="69">LOG(T33/VLOOKUP(U33,Master_Frequencies,2,FALSE),2)*1200</f>
        <v>-31.174093530875215</v>
      </c>
      <c r="X33" s="85" t="s">
        <v>70</v>
      </c>
      <c r="Y33" s="4">
        <f t="shared" ref="Y33" si="70">VLOOKUP(X33,Master_Frequencies,2,FALSE)/POWER(2,$Z$25)</f>
        <v>185.20623797104662</v>
      </c>
      <c r="Z33" s="47">
        <f t="shared" ref="Z33" si="71">VLOOKUP(X33,Master_Frequencies,2,FALSE)*POWER(2,$Z$25)</f>
        <v>740.82495188418648</v>
      </c>
    </row>
    <row r="34" spans="2:26" x14ac:dyDescent="0.2">
      <c r="B34" s="123" t="s">
        <v>6</v>
      </c>
      <c r="C34" s="145" t="s">
        <v>8</v>
      </c>
      <c r="D34" s="97">
        <v>1</v>
      </c>
      <c r="E34" s="4">
        <f t="shared" ref="E34" si="72">LOG(D34*VLOOKUP(C34,Master_Frequencies,2,FALSE)/VLOOKUP(B34,Master_Frequencies,2,FALSE),2)*1200</f>
        <v>398.04499913461291</v>
      </c>
      <c r="F34" s="4">
        <f t="shared" ref="F34" si="73">VLOOKUP(B34,Master_Frequencies,2,FALSE)*5/4</f>
        <v>491.1022004526618</v>
      </c>
      <c r="G34" s="47">
        <f t="shared" ref="G34" si="74">IF($D$2="Cents",LOG(VLOOKUP(C34,Master_Frequencies,2,FALSE)/F34,2)*1200*$F$3,LOG(D34*VLOOKUP(C34,Master_Frequencies,2,FALSE)/F34,$F$3))</f>
        <v>-6.0006547707862614</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1.2584990835755916</v>
      </c>
      <c r="Q34" s="99">
        <v>8</v>
      </c>
      <c r="R34" s="18">
        <f t="shared" si="27"/>
        <v>2100.1071401240465</v>
      </c>
      <c r="S34" s="97">
        <v>3</v>
      </c>
      <c r="T34" s="4">
        <f t="shared" si="28"/>
        <v>262.51339251550581</v>
      </c>
      <c r="U34" s="18" t="str" cm="1">
        <f t="array" ref="U34">_xlfn.XLOOKUP(0,ABS($C$44:$C$56-T34),$B$44:$B$56,,1)</f>
        <v>C</v>
      </c>
      <c r="V34" s="47">
        <f t="shared" ref="V34" si="77">LOG(T34/VLOOKUP(U34,Master_Frequencies,2,FALSE),2)*1200</f>
        <v>0</v>
      </c>
      <c r="X34" s="85" t="s">
        <v>6</v>
      </c>
      <c r="Y34" s="4">
        <f t="shared" ref="Y34" si="78">VLOOKUP(X34,Master_Frequencies,2,FALSE)/POWER(2,$Z$25)</f>
        <v>196.44088018106473</v>
      </c>
      <c r="Z34" s="47">
        <f t="shared" ref="Z34" si="79">VLOOKUP(X34,Master_Frequencies,2,FALSE)*POWER(2,$Z$25)</f>
        <v>785.76352072425891</v>
      </c>
    </row>
    <row r="35" spans="2:26" x14ac:dyDescent="0.2">
      <c r="B35" s="123" t="s">
        <v>72</v>
      </c>
      <c r="C35" s="145" t="s">
        <v>78</v>
      </c>
      <c r="D35" s="97">
        <v>1</v>
      </c>
      <c r="E35" s="4">
        <f t="shared" ref="E35" si="80">LOG(D35*VLOOKUP(C35,Master_Frequencies,2,FALSE)/VLOOKUP(B35,Master_Frequencies,2,FALSE),2)*1200</f>
        <v>403.91000173077458</v>
      </c>
      <c r="F35" s="4">
        <f t="shared" ref="F35" si="81">VLOOKUP(B35,Master_Frequencies,2,FALSE)*5/4</f>
        <v>519.71743308163536</v>
      </c>
      <c r="G35" s="47">
        <f t="shared" ref="G35" si="82">IF($D$2="Cents",LOG(VLOOKUP(C35,Master_Frequencies,2,FALSE)/F35,2)*1200*$F$3,LOG(D35*VLOOKUP(C35,Master_Frequencies,2,FALSE)/F35,$F$3))</f>
        <v>-9.0006547707858697</v>
      </c>
      <c r="I35" s="123" t="s">
        <v>72</v>
      </c>
      <c r="J35" s="145" t="s">
        <v>76</v>
      </c>
      <c r="K35" s="97">
        <v>2</v>
      </c>
      <c r="L35" s="191">
        <f t="shared" ref="L35" si="83">K35*VLOOKUP(J35,Master_Frequencies,2,FALSE)/VLOOKUP(I35,Master_Frequencies,2,FALSE)</f>
        <v>1.5</v>
      </c>
      <c r="M35" s="145" t="s">
        <v>72</v>
      </c>
      <c r="N35" s="145" t="s">
        <v>78</v>
      </c>
      <c r="O35" s="191">
        <f t="shared" ref="O35" si="84">D35*VLOOKUP(N35,Master_Frequencies,2,FALSE)/VLOOKUP(M35,Master_Frequencies,2,FALSE)</f>
        <v>1.2627698043480444</v>
      </c>
      <c r="Q35" s="99">
        <v>9</v>
      </c>
      <c r="R35" s="18">
        <f t="shared" si="27"/>
        <v>2362.6205326395525</v>
      </c>
      <c r="S35" s="97">
        <v>3</v>
      </c>
      <c r="T35" s="4">
        <f t="shared" si="28"/>
        <v>295.32756657994406</v>
      </c>
      <c r="U35" s="18" t="str" cm="1">
        <f t="array" ref="U35">_xlfn.XLOOKUP(0,ABS($C$44:$C$56-T35),$B$44:$B$56,,1)</f>
        <v>D</v>
      </c>
      <c r="V35" s="47">
        <f t="shared" ref="V35" si="85">LOG(T35/VLOOKUP(U35,Master_Frequencies,2,FALSE),2)*1200</f>
        <v>7.8200034615495593</v>
      </c>
      <c r="X35" s="85" t="s">
        <v>72</v>
      </c>
      <c r="Y35" s="4">
        <f t="shared" ref="Y35" si="86">VLOOKUP(X35,Master_Frequencies,2,FALSE)/POWER(2,$Z$25)</f>
        <v>207.88697323265413</v>
      </c>
      <c r="Z35" s="47">
        <f t="shared" ref="Z35" si="87">VLOOKUP(X35,Master_Frequencies,2,FALSE)*POWER(2,$Z$25)</f>
        <v>831.54789293061651</v>
      </c>
    </row>
    <row r="36" spans="2:26" x14ac:dyDescent="0.2">
      <c r="B36" s="123" t="s">
        <v>7</v>
      </c>
      <c r="C36" s="145" t="s">
        <v>74</v>
      </c>
      <c r="D36" s="97">
        <v>2</v>
      </c>
      <c r="E36" s="4">
        <f t="shared" ref="E36" si="88">LOG(D36*VLOOKUP(C36,Master_Frequencies,2,FALSE)/VLOOKUP(B36,Master_Frequencies,2,FALSE),2)*1200</f>
        <v>401.95500086538743</v>
      </c>
      <c r="F36" s="4">
        <f t="shared" ref="F36" si="89">VLOOKUP(B36,Master_Frequencies,2,FALSE)*5/4</f>
        <v>550.00000000000011</v>
      </c>
      <c r="G36" s="47">
        <f t="shared" ref="G36" si="90">IF($D$2="Cents",LOG(VLOOKUP(C36,Master_Frequencies,2,FALSE)/F36,2)*1200*$F$3,LOG(D36*VLOOKUP(C36,Master_Frequencies,2,FALSE)/F36,$F$3))</f>
        <v>-8.0006547707861753</v>
      </c>
      <c r="I36" s="123" t="s">
        <v>7</v>
      </c>
      <c r="J36" s="145" t="s">
        <v>4</v>
      </c>
      <c r="K36" s="97">
        <v>2</v>
      </c>
      <c r="L36" s="191">
        <f t="shared" ref="L36" si="91">K36*VLOOKUP(J36,Master_Frequencies,2,FALSE)/VLOOKUP(I36,Master_Frequencies,2,FALSE)</f>
        <v>1.4983070768766815</v>
      </c>
      <c r="M36" s="145" t="s">
        <v>7</v>
      </c>
      <c r="N36" s="145" t="s">
        <v>74</v>
      </c>
      <c r="O36" s="191">
        <f t="shared" ref="O36" si="92">D36*VLOOKUP(N36,Master_Frequencies,2,FALSE)/VLOOKUP(M36,Master_Frequencies,2,FALSE)</f>
        <v>1.2613446228805718</v>
      </c>
      <c r="Q36" s="99">
        <v>10</v>
      </c>
      <c r="R36" s="18">
        <f t="shared" si="27"/>
        <v>2625.133925155058</v>
      </c>
      <c r="S36" s="97">
        <v>3</v>
      </c>
      <c r="T36" s="4">
        <f t="shared" si="28"/>
        <v>328.14174064438225</v>
      </c>
      <c r="U36" s="18" t="str" cm="1">
        <f t="array" ref="U36">_xlfn.XLOOKUP(0,ABS($C$44:$C$56-T36),$B$44:$B$56,,1)</f>
        <v>E</v>
      </c>
      <c r="V36" s="47">
        <f t="shared" ref="V36" si="93">LOG(T36/VLOOKUP(U36,Master_Frequencies,2,FALSE),2)*1200</f>
        <v>-7.8212835390032032</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396.08999826922508</v>
      </c>
      <c r="F37" s="4">
        <f t="shared" ref="F37" si="97">VLOOKUP(B37,Master_Frequencies,2,FALSE)*5/4</f>
        <v>584.68211221683976</v>
      </c>
      <c r="G37" s="47">
        <f t="shared" ref="G37" si="98">IF($D$2="Cents",LOG(VLOOKUP(C37,Master_Frequencies,2,FALSE)/F37,2)*1200*$F$3,LOG(D37*VLOOKUP(C37,Master_Frequencies,2,FALSE)/F37,$F$3))</f>
        <v>-5.0006547707861184</v>
      </c>
      <c r="I37" s="123" t="s">
        <v>73</v>
      </c>
      <c r="J37" s="145" t="s">
        <v>5</v>
      </c>
      <c r="K37" s="97">
        <v>2</v>
      </c>
      <c r="L37" s="191">
        <f t="shared" ref="L37" si="99">K37*VLOOKUP(J37,Master_Frequencies,2,FALSE)/VLOOKUP(I37,Master_Frequencies,2,FALSE)</f>
        <v>1.4983070768766813</v>
      </c>
      <c r="M37" s="145" t="s">
        <v>73</v>
      </c>
      <c r="N37" s="145" t="s">
        <v>3</v>
      </c>
      <c r="O37" s="191">
        <f t="shared" ref="O37" si="100">D37*VLOOKUP(N37,Master_Frequencies,2,FALSE)/VLOOKUP(M37,Master_Frequencies,2,FALSE)</f>
        <v>1.2570787221094177</v>
      </c>
      <c r="Q37" s="99">
        <v>11</v>
      </c>
      <c r="R37" s="18">
        <f t="shared" si="27"/>
        <v>2887.647317670564</v>
      </c>
      <c r="S37" s="97">
        <v>3</v>
      </c>
      <c r="T37" s="4">
        <f t="shared" si="28"/>
        <v>360.9559147088205</v>
      </c>
      <c r="U37" s="18" t="str" cm="1">
        <f t="array" ref="U37">_xlfn.XLOOKUP(0,ABS($C$44:$C$56-T37),$B$44:$B$56,,1)</f>
        <v>F#</v>
      </c>
      <c r="V37" s="47">
        <f t="shared" ref="V37" si="101">LOG(T37/VLOOKUP(U37,Master_Frequencies,2,FALSE),2)*1200</f>
        <v>-44.772055904468822</v>
      </c>
      <c r="X37" s="85" t="s">
        <v>73</v>
      </c>
      <c r="Y37" s="4">
        <f t="shared" ref="Y37" si="102">VLOOKUP(X37,Master_Frequencies,2,FALSE)/POWER(2,$Z$25)</f>
        <v>233.87284488673589</v>
      </c>
      <c r="Z37" s="47">
        <f t="shared" ref="Z37" si="103">VLOOKUP(X37,Master_Frequencies,2,FALSE)*POWER(2,$Z$25)</f>
        <v>935.49137954694356</v>
      </c>
    </row>
    <row r="38" spans="2:26" x14ac:dyDescent="0.2">
      <c r="B38" s="124" t="s">
        <v>8</v>
      </c>
      <c r="C38" s="153" t="s">
        <v>76</v>
      </c>
      <c r="D38" s="98">
        <v>2</v>
      </c>
      <c r="E38" s="53">
        <f t="shared" ref="E38" si="104">LOG(D38*VLOOKUP(C38,Master_Frequencies,2,FALSE)/VLOOKUP(B38,Master_Frequencies,2,FALSE),2)*1200</f>
        <v>401.95500086538743</v>
      </c>
      <c r="F38" s="53">
        <f t="shared" ref="F38" si="105">VLOOKUP(B38,Master_Frequencies,2,FALSE)*5/4</f>
        <v>618.05166921163141</v>
      </c>
      <c r="G38" s="48">
        <f t="shared" ref="G38" si="106">IF($D$2="Cents",LOG(VLOOKUP(C38,Master_Frequencies,2,FALSE)/F38,2)*1200*$F$3,LOG(D38*VLOOKUP(C38,Master_Frequencies,2,FALSE)/F38,$F$3))</f>
        <v>-8.0006547707859799</v>
      </c>
      <c r="I38" s="124" t="s">
        <v>8</v>
      </c>
      <c r="J38" s="153" t="s">
        <v>70</v>
      </c>
      <c r="K38" s="98">
        <v>2</v>
      </c>
      <c r="L38" s="192">
        <f t="shared" ref="L38" si="107">K38*VLOOKUP(J38,Master_Frequencies,2,FALSE)/VLOOKUP(I38,Master_Frequencies,2,FALSE)</f>
        <v>1.4983070768766815</v>
      </c>
      <c r="M38" s="153" t="s">
        <v>8</v>
      </c>
      <c r="N38" s="153" t="s">
        <v>76</v>
      </c>
      <c r="O38" s="192">
        <f t="shared" ref="O38" si="108">D38*VLOOKUP(N38,Master_Frequencies,2,FALSE)/VLOOKUP(M38,Master_Frequencies,2,FALSE)</f>
        <v>1.2613446228805718</v>
      </c>
      <c r="Q38" s="99">
        <v>12</v>
      </c>
      <c r="R38" s="18">
        <f t="shared" si="27"/>
        <v>3150.16071018607</v>
      </c>
      <c r="S38" s="97">
        <v>3</v>
      </c>
      <c r="T38" s="4">
        <f t="shared" si="28"/>
        <v>393.77008877325875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247.22066768465254</v>
      </c>
      <c r="Z38" s="47">
        <f t="shared" ref="Z38" si="111">VLOOKUP(X38,Master_Frequencies,2,FALSE)*POWER(2,$Z$25)</f>
        <v>988.88267073861016</v>
      </c>
    </row>
    <row r="39" spans="2:26" x14ac:dyDescent="0.2">
      <c r="Q39" s="100">
        <v>13</v>
      </c>
      <c r="R39" s="50">
        <f t="shared" si="27"/>
        <v>3412.6741027015755</v>
      </c>
      <c r="S39" s="98">
        <v>3</v>
      </c>
      <c r="T39" s="53">
        <f t="shared" si="28"/>
        <v>426.58426283769694</v>
      </c>
      <c r="U39" s="50" t="str" cm="1">
        <f t="array" ref="U39">_xlfn.XLOOKUP(0,ABS($C$44:$C$56-T39),$B$44:$B$56,,1)</f>
        <v>G#</v>
      </c>
      <c r="V39" s="48">
        <f t="shared" ref="V39" si="112">LOG(T39/VLOOKUP(U39,Master_Frequencies,2,FALSE),2)*1200</f>
        <v>44.4376635000853</v>
      </c>
      <c r="X39" s="87" t="s">
        <v>78</v>
      </c>
      <c r="Y39" s="53">
        <f t="shared" ref="Y39" si="113">VLOOKUP(X39,Master_Frequencies,2,FALSE)/POWER(2,$Z$25)</f>
        <v>262.51339251550581</v>
      </c>
      <c r="Z39" s="48">
        <f t="shared" ref="Z39" si="114">VLOOKUP(X39,Master_Frequencies,2,FALSE)*POWER(2,$Z$25)</f>
        <v>1050.0535700620233</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262.51339251550581</v>
      </c>
    </row>
    <row r="45" spans="2:26" x14ac:dyDescent="0.2">
      <c r="B45" s="92" t="s">
        <v>74</v>
      </c>
      <c r="C45" s="93">
        <f t="shared" ref="C45:C56" si="115">VLOOKUP(B45,$B$9:$H$21,7,FALSE)</f>
        <v>277.49581703372587</v>
      </c>
    </row>
    <row r="46" spans="2:26" x14ac:dyDescent="0.2">
      <c r="B46" s="92" t="s">
        <v>3</v>
      </c>
      <c r="C46" s="93">
        <f t="shared" si="115"/>
        <v>293.99657698631205</v>
      </c>
    </row>
    <row r="47" spans="2:26" x14ac:dyDescent="0.2">
      <c r="B47" s="92" t="s">
        <v>76</v>
      </c>
      <c r="C47" s="93">
        <f t="shared" si="115"/>
        <v>311.83045984898121</v>
      </c>
    </row>
    <row r="48" spans="2:26" x14ac:dyDescent="0.2">
      <c r="B48" s="92" t="s">
        <v>4</v>
      </c>
      <c r="C48" s="93">
        <f t="shared" si="115"/>
        <v>329.62755691287003</v>
      </c>
    </row>
    <row r="49" spans="2:3" x14ac:dyDescent="0.2">
      <c r="B49" s="92" t="s">
        <v>5</v>
      </c>
      <c r="C49" s="93">
        <f t="shared" si="115"/>
        <v>350.41333858307877</v>
      </c>
    </row>
    <row r="50" spans="2:3" x14ac:dyDescent="0.2">
      <c r="B50" s="92" t="s">
        <v>70</v>
      </c>
      <c r="C50" s="93">
        <f t="shared" si="115"/>
        <v>370.41247594209324</v>
      </c>
    </row>
    <row r="51" spans="2:3" x14ac:dyDescent="0.2">
      <c r="B51" s="92" t="s">
        <v>6</v>
      </c>
      <c r="C51" s="93">
        <f t="shared" si="115"/>
        <v>392.88176036212946</v>
      </c>
    </row>
    <row r="52" spans="2:3" x14ac:dyDescent="0.2">
      <c r="B52" s="92" t="s">
        <v>72</v>
      </c>
      <c r="C52" s="93">
        <f t="shared" si="115"/>
        <v>415.77394646530826</v>
      </c>
    </row>
    <row r="53" spans="2:3" x14ac:dyDescent="0.2">
      <c r="B53" s="92" t="s">
        <v>7</v>
      </c>
      <c r="C53" s="93">
        <f t="shared" si="115"/>
        <v>440.00000000000011</v>
      </c>
    </row>
    <row r="54" spans="2:3" x14ac:dyDescent="0.2">
      <c r="B54" s="92" t="s">
        <v>73</v>
      </c>
      <c r="C54" s="93">
        <f t="shared" si="115"/>
        <v>467.74568977347178</v>
      </c>
    </row>
    <row r="55" spans="2:3" x14ac:dyDescent="0.2">
      <c r="B55" s="92" t="s">
        <v>8</v>
      </c>
      <c r="C55" s="93">
        <f t="shared" si="115"/>
        <v>494.44133536930508</v>
      </c>
    </row>
    <row r="56" spans="2:3" ht="16" thickBot="1" x14ac:dyDescent="0.25">
      <c r="B56" s="94" t="s">
        <v>78</v>
      </c>
      <c r="C56" s="95">
        <f t="shared" si="115"/>
        <v>525.02678503101163</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37" priority="1">
      <formula>CELL("protect",A1)=0</formula>
    </cfRule>
    <cfRule type="expression" dxfId="36"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5DE094EF-5936-2D4B-B958-896B02BEE4C8}">
      <formula1>Units</formula1>
    </dataValidation>
  </dataValidations>
  <hyperlinks>
    <hyperlink ref="B40" location="Overview!A1" display="Back to Overview" xr:uid="{B7616517-CD7E-DA4B-896B-6D166C9B862B}"/>
    <hyperlink ref="B4" location="Overview!A1" display="Back to Overview" xr:uid="{4DE73C8E-9C87-B34C-AB69-A2BB02FF8BD6}"/>
  </hyperlinks>
  <pageMargins left="0.7" right="0.7" top="0.75" bottom="0.75" header="0.3" footer="0.3"/>
  <drawing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B753-0899-3F46-BC3E-4E60349956D2}">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101</v>
      </c>
      <c r="C1" s="289"/>
      <c r="D1" s="289"/>
      <c r="E1" s="289"/>
      <c r="F1" s="289"/>
      <c r="G1" s="289"/>
      <c r="P1" s="4" t="s">
        <v>478</v>
      </c>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I2*2*8/27*POWER($F$3,$D$12-$D$9)</f>
        <v>262.21711585392563</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-2</v>
      </c>
      <c r="D9" s="4">
        <f>C9</f>
        <v>-2</v>
      </c>
      <c r="E9" s="109">
        <f>K2</f>
        <v>262.21711585392563</v>
      </c>
      <c r="G9" s="97">
        <v>0</v>
      </c>
      <c r="H9" s="188">
        <f t="shared" ref="H9:H21" si="0">E9/POWER(2,G9)</f>
        <v>262.21711585392563</v>
      </c>
      <c r="J9" s="85" t="s">
        <v>2</v>
      </c>
      <c r="K9" s="4">
        <f t="shared" ref="K9:K21" si="1">VLOOKUP(J9,Master_Frequencies,2,FALSE)</f>
        <v>262.21711585392563</v>
      </c>
      <c r="L9" s="4">
        <f t="shared" ref="L9:L21" si="2">LOG(K9/K$9,2)*1200</f>
        <v>0</v>
      </c>
      <c r="N9" s="158">
        <v>3600</v>
      </c>
      <c r="P9" s="123" t="str">
        <f>J9</f>
        <v>C</v>
      </c>
      <c r="Q9" s="4">
        <f>E9</f>
        <v>262.21711585392563</v>
      </c>
      <c r="R9" s="4">
        <f>LOG(K9/Q9,2)*1200</f>
        <v>0</v>
      </c>
      <c r="S9" s="145" t="str">
        <f t="shared" ref="S9:S21" si="3">B9</f>
        <v>C</v>
      </c>
      <c r="T9" s="4">
        <f t="shared" ref="T9:T21" si="4">VLOOKUP(S9,Master_Frequencies,2,FALSE)</f>
        <v>262.21711585392563</v>
      </c>
      <c r="U9" s="47">
        <f t="shared" ref="U9:U21" si="5">VLOOKUP(S9,$P$9:$R$21,3,FALSE)</f>
        <v>0</v>
      </c>
    </row>
    <row r="10" spans="2:23" x14ac:dyDescent="0.2">
      <c r="B10" s="107" t="s">
        <v>6</v>
      </c>
      <c r="C10" s="185">
        <v>-2</v>
      </c>
      <c r="D10" s="4">
        <f>D9+C10</f>
        <v>-4</v>
      </c>
      <c r="E10" s="4">
        <f t="shared" ref="E10:E21" si="6">IF(C10&lt;0,(E9*3/2)*POWER($F$3,ABS(C10)),(E9*3/2)*POWER(1/$F$3,ABS(C10)))</f>
        <v>392.43834795089805</v>
      </c>
      <c r="F10" s="4">
        <f t="shared" ref="F10:F21" si="7">LOG(E10/E9,2)*1200</f>
        <v>698.04499913461268</v>
      </c>
      <c r="G10" s="97">
        <v>0</v>
      </c>
      <c r="H10" s="188">
        <f t="shared" si="0"/>
        <v>392.43834795089805</v>
      </c>
      <c r="J10" s="85" t="s">
        <v>74</v>
      </c>
      <c r="K10" s="4">
        <f t="shared" si="1"/>
        <v>277.49581703372587</v>
      </c>
      <c r="L10" s="4">
        <f t="shared" si="2"/>
        <v>98.044999134612695</v>
      </c>
      <c r="M10" s="4">
        <f t="shared" ref="M10:M21" si="8">LOG(K10/K9,2)*1200</f>
        <v>98.044999134612695</v>
      </c>
      <c r="N10" s="47">
        <f t="shared" ref="N10:N21" si="9">N$9*K$9/K10</f>
        <v>3401.7868347161575</v>
      </c>
      <c r="P10" s="123" t="str">
        <f t="shared" ref="P10:P21" si="10">J10</f>
        <v>C#</v>
      </c>
      <c r="Q10" s="4">
        <f t="shared" ref="Q10:Q21" si="11">Q9*POWER($Q$9*2/$Q$9,1/12)</f>
        <v>277.8093569565699</v>
      </c>
      <c r="R10" s="4">
        <f t="shared" ref="R10:R21" si="12">LOG(K10/Q10,2)*1200</f>
        <v>-1.955000865387585</v>
      </c>
      <c r="S10" s="145" t="str">
        <f t="shared" si="3"/>
        <v>G</v>
      </c>
      <c r="T10" s="4">
        <f t="shared" si="4"/>
        <v>392.43834795089805</v>
      </c>
      <c r="U10" s="47">
        <f t="shared" si="5"/>
        <v>-1.9550008653881623</v>
      </c>
    </row>
    <row r="11" spans="2:23" x14ac:dyDescent="0.2">
      <c r="B11" s="107" t="s">
        <v>3</v>
      </c>
      <c r="C11" s="185">
        <v>-2</v>
      </c>
      <c r="D11" s="4">
        <f t="shared" ref="D11:D21" si="13">D10+C11</f>
        <v>-6</v>
      </c>
      <c r="E11" s="4">
        <f t="shared" si="6"/>
        <v>587.32953583481526</v>
      </c>
      <c r="F11" s="4">
        <f t="shared" si="7"/>
        <v>698.04499913461268</v>
      </c>
      <c r="G11" s="97">
        <v>1</v>
      </c>
      <c r="H11" s="188">
        <f t="shared" si="0"/>
        <v>293.66476791740763</v>
      </c>
      <c r="J11" s="85" t="s">
        <v>3</v>
      </c>
      <c r="K11" s="4">
        <f t="shared" si="1"/>
        <v>293.66476791740763</v>
      </c>
      <c r="L11" s="4">
        <f t="shared" si="2"/>
        <v>196.08999826922513</v>
      </c>
      <c r="M11" s="4">
        <f t="shared" si="8"/>
        <v>98.044999134612695</v>
      </c>
      <c r="N11" s="47">
        <f t="shared" si="9"/>
        <v>3214.4871302356041</v>
      </c>
      <c r="P11" s="123" t="str">
        <f t="shared" si="10"/>
        <v>D</v>
      </c>
      <c r="Q11" s="4">
        <f t="shared" si="11"/>
        <v>294.32876096317358</v>
      </c>
      <c r="R11" s="4">
        <f t="shared" si="12"/>
        <v>-3.910001730775059</v>
      </c>
      <c r="S11" s="145" t="str">
        <f t="shared" si="3"/>
        <v>D</v>
      </c>
      <c r="T11" s="4">
        <f t="shared" si="4"/>
        <v>293.66476791740763</v>
      </c>
      <c r="U11" s="47">
        <f t="shared" si="5"/>
        <v>-3.910001730775059</v>
      </c>
    </row>
    <row r="12" spans="2:23" x14ac:dyDescent="0.2">
      <c r="B12" s="107" t="s">
        <v>7</v>
      </c>
      <c r="C12" s="185">
        <v>-1</v>
      </c>
      <c r="D12" s="4">
        <f t="shared" si="13"/>
        <v>-7</v>
      </c>
      <c r="E12" s="4">
        <f t="shared" si="6"/>
        <v>880.00000000000023</v>
      </c>
      <c r="F12" s="4">
        <f t="shared" si="7"/>
        <v>700</v>
      </c>
      <c r="G12" s="97">
        <v>1</v>
      </c>
      <c r="H12" s="188">
        <f t="shared" si="0"/>
        <v>440.00000000000011</v>
      </c>
      <c r="J12" s="85" t="s">
        <v>76</v>
      </c>
      <c r="K12" s="4">
        <f t="shared" si="1"/>
        <v>311.83045984898121</v>
      </c>
      <c r="L12" s="4">
        <f t="shared" si="2"/>
        <v>300.00000000000028</v>
      </c>
      <c r="M12" s="4">
        <f t="shared" si="8"/>
        <v>103.91000173077481</v>
      </c>
      <c r="N12" s="47">
        <f t="shared" si="9"/>
        <v>3027.2270949133722</v>
      </c>
      <c r="P12" s="123" t="str">
        <f t="shared" si="10"/>
        <v>D#</v>
      </c>
      <c r="Q12" s="4">
        <f t="shared" si="11"/>
        <v>311.83045984898126</v>
      </c>
      <c r="R12" s="4">
        <f t="shared" si="12"/>
        <v>-3.8441118045779024E-13</v>
      </c>
      <c r="S12" s="145" t="str">
        <f t="shared" si="3"/>
        <v>A</v>
      </c>
      <c r="T12" s="4">
        <f t="shared" si="4"/>
        <v>440.00000000000011</v>
      </c>
      <c r="U12" s="47">
        <f t="shared" si="5"/>
        <v>-3.9100017307756363</v>
      </c>
    </row>
    <row r="13" spans="2:23" x14ac:dyDescent="0.2">
      <c r="B13" s="107" t="s">
        <v>4</v>
      </c>
      <c r="C13" s="185">
        <v>0</v>
      </c>
      <c r="D13" s="4">
        <f t="shared" si="13"/>
        <v>-7</v>
      </c>
      <c r="E13" s="4">
        <f t="shared" si="6"/>
        <v>1320.0000000000005</v>
      </c>
      <c r="F13" s="4">
        <f t="shared" si="7"/>
        <v>701.95500086538766</v>
      </c>
      <c r="G13" s="97">
        <v>2</v>
      </c>
      <c r="H13" s="188">
        <f t="shared" si="0"/>
        <v>330.00000000000011</v>
      </c>
      <c r="J13" s="85" t="s">
        <v>4</v>
      </c>
      <c r="K13" s="4">
        <f t="shared" si="1"/>
        <v>330.00000000000011</v>
      </c>
      <c r="L13" s="4">
        <f t="shared" si="2"/>
        <v>398.04499913461291</v>
      </c>
      <c r="M13" s="4">
        <f t="shared" si="8"/>
        <v>98.044999134612695</v>
      </c>
      <c r="N13" s="47">
        <f t="shared" si="9"/>
        <v>2860.5503547700969</v>
      </c>
      <c r="P13" s="123" t="str">
        <f t="shared" si="10"/>
        <v>E</v>
      </c>
      <c r="Q13" s="4">
        <f t="shared" si="11"/>
        <v>330.37286390708368</v>
      </c>
      <c r="R13" s="4">
        <f t="shared" si="12"/>
        <v>-1.9550008653877775</v>
      </c>
      <c r="S13" s="145" t="str">
        <f t="shared" si="3"/>
        <v>E</v>
      </c>
      <c r="T13" s="4">
        <f t="shared" si="4"/>
        <v>330.00000000000011</v>
      </c>
      <c r="U13" s="47">
        <f t="shared" si="5"/>
        <v>-1.9550008653877775</v>
      </c>
    </row>
    <row r="14" spans="2:23" x14ac:dyDescent="0.2">
      <c r="B14" s="107" t="s">
        <v>8</v>
      </c>
      <c r="C14" s="185">
        <v>-1</v>
      </c>
      <c r="D14" s="4">
        <f t="shared" si="13"/>
        <v>-8</v>
      </c>
      <c r="E14" s="4">
        <f t="shared" si="6"/>
        <v>1977.7653414772203</v>
      </c>
      <c r="F14" s="4">
        <f t="shared" si="7"/>
        <v>700</v>
      </c>
      <c r="G14" s="97">
        <v>2</v>
      </c>
      <c r="H14" s="188">
        <f t="shared" si="0"/>
        <v>494.44133536930508</v>
      </c>
      <c r="J14" s="85" t="s">
        <v>5</v>
      </c>
      <c r="K14" s="4">
        <f t="shared" si="1"/>
        <v>350.41333858307883</v>
      </c>
      <c r="L14" s="4">
        <f t="shared" si="2"/>
        <v>501.95500086538772</v>
      </c>
      <c r="M14" s="4">
        <f t="shared" si="8"/>
        <v>103.91000173077481</v>
      </c>
      <c r="N14" s="47">
        <f t="shared" si="9"/>
        <v>2693.9089159424948</v>
      </c>
      <c r="P14" s="123" t="str">
        <f t="shared" si="10"/>
        <v>F</v>
      </c>
      <c r="Q14" s="4">
        <f t="shared" si="11"/>
        <v>350.01785668734124</v>
      </c>
      <c r="R14" s="4">
        <f t="shared" si="12"/>
        <v>1.9550008653868458</v>
      </c>
      <c r="S14" s="145" t="str">
        <f t="shared" si="3"/>
        <v>B</v>
      </c>
      <c r="T14" s="4">
        <f t="shared" si="4"/>
        <v>494.44133536930508</v>
      </c>
      <c r="U14" s="47">
        <f t="shared" si="5"/>
        <v>-1.9550008653881623</v>
      </c>
    </row>
    <row r="15" spans="2:23" x14ac:dyDescent="0.2">
      <c r="B15" s="107" t="s">
        <v>70</v>
      </c>
      <c r="C15" s="185">
        <v>-1</v>
      </c>
      <c r="D15" s="4">
        <f t="shared" si="13"/>
        <v>-9</v>
      </c>
      <c r="E15" s="4">
        <f t="shared" si="6"/>
        <v>2963.2998075367459</v>
      </c>
      <c r="F15" s="4">
        <f t="shared" si="7"/>
        <v>700</v>
      </c>
      <c r="G15" s="97">
        <v>3</v>
      </c>
      <c r="H15" s="188">
        <f t="shared" si="0"/>
        <v>370.41247594209324</v>
      </c>
      <c r="J15" s="85" t="s">
        <v>70</v>
      </c>
      <c r="K15" s="4">
        <f t="shared" si="1"/>
        <v>370.41247594209324</v>
      </c>
      <c r="L15" s="4">
        <f t="shared" si="2"/>
        <v>598.04499913461279</v>
      </c>
      <c r="M15" s="4">
        <f t="shared" si="8"/>
        <v>96.089998269225319</v>
      </c>
      <c r="N15" s="47">
        <f t="shared" si="9"/>
        <v>2548.460644240572</v>
      </c>
      <c r="P15" s="123" t="str">
        <f t="shared" si="10"/>
        <v>F#</v>
      </c>
      <c r="Q15" s="4">
        <f t="shared" si="11"/>
        <v>370.83100152697892</v>
      </c>
      <c r="R15" s="4">
        <f t="shared" si="12"/>
        <v>-1.9550008653879698</v>
      </c>
      <c r="S15" s="145" t="str">
        <f t="shared" si="3"/>
        <v>F#</v>
      </c>
      <c r="T15" s="4">
        <f t="shared" si="4"/>
        <v>370.41247594209324</v>
      </c>
      <c r="U15" s="47">
        <f t="shared" si="5"/>
        <v>-1.9550008653879698</v>
      </c>
    </row>
    <row r="16" spans="2:23" x14ac:dyDescent="0.2">
      <c r="B16" s="107" t="s">
        <v>74</v>
      </c>
      <c r="C16" s="185">
        <v>-1</v>
      </c>
      <c r="D16" s="4">
        <f t="shared" si="13"/>
        <v>-10</v>
      </c>
      <c r="E16" s="4">
        <f t="shared" si="6"/>
        <v>4439.9330725396139</v>
      </c>
      <c r="F16" s="4">
        <f t="shared" si="7"/>
        <v>699.99999999999977</v>
      </c>
      <c r="G16" s="97">
        <v>4</v>
      </c>
      <c r="H16" s="188">
        <f t="shared" si="0"/>
        <v>277.49581703372587</v>
      </c>
      <c r="J16" s="85" t="s">
        <v>6</v>
      </c>
      <c r="K16" s="4">
        <f t="shared" si="1"/>
        <v>392.43834795089805</v>
      </c>
      <c r="L16" s="4">
        <f t="shared" si="2"/>
        <v>698.04499913461268</v>
      </c>
      <c r="M16" s="4">
        <f t="shared" si="8"/>
        <v>99.99999999999973</v>
      </c>
      <c r="N16" s="47">
        <f t="shared" si="9"/>
        <v>2405.4265389789161</v>
      </c>
      <c r="P16" s="123" t="str">
        <f t="shared" si="10"/>
        <v>G</v>
      </c>
      <c r="Q16" s="4">
        <f t="shared" si="11"/>
        <v>392.88176036212963</v>
      </c>
      <c r="R16" s="4">
        <f t="shared" si="12"/>
        <v>-1.9550008653881623</v>
      </c>
      <c r="S16" s="145" t="str">
        <f t="shared" si="3"/>
        <v>C#</v>
      </c>
      <c r="T16" s="4">
        <f t="shared" si="4"/>
        <v>277.49581703372587</v>
      </c>
      <c r="U16" s="47">
        <f t="shared" si="5"/>
        <v>-1.955000865387585</v>
      </c>
    </row>
    <row r="17" spans="2:26" x14ac:dyDescent="0.2">
      <c r="B17" s="107" t="s">
        <v>72</v>
      </c>
      <c r="C17" s="185">
        <v>0</v>
      </c>
      <c r="D17" s="4">
        <f t="shared" si="13"/>
        <v>-10</v>
      </c>
      <c r="E17" s="4">
        <f t="shared" si="6"/>
        <v>6659.8996088094209</v>
      </c>
      <c r="F17" s="4">
        <f t="shared" si="7"/>
        <v>701.95500086538743</v>
      </c>
      <c r="G17" s="97">
        <v>4</v>
      </c>
      <c r="H17" s="188">
        <f t="shared" si="0"/>
        <v>416.24372555058881</v>
      </c>
      <c r="J17" s="85" t="s">
        <v>72</v>
      </c>
      <c r="K17" s="4">
        <f t="shared" si="1"/>
        <v>416.24372555058881</v>
      </c>
      <c r="L17" s="4">
        <f t="shared" si="2"/>
        <v>800.00000000000023</v>
      </c>
      <c r="M17" s="4">
        <f t="shared" si="8"/>
        <v>101.95500086538728</v>
      </c>
      <c r="N17" s="47">
        <f t="shared" si="9"/>
        <v>2267.8578898107717</v>
      </c>
      <c r="P17" s="123" t="str">
        <f t="shared" si="10"/>
        <v>G#</v>
      </c>
      <c r="Q17" s="4">
        <f t="shared" si="11"/>
        <v>416.24372555058898</v>
      </c>
      <c r="R17" s="4">
        <f t="shared" si="12"/>
        <v>-7.6882236091558047E-13</v>
      </c>
      <c r="S17" s="145" t="str">
        <f t="shared" si="3"/>
        <v>G#</v>
      </c>
      <c r="T17" s="4">
        <f t="shared" si="4"/>
        <v>416.24372555058881</v>
      </c>
      <c r="U17" s="47">
        <f t="shared" si="5"/>
        <v>-7.6882236091558047E-13</v>
      </c>
    </row>
    <row r="18" spans="2:26" x14ac:dyDescent="0.2">
      <c r="B18" s="107" t="s">
        <v>76</v>
      </c>
      <c r="C18" s="185">
        <v>-1</v>
      </c>
      <c r="D18" s="4">
        <f t="shared" si="13"/>
        <v>-11</v>
      </c>
      <c r="E18" s="4">
        <f t="shared" si="6"/>
        <v>9978.5747151673986</v>
      </c>
      <c r="F18" s="4">
        <f t="shared" si="7"/>
        <v>700</v>
      </c>
      <c r="G18" s="97">
        <v>5</v>
      </c>
      <c r="H18" s="188">
        <f t="shared" si="0"/>
        <v>311.83045984898121</v>
      </c>
      <c r="J18" s="85" t="s">
        <v>7</v>
      </c>
      <c r="K18" s="4">
        <f t="shared" si="1"/>
        <v>440.00000000000011</v>
      </c>
      <c r="L18" s="4">
        <f t="shared" si="2"/>
        <v>896.08999826922536</v>
      </c>
      <c r="M18" s="4">
        <f t="shared" si="8"/>
        <v>96.089998269225319</v>
      </c>
      <c r="N18" s="47">
        <f t="shared" si="9"/>
        <v>2145.412766077573</v>
      </c>
      <c r="P18" s="123" t="str">
        <f t="shared" si="10"/>
        <v>A</v>
      </c>
      <c r="Q18" s="4">
        <f t="shared" si="11"/>
        <v>440.99486547946827</v>
      </c>
      <c r="R18" s="4">
        <f t="shared" si="12"/>
        <v>-3.9100017307756363</v>
      </c>
      <c r="S18" s="145" t="str">
        <f t="shared" si="3"/>
        <v>D#</v>
      </c>
      <c r="T18" s="4">
        <f t="shared" si="4"/>
        <v>311.83045984898121</v>
      </c>
      <c r="U18" s="47">
        <f t="shared" si="5"/>
        <v>-3.8441118045779024E-13</v>
      </c>
    </row>
    <row r="19" spans="2:26" x14ac:dyDescent="0.2">
      <c r="B19" s="107" t="s">
        <v>73</v>
      </c>
      <c r="C19" s="185">
        <v>-1</v>
      </c>
      <c r="D19" s="4">
        <f t="shared" si="13"/>
        <v>-12</v>
      </c>
      <c r="E19" s="4">
        <f t="shared" si="6"/>
        <v>14950.969112878029</v>
      </c>
      <c r="F19" s="4">
        <f t="shared" si="7"/>
        <v>699.99999999999977</v>
      </c>
      <c r="G19" s="97">
        <v>5</v>
      </c>
      <c r="H19" s="188">
        <f t="shared" si="0"/>
        <v>467.2177847774384</v>
      </c>
      <c r="J19" s="85" t="s">
        <v>73</v>
      </c>
      <c r="K19" s="4">
        <f t="shared" si="1"/>
        <v>467.2177847774384</v>
      </c>
      <c r="L19" s="4">
        <f t="shared" si="2"/>
        <v>1000.0000000000002</v>
      </c>
      <c r="M19" s="4">
        <f t="shared" si="8"/>
        <v>103.91000173077481</v>
      </c>
      <c r="N19" s="47">
        <f t="shared" si="9"/>
        <v>2020.4316869568713</v>
      </c>
      <c r="P19" s="123" t="str">
        <f t="shared" si="10"/>
        <v>A#</v>
      </c>
      <c r="Q19" s="4">
        <f t="shared" si="11"/>
        <v>467.21778477743862</v>
      </c>
      <c r="R19" s="4">
        <f t="shared" si="12"/>
        <v>-7.6882236091558047E-13</v>
      </c>
      <c r="S19" s="145" t="str">
        <f t="shared" si="3"/>
        <v>A#</v>
      </c>
      <c r="T19" s="4">
        <f t="shared" si="4"/>
        <v>467.2177847774384</v>
      </c>
      <c r="U19" s="47">
        <f t="shared" si="5"/>
        <v>-7.6882236091558047E-13</v>
      </c>
    </row>
    <row r="20" spans="2:26" x14ac:dyDescent="0.2">
      <c r="B20" s="107" t="s">
        <v>5</v>
      </c>
      <c r="C20" s="185">
        <v>0</v>
      </c>
      <c r="D20" s="4">
        <f t="shared" si="13"/>
        <v>-12</v>
      </c>
      <c r="E20" s="4">
        <f t="shared" si="6"/>
        <v>22426.453669317045</v>
      </c>
      <c r="F20" s="4">
        <f t="shared" si="7"/>
        <v>701.95500086538766</v>
      </c>
      <c r="G20" s="97">
        <v>6</v>
      </c>
      <c r="H20" s="188">
        <f t="shared" si="0"/>
        <v>350.41333858307883</v>
      </c>
      <c r="J20" s="85" t="s">
        <v>8</v>
      </c>
      <c r="K20" s="4">
        <f t="shared" si="1"/>
        <v>494.44133536930508</v>
      </c>
      <c r="L20" s="4">
        <f t="shared" si="2"/>
        <v>1098.0449991346129</v>
      </c>
      <c r="M20" s="4">
        <f t="shared" si="8"/>
        <v>98.044999134612695</v>
      </c>
      <c r="N20" s="47">
        <f t="shared" si="9"/>
        <v>1909.188309203678</v>
      </c>
      <c r="P20" s="123" t="str">
        <f t="shared" si="10"/>
        <v>B</v>
      </c>
      <c r="Q20" s="4">
        <f t="shared" si="11"/>
        <v>495.0000000000004</v>
      </c>
      <c r="R20" s="4">
        <f t="shared" si="12"/>
        <v>-1.9550008653881623</v>
      </c>
      <c r="S20" s="145" t="str">
        <f t="shared" si="3"/>
        <v>F</v>
      </c>
      <c r="T20" s="4">
        <f t="shared" si="4"/>
        <v>350.41333858307883</v>
      </c>
      <c r="U20" s="47">
        <f t="shared" si="5"/>
        <v>1.9550008653868458</v>
      </c>
    </row>
    <row r="21" spans="2:26" x14ac:dyDescent="0.2">
      <c r="B21" s="108" t="s">
        <v>78</v>
      </c>
      <c r="C21" s="186">
        <v>-2</v>
      </c>
      <c r="D21" s="53">
        <f t="shared" si="13"/>
        <v>-14</v>
      </c>
      <c r="E21" s="53">
        <f t="shared" si="6"/>
        <v>33563.790829302488</v>
      </c>
      <c r="F21" s="53">
        <f t="shared" si="7"/>
        <v>698.04499913461279</v>
      </c>
      <c r="G21" s="98">
        <v>6</v>
      </c>
      <c r="H21" s="48">
        <f t="shared" si="0"/>
        <v>524.43423170785138</v>
      </c>
      <c r="J21" s="87" t="s">
        <v>78</v>
      </c>
      <c r="K21" s="53">
        <f t="shared" si="1"/>
        <v>524.43423170785138</v>
      </c>
      <c r="L21" s="53">
        <f t="shared" si="2"/>
        <v>1200.0000000000002</v>
      </c>
      <c r="M21" s="53">
        <f t="shared" si="8"/>
        <v>101.95500086538762</v>
      </c>
      <c r="N21" s="48">
        <f t="shared" si="9"/>
        <v>1799.9999999999998</v>
      </c>
      <c r="P21" s="108" t="str">
        <f t="shared" si="10"/>
        <v>c oct.</v>
      </c>
      <c r="Q21" s="53">
        <f t="shared" si="11"/>
        <v>524.43423170785161</v>
      </c>
      <c r="R21" s="53">
        <f t="shared" si="12"/>
        <v>-7.6882236091558047E-13</v>
      </c>
      <c r="S21" s="151" t="str">
        <f t="shared" si="3"/>
        <v>c oct.</v>
      </c>
      <c r="T21" s="53">
        <f t="shared" si="4"/>
        <v>524.43423170785138</v>
      </c>
      <c r="U21" s="48">
        <f t="shared" si="5"/>
        <v>-7.6882236091558047E-13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Neidhardt 3 Interval in cents</v>
      </c>
      <c r="F26" s="84" t="s">
        <v>18</v>
      </c>
      <c r="G26" s="52" t="str">
        <f>_xlfn.CONCAT("diff ",$F$2)</f>
        <v>diff 1/12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398.04499913461291</v>
      </c>
      <c r="F27" s="4">
        <f t="shared" ref="F27" si="15">VLOOKUP(B27,Master_Frequencies,2,FALSE)*5/4</f>
        <v>327.77139481740704</v>
      </c>
      <c r="G27" s="47">
        <f t="shared" ref="G27" si="16">IF($D$2="Cents",LOG(VLOOKUP(C27,Master_Frequencies,2,FALSE)/F27,2)*1200*$F$3,LOG(D27*VLOOKUP(C27,Master_Frequencies,2,FALSE)/F27,$F$3))</f>
        <v>-6.0006547707862614</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1.2584990835755916</v>
      </c>
      <c r="Q27" s="99">
        <v>1</v>
      </c>
      <c r="R27" s="18">
        <f>$E$9*Q27</f>
        <v>262.21711585392563</v>
      </c>
      <c r="S27" s="97">
        <v>0</v>
      </c>
      <c r="T27" s="4">
        <f>R27/POWER(2,S27)</f>
        <v>262.21711585392563</v>
      </c>
      <c r="U27" s="18" t="str" cm="1">
        <f t="array" ref="U27">_xlfn.XLOOKUP(0,ABS($C$44:$C$56-T27),$B$44:$B$56,,1)</f>
        <v>C</v>
      </c>
      <c r="V27" s="47">
        <f t="shared" ref="V27" si="19">LOG(T27/VLOOKUP(U27,Master_Frequencies,2,FALSE),2)*1200</f>
        <v>0</v>
      </c>
      <c r="X27" s="85" t="s">
        <v>2</v>
      </c>
      <c r="Y27" s="4">
        <f t="shared" ref="Y27" si="20">VLOOKUP(X27,Master_Frequencies,2,FALSE)/POWER(2,$Z$25)</f>
        <v>131.10855792696282</v>
      </c>
      <c r="Z27" s="47">
        <f t="shared" ref="Z27" si="21">VLOOKUP(X27,Master_Frequencies,2,FALSE)*POWER(2,$Z$25)</f>
        <v>524.43423170785127</v>
      </c>
    </row>
    <row r="28" spans="2:26" x14ac:dyDescent="0.2">
      <c r="B28" s="123" t="s">
        <v>74</v>
      </c>
      <c r="C28" s="145" t="s">
        <v>5</v>
      </c>
      <c r="D28" s="97">
        <v>1</v>
      </c>
      <c r="E28" s="4">
        <f t="shared" ref="E28" si="22">LOG(D28*VLOOKUP(C28,Master_Frequencies,2,FALSE)/VLOOKUP(B28,Master_Frequencies,2,FALSE),2)*1200</f>
        <v>403.91000173077492</v>
      </c>
      <c r="F28" s="4">
        <f t="shared" ref="F28" si="23">VLOOKUP(B28,Master_Frequencies,2,FALSE)*5/4</f>
        <v>346.86977129215734</v>
      </c>
      <c r="G28" s="47">
        <f t="shared" ref="G28" si="24">IF($D$2="Cents",LOG(VLOOKUP(C28,Master_Frequencies,2,FALSE)/F28,2)*1200*$F$3,LOG(D28*VLOOKUP(C28,Master_Frequencies,2,FALSE)/F28,$F$3))</f>
        <v>-9.0006547707862588</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1.2627698043480446</v>
      </c>
      <c r="Q28" s="99">
        <v>2</v>
      </c>
      <c r="R28" s="18">
        <f t="shared" ref="R28:R39" si="27">$E$9*Q28</f>
        <v>524.43423170785127</v>
      </c>
      <c r="S28" s="97">
        <v>0</v>
      </c>
      <c r="T28" s="4">
        <f t="shared" ref="T28:T39" si="28">R28/POWER(2,S28)</f>
        <v>524.43423170785127</v>
      </c>
      <c r="U28" s="18" t="str" cm="1">
        <f t="array" ref="U28">_xlfn.XLOOKUP(0,ABS($C$44:$C$56-T28),$B$44:$B$56,,1)</f>
        <v>c oct.</v>
      </c>
      <c r="V28" s="47">
        <f t="shared" ref="V28" si="29">LOG(T28/VLOOKUP(U28,Master_Frequencies,2,FALSE),2)*1200</f>
        <v>-3.8441118045779024E-13</v>
      </c>
      <c r="X28" s="85" t="s">
        <v>74</v>
      </c>
      <c r="Y28" s="4">
        <f t="shared" ref="Y28" si="30">VLOOKUP(X28,Master_Frequencies,2,FALSE)/POWER(2,$Z$25)</f>
        <v>138.74790851686294</v>
      </c>
      <c r="Z28" s="47">
        <f t="shared" ref="Z28" si="31">VLOOKUP(X28,Master_Frequencies,2,FALSE)*POWER(2,$Z$25)</f>
        <v>554.99163406745174</v>
      </c>
    </row>
    <row r="29" spans="2:26" x14ac:dyDescent="0.2">
      <c r="B29" s="123" t="s">
        <v>3</v>
      </c>
      <c r="C29" s="145" t="s">
        <v>70</v>
      </c>
      <c r="D29" s="97">
        <v>1</v>
      </c>
      <c r="E29" s="4">
        <f t="shared" ref="E29" si="32">LOG(D29*VLOOKUP(C29,Master_Frequencies,2,FALSE)/VLOOKUP(B29,Master_Frequencies,2,FALSE),2)*1200</f>
        <v>401.95500086538777</v>
      </c>
      <c r="F29" s="4">
        <f t="shared" ref="F29" si="33">VLOOKUP(B29,Master_Frequencies,2,FALSE)*5/4</f>
        <v>367.08095989675951</v>
      </c>
      <c r="G29" s="47">
        <f t="shared" ref="G29" si="34">IF($D$2="Cents",LOG(VLOOKUP(C29,Master_Frequencies,2,FALSE)/F29,2)*1200*$F$3,LOG(D29*VLOOKUP(C29,Master_Frequencies,2,FALSE)/F29,$F$3))</f>
        <v>-8.0006547707863707</v>
      </c>
      <c r="I29" s="123" t="s">
        <v>3</v>
      </c>
      <c r="J29" s="145" t="s">
        <v>7</v>
      </c>
      <c r="K29" s="97">
        <v>1</v>
      </c>
      <c r="L29" s="191">
        <f t="shared" ref="L29" si="35">K29*VLOOKUP(J29,Master_Frequencies,2,FALSE)/VLOOKUP(I29,Master_Frequencies,2,FALSE)</f>
        <v>1.4983070768766815</v>
      </c>
      <c r="M29" s="145" t="s">
        <v>3</v>
      </c>
      <c r="N29" s="145" t="s">
        <v>70</v>
      </c>
      <c r="O29" s="191">
        <f t="shared" ref="O29" si="36">D29*VLOOKUP(N29,Master_Frequencies,2,FALSE)/VLOOKUP(M29,Master_Frequencies,2,FALSE)</f>
        <v>1.261344622880572</v>
      </c>
      <c r="Q29" s="99">
        <v>3</v>
      </c>
      <c r="R29" s="18">
        <f t="shared" si="27"/>
        <v>786.6513475617769</v>
      </c>
      <c r="S29" s="97">
        <v>1</v>
      </c>
      <c r="T29" s="4">
        <f t="shared" si="28"/>
        <v>393.32567378088845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146.83238395870382</v>
      </c>
      <c r="Z29" s="47">
        <f t="shared" ref="Z29" si="39">VLOOKUP(X29,Master_Frequencies,2,FALSE)*POWER(2,$Z$25)</f>
        <v>587.32953583481526</v>
      </c>
    </row>
    <row r="30" spans="2:26" x14ac:dyDescent="0.2">
      <c r="B30" s="123" t="s">
        <v>76</v>
      </c>
      <c r="C30" s="145" t="s">
        <v>6</v>
      </c>
      <c r="D30" s="97">
        <v>1</v>
      </c>
      <c r="E30" s="4">
        <f t="shared" ref="E30" si="40">LOG(D30*VLOOKUP(C30,Master_Frequencies,2,FALSE)/VLOOKUP(B30,Master_Frequencies,2,FALSE),2)*1200</f>
        <v>398.04499913461234</v>
      </c>
      <c r="F30" s="4">
        <f t="shared" ref="F30" si="41">VLOOKUP(B30,Master_Frequencies,2,FALSE)*5/4</f>
        <v>389.78807481122652</v>
      </c>
      <c r="G30" s="47">
        <f t="shared" ref="G30" si="42">IF($D$2="Cents",LOG(VLOOKUP(C30,Master_Frequencies,2,FALSE)/F30,2)*1200*$F$3,LOG(D30*VLOOKUP(C30,Master_Frequencies,2,FALSE)/F30,$F$3))</f>
        <v>-6.000654770786066</v>
      </c>
      <c r="I30" s="123" t="s">
        <v>76</v>
      </c>
      <c r="J30" s="145" t="s">
        <v>73</v>
      </c>
      <c r="K30" s="97">
        <v>1</v>
      </c>
      <c r="L30" s="191">
        <f t="shared" ref="L30" si="43">K30*VLOOKUP(J30,Master_Frequencies,2,FALSE)/VLOOKUP(I30,Master_Frequencies,2,FALSE)</f>
        <v>1.4983070768766813</v>
      </c>
      <c r="M30" s="145" t="s">
        <v>76</v>
      </c>
      <c r="N30" s="145" t="s">
        <v>6</v>
      </c>
      <c r="O30" s="191">
        <f t="shared" ref="O30" si="44">D30*VLOOKUP(N30,Master_Frequencies,2,FALSE)/VLOOKUP(M30,Master_Frequencies,2,FALSE)</f>
        <v>1.2584990835755911</v>
      </c>
      <c r="Q30" s="99">
        <v>4</v>
      </c>
      <c r="R30" s="18">
        <f t="shared" si="27"/>
        <v>1048.8684634157025</v>
      </c>
      <c r="S30" s="97">
        <v>1</v>
      </c>
      <c r="T30" s="4">
        <f t="shared" si="28"/>
        <v>524.43423170785127</v>
      </c>
      <c r="U30" s="18" t="str" cm="1">
        <f t="array" ref="U30">_xlfn.XLOOKUP(0,ABS($C$44:$C$56-T30),$B$44:$B$56,,1)</f>
        <v>c oct.</v>
      </c>
      <c r="V30" s="47">
        <f t="shared" ref="V30" si="45">LOG(T30/VLOOKUP(U30,Master_Frequencies,2,FALSE),2)*1200</f>
        <v>-3.8441118045779024E-13</v>
      </c>
      <c r="X30" s="85" t="s">
        <v>76</v>
      </c>
      <c r="Y30" s="4">
        <f t="shared" ref="Y30" si="46">VLOOKUP(X30,Master_Frequencies,2,FALSE)/POWER(2,$Z$25)</f>
        <v>155.9152299244906</v>
      </c>
      <c r="Z30" s="47">
        <f t="shared" ref="Z30" si="47">VLOOKUP(X30,Master_Frequencies,2,FALSE)*POWER(2,$Z$25)</f>
        <v>623.66091969796241</v>
      </c>
    </row>
    <row r="31" spans="2:26" x14ac:dyDescent="0.2">
      <c r="B31" s="123" t="s">
        <v>4</v>
      </c>
      <c r="C31" s="145" t="s">
        <v>72</v>
      </c>
      <c r="D31" s="97">
        <v>1</v>
      </c>
      <c r="E31" s="4">
        <f t="shared" ref="E31" si="48">LOG(D31*VLOOKUP(C31,Master_Frequencies,2,FALSE)/VLOOKUP(B31,Master_Frequencies,2,FALSE),2)*1200</f>
        <v>401.95500086538743</v>
      </c>
      <c r="F31" s="4">
        <f t="shared" ref="F31" si="49">VLOOKUP(B31,Master_Frequencies,2,FALSE)*5/4</f>
        <v>412.50000000000011</v>
      </c>
      <c r="G31" s="47">
        <f t="shared" ref="G31" si="50">IF($D$2="Cents",LOG(VLOOKUP(C31,Master_Frequencies,2,FALSE)/F31,2)*1200*$F$3,LOG(D31*VLOOKUP(C31,Master_Frequencies,2,FALSE)/F31,$F$3))</f>
        <v>-8.0006547707861753</v>
      </c>
      <c r="I31" s="123" t="s">
        <v>4</v>
      </c>
      <c r="J31" s="145" t="s">
        <v>8</v>
      </c>
      <c r="K31" s="97">
        <v>1</v>
      </c>
      <c r="L31" s="191">
        <f t="shared" ref="L31" si="51">K31*VLOOKUP(J31,Master_Frequencies,2,FALSE)/VLOOKUP(I31,Master_Frequencies,2,FALSE)</f>
        <v>1.4983070768766815</v>
      </c>
      <c r="M31" s="145" t="s">
        <v>4</v>
      </c>
      <c r="N31" s="145" t="s">
        <v>72</v>
      </c>
      <c r="O31" s="191">
        <f t="shared" ref="O31" si="52">D31*VLOOKUP(N31,Master_Frequencies,2,FALSE)/VLOOKUP(M31,Master_Frequencies,2,FALSE)</f>
        <v>1.2613446228805718</v>
      </c>
      <c r="Q31" s="99">
        <v>5</v>
      </c>
      <c r="R31" s="18">
        <f t="shared" si="27"/>
        <v>1311.0855792696282</v>
      </c>
      <c r="S31" s="97">
        <v>2</v>
      </c>
      <c r="T31" s="4">
        <f t="shared" si="28"/>
        <v>327.77139481740704</v>
      </c>
      <c r="U31" s="18" t="str" cm="1">
        <f t="array" ref="U31">_xlfn.XLOOKUP(0,ABS($C$44:$C$56-T31),$B$44:$B$56,,1)</f>
        <v>E</v>
      </c>
      <c r="V31" s="47">
        <f t="shared" ref="V31" si="53">LOG(T31/VLOOKUP(U31,Master_Frequencies,2,FALSE),2)*1200</f>
        <v>-11.731285269778006</v>
      </c>
      <c r="X31" s="85" t="s">
        <v>4</v>
      </c>
      <c r="Y31" s="4">
        <f t="shared" ref="Y31" si="54">VLOOKUP(X31,Master_Frequencies,2,FALSE)/POWER(2,$Z$25)</f>
        <v>165.00000000000006</v>
      </c>
      <c r="Z31" s="47">
        <f t="shared" ref="Z31" si="55">VLOOKUP(X31,Master_Frequencies,2,FALSE)*POWER(2,$Z$25)</f>
        <v>660.00000000000023</v>
      </c>
    </row>
    <row r="32" spans="2:26" x14ac:dyDescent="0.2">
      <c r="B32" s="123" t="s">
        <v>5</v>
      </c>
      <c r="C32" s="145" t="s">
        <v>7</v>
      </c>
      <c r="D32" s="97">
        <v>1</v>
      </c>
      <c r="E32" s="4">
        <f t="shared" ref="E32" si="56">LOG(D32*VLOOKUP(C32,Master_Frequencies,2,FALSE)/VLOOKUP(B32,Master_Frequencies,2,FALSE),2)*1200</f>
        <v>394.13499740383776</v>
      </c>
      <c r="F32" s="4">
        <f t="shared" ref="F32" si="57">VLOOKUP(B32,Master_Frequencies,2,FALSE)*5/4</f>
        <v>438.0166732288485</v>
      </c>
      <c r="G32" s="47">
        <f t="shared" ref="G32" si="58">IF($D$2="Cents",LOG(VLOOKUP(C32,Master_Frequencies,2,FALSE)/F32,2)*1200*$F$3,LOG(D32*VLOOKUP(C32,Master_Frequencies,2,FALSE)/F32,$F$3))</f>
        <v>-4.0006547707860589</v>
      </c>
      <c r="I32" s="123" t="s">
        <v>5</v>
      </c>
      <c r="J32" s="145" t="s">
        <v>78</v>
      </c>
      <c r="K32" s="97">
        <v>1</v>
      </c>
      <c r="L32" s="191">
        <f t="shared" ref="L32" si="59">K32*VLOOKUP(J32,Master_Frequencies,2,FALSE)/VLOOKUP(I32,Master_Frequencies,2,FALSE)</f>
        <v>1.4966160644124975</v>
      </c>
      <c r="M32" s="145" t="s">
        <v>5</v>
      </c>
      <c r="N32" s="145" t="s">
        <v>7</v>
      </c>
      <c r="O32" s="191">
        <f t="shared" ref="O32" si="60">D32*VLOOKUP(N32,Master_Frequencies,2,FALSE)/VLOOKUP(M32,Master_Frequencies,2,FALSE)</f>
        <v>1.2556599636850907</v>
      </c>
      <c r="Q32" s="99">
        <v>6</v>
      </c>
      <c r="R32" s="18">
        <f t="shared" si="27"/>
        <v>1573.3026951235538</v>
      </c>
      <c r="S32" s="97">
        <v>2</v>
      </c>
      <c r="T32" s="4">
        <f t="shared" si="28"/>
        <v>393.32567378088845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175.20666929153941</v>
      </c>
      <c r="Z32" s="47">
        <f t="shared" ref="Z32" si="63">VLOOKUP(X32,Master_Frequencies,2,FALSE)*POWER(2,$Z$25)</f>
        <v>700.82667716615765</v>
      </c>
    </row>
    <row r="33" spans="2:26" x14ac:dyDescent="0.2">
      <c r="B33" s="123" t="s">
        <v>70</v>
      </c>
      <c r="C33" s="145" t="s">
        <v>73</v>
      </c>
      <c r="D33" s="97">
        <v>1</v>
      </c>
      <c r="E33" s="4">
        <f t="shared" ref="E33" si="64">LOG(D33*VLOOKUP(C33,Master_Frequencies,2,FALSE)/VLOOKUP(B33,Master_Frequencies,2,FALSE),2)*1200</f>
        <v>401.95500086538709</v>
      </c>
      <c r="F33" s="4">
        <f t="shared" ref="F33" si="65">VLOOKUP(B33,Master_Frequencies,2,FALSE)*5/4</f>
        <v>463.01559492761658</v>
      </c>
      <c r="G33" s="47">
        <f t="shared" ref="G33" si="66">IF($D$2="Cents",LOG(VLOOKUP(C33,Master_Frequencies,2,FALSE)/F33,2)*1200*$F$3,LOG(D33*VLOOKUP(C33,Master_Frequencies,2,FALSE)/F33,$F$3))</f>
        <v>-8.0006547707859799</v>
      </c>
      <c r="I33" s="123" t="s">
        <v>70</v>
      </c>
      <c r="J33" s="145" t="s">
        <v>74</v>
      </c>
      <c r="K33" s="97">
        <v>2</v>
      </c>
      <c r="L33" s="191">
        <f t="shared" ref="L33" si="67">K33*VLOOKUP(J33,Master_Frequencies,2,FALSE)/VLOOKUP(I33,Master_Frequencies,2,FALSE)</f>
        <v>1.4983070768766813</v>
      </c>
      <c r="M33" s="145" t="s">
        <v>70</v>
      </c>
      <c r="N33" s="145" t="s">
        <v>73</v>
      </c>
      <c r="O33" s="191">
        <f t="shared" ref="O33" si="68">D33*VLOOKUP(N33,Master_Frequencies,2,FALSE)/VLOOKUP(M33,Master_Frequencies,2,FALSE)</f>
        <v>1.2613446228805716</v>
      </c>
      <c r="Q33" s="99">
        <v>7</v>
      </c>
      <c r="R33" s="18">
        <f t="shared" si="27"/>
        <v>1835.5198109774794</v>
      </c>
      <c r="S33" s="97">
        <v>2</v>
      </c>
      <c r="T33" s="4">
        <f t="shared" si="28"/>
        <v>458.87995274436986</v>
      </c>
      <c r="U33" s="18" t="str" cm="1">
        <f t="array" ref="U33">_xlfn.XLOOKUP(0,ABS($C$44:$C$56-T33),$B$44:$B$56,,1)</f>
        <v>A#</v>
      </c>
      <c r="V33" s="47">
        <f t="shared" ref="V33" si="69">LOG(T33/VLOOKUP(U33,Master_Frequencies,2,FALSE),2)*1200</f>
        <v>-31.174093530875215</v>
      </c>
      <c r="X33" s="85" t="s">
        <v>70</v>
      </c>
      <c r="Y33" s="4">
        <f t="shared" ref="Y33" si="70">VLOOKUP(X33,Master_Frequencies,2,FALSE)/POWER(2,$Z$25)</f>
        <v>185.20623797104662</v>
      </c>
      <c r="Z33" s="47">
        <f t="shared" ref="Z33" si="71">VLOOKUP(X33,Master_Frequencies,2,FALSE)*POWER(2,$Z$25)</f>
        <v>740.82495188418648</v>
      </c>
    </row>
    <row r="34" spans="2:26" x14ac:dyDescent="0.2">
      <c r="B34" s="123" t="s">
        <v>6</v>
      </c>
      <c r="C34" s="145" t="s">
        <v>8</v>
      </c>
      <c r="D34" s="97">
        <v>1</v>
      </c>
      <c r="E34" s="4">
        <f t="shared" ref="E34" si="72">LOG(D34*VLOOKUP(C34,Master_Frequencies,2,FALSE)/VLOOKUP(B34,Master_Frequencies,2,FALSE),2)*1200</f>
        <v>400.0000000000004</v>
      </c>
      <c r="F34" s="4">
        <f t="shared" ref="F34" si="73">VLOOKUP(B34,Master_Frequencies,2,FALSE)*5/4</f>
        <v>490.54793493862257</v>
      </c>
      <c r="G34" s="47">
        <f t="shared" ref="G34" si="74">IF($D$2="Cents",LOG(VLOOKUP(C34,Master_Frequencies,2,FALSE)/F34,2)*1200*$F$3,LOG(D34*VLOOKUP(C34,Master_Frequencies,2,FALSE)/F34,$F$3))</f>
        <v>-7.0006547707861069</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1.2599210498948734</v>
      </c>
      <c r="Q34" s="99">
        <v>8</v>
      </c>
      <c r="R34" s="18">
        <f t="shared" si="27"/>
        <v>2097.7369268314051</v>
      </c>
      <c r="S34" s="97">
        <v>3</v>
      </c>
      <c r="T34" s="4">
        <f t="shared" si="28"/>
        <v>262.21711585392563</v>
      </c>
      <c r="U34" s="18" t="str" cm="1">
        <f t="array" ref="U34">_xlfn.XLOOKUP(0,ABS($C$44:$C$56-T34),$B$44:$B$56,,1)</f>
        <v>C</v>
      </c>
      <c r="V34" s="47">
        <f t="shared" ref="V34" si="77">LOG(T34/VLOOKUP(U34,Master_Frequencies,2,FALSE),2)*1200</f>
        <v>0</v>
      </c>
      <c r="X34" s="85" t="s">
        <v>6</v>
      </c>
      <c r="Y34" s="4">
        <f t="shared" ref="Y34" si="78">VLOOKUP(X34,Master_Frequencies,2,FALSE)/POWER(2,$Z$25)</f>
        <v>196.21917397544902</v>
      </c>
      <c r="Z34" s="47">
        <f t="shared" ref="Z34" si="79">VLOOKUP(X34,Master_Frequencies,2,FALSE)*POWER(2,$Z$25)</f>
        <v>784.8766959017961</v>
      </c>
    </row>
    <row r="35" spans="2:26" x14ac:dyDescent="0.2">
      <c r="B35" s="123" t="s">
        <v>72</v>
      </c>
      <c r="C35" s="145" t="s">
        <v>78</v>
      </c>
      <c r="D35" s="97">
        <v>1</v>
      </c>
      <c r="E35" s="4">
        <f t="shared" ref="E35" si="80">LOG(D35*VLOOKUP(C35,Master_Frequencies,2,FALSE)/VLOOKUP(B35,Master_Frequencies,2,FALSE),2)*1200</f>
        <v>400.0000000000004</v>
      </c>
      <c r="F35" s="4">
        <f t="shared" ref="F35" si="81">VLOOKUP(B35,Master_Frequencies,2,FALSE)*5/4</f>
        <v>520.30465693823601</v>
      </c>
      <c r="G35" s="47">
        <f t="shared" ref="G35" si="82">IF($D$2="Cents",LOG(VLOOKUP(C35,Master_Frequencies,2,FALSE)/F35,2)*1200*$F$3,LOG(D35*VLOOKUP(C35,Master_Frequencies,2,FALSE)/F35,$F$3))</f>
        <v>-7.0006547707863023</v>
      </c>
      <c r="I35" s="123" t="s">
        <v>72</v>
      </c>
      <c r="J35" s="145" t="s">
        <v>76</v>
      </c>
      <c r="K35" s="97">
        <v>2</v>
      </c>
      <c r="L35" s="191">
        <f t="shared" ref="L35" si="83">K35*VLOOKUP(J35,Master_Frequencies,2,FALSE)/VLOOKUP(I35,Master_Frequencies,2,FALSE)</f>
        <v>1.4983070768766815</v>
      </c>
      <c r="M35" s="145" t="s">
        <v>72</v>
      </c>
      <c r="N35" s="145" t="s">
        <v>78</v>
      </c>
      <c r="O35" s="191">
        <f t="shared" ref="O35" si="84">D35*VLOOKUP(N35,Master_Frequencies,2,FALSE)/VLOOKUP(M35,Master_Frequencies,2,FALSE)</f>
        <v>1.2599210498948734</v>
      </c>
      <c r="Q35" s="99">
        <v>9</v>
      </c>
      <c r="R35" s="18">
        <f t="shared" si="27"/>
        <v>2359.9540426853309</v>
      </c>
      <c r="S35" s="97">
        <v>3</v>
      </c>
      <c r="T35" s="4">
        <f t="shared" si="28"/>
        <v>294.99425533566637</v>
      </c>
      <c r="U35" s="18" t="str" cm="1">
        <f t="array" ref="U35">_xlfn.XLOOKUP(0,ABS($C$44:$C$56-T35),$B$44:$B$56,,1)</f>
        <v>D</v>
      </c>
      <c r="V35" s="47">
        <f t="shared" ref="V35" si="85">LOG(T35/VLOOKUP(U35,Master_Frequencies,2,FALSE),2)*1200</f>
        <v>7.8200034615499421</v>
      </c>
      <c r="X35" s="85" t="s">
        <v>72</v>
      </c>
      <c r="Y35" s="4">
        <f t="shared" ref="Y35" si="86">VLOOKUP(X35,Master_Frequencies,2,FALSE)/POWER(2,$Z$25)</f>
        <v>208.1218627752944</v>
      </c>
      <c r="Z35" s="47">
        <f t="shared" ref="Z35" si="87">VLOOKUP(X35,Master_Frequencies,2,FALSE)*POWER(2,$Z$25)</f>
        <v>832.48745110117761</v>
      </c>
    </row>
    <row r="36" spans="2:26" x14ac:dyDescent="0.2">
      <c r="B36" s="123" t="s">
        <v>7</v>
      </c>
      <c r="C36" s="145" t="s">
        <v>74</v>
      </c>
      <c r="D36" s="97">
        <v>2</v>
      </c>
      <c r="E36" s="4">
        <f t="shared" ref="E36" si="88">LOG(D36*VLOOKUP(C36,Master_Frequencies,2,FALSE)/VLOOKUP(B36,Master_Frequencies,2,FALSE),2)*1200</f>
        <v>401.95500086538743</v>
      </c>
      <c r="F36" s="4">
        <f t="shared" ref="F36" si="89">VLOOKUP(B36,Master_Frequencies,2,FALSE)*5/4</f>
        <v>550.00000000000011</v>
      </c>
      <c r="G36" s="47">
        <f t="shared" ref="G36" si="90">IF($D$2="Cents",LOG(VLOOKUP(C36,Master_Frequencies,2,FALSE)/F36,2)*1200*$F$3,LOG(D36*VLOOKUP(C36,Master_Frequencies,2,FALSE)/F36,$F$3))</f>
        <v>-8.0006547707861753</v>
      </c>
      <c r="I36" s="123" t="s">
        <v>7</v>
      </c>
      <c r="J36" s="145" t="s">
        <v>4</v>
      </c>
      <c r="K36" s="97">
        <v>2</v>
      </c>
      <c r="L36" s="191">
        <f t="shared" ref="L36" si="91">K36*VLOOKUP(J36,Master_Frequencies,2,FALSE)/VLOOKUP(I36,Master_Frequencies,2,FALSE)</f>
        <v>1.5000000000000002</v>
      </c>
      <c r="M36" s="145" t="s">
        <v>7</v>
      </c>
      <c r="N36" s="145" t="s">
        <v>74</v>
      </c>
      <c r="O36" s="191">
        <f t="shared" ref="O36" si="92">D36*VLOOKUP(N36,Master_Frequencies,2,FALSE)/VLOOKUP(M36,Master_Frequencies,2,FALSE)</f>
        <v>1.2613446228805718</v>
      </c>
      <c r="Q36" s="99">
        <v>10</v>
      </c>
      <c r="R36" s="18">
        <f t="shared" si="27"/>
        <v>2622.1711585392563</v>
      </c>
      <c r="S36" s="97">
        <v>3</v>
      </c>
      <c r="T36" s="4">
        <f t="shared" si="28"/>
        <v>327.77139481740704</v>
      </c>
      <c r="U36" s="18" t="str" cm="1">
        <f t="array" ref="U36">_xlfn.XLOOKUP(0,ABS($C$44:$C$56-T36),$B$44:$B$56,,1)</f>
        <v>E</v>
      </c>
      <c r="V36" s="47">
        <f t="shared" ref="V36" si="93">LOG(T36/VLOOKUP(U36,Master_Frequencies,2,FALSE),2)*1200</f>
        <v>-11.731285269778006</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396.08999826922508</v>
      </c>
      <c r="F37" s="4">
        <f t="shared" ref="F37" si="97">VLOOKUP(B37,Master_Frequencies,2,FALSE)*5/4</f>
        <v>584.02223097179797</v>
      </c>
      <c r="G37" s="47">
        <f t="shared" ref="G37" si="98">IF($D$2="Cents",LOG(VLOOKUP(C37,Master_Frequencies,2,FALSE)/F37,2)*1200*$F$3,LOG(D37*VLOOKUP(C37,Master_Frequencies,2,FALSE)/F37,$F$3))</f>
        <v>-5.0006547707861184</v>
      </c>
      <c r="I37" s="123" t="s">
        <v>73</v>
      </c>
      <c r="J37" s="145" t="s">
        <v>5</v>
      </c>
      <c r="K37" s="97">
        <v>2</v>
      </c>
      <c r="L37" s="191">
        <f t="shared" ref="L37" si="99">K37*VLOOKUP(J37,Master_Frequencies,2,FALSE)/VLOOKUP(I37,Master_Frequencies,2,FALSE)</f>
        <v>1.5000000000000002</v>
      </c>
      <c r="M37" s="145" t="s">
        <v>73</v>
      </c>
      <c r="N37" s="145" t="s">
        <v>3</v>
      </c>
      <c r="O37" s="191">
        <f t="shared" ref="O37" si="100">D37*VLOOKUP(N37,Master_Frequencies,2,FALSE)/VLOOKUP(M37,Master_Frequencies,2,FALSE)</f>
        <v>1.2570787221094177</v>
      </c>
      <c r="Q37" s="99">
        <v>11</v>
      </c>
      <c r="R37" s="18">
        <f t="shared" si="27"/>
        <v>2884.3882743931817</v>
      </c>
      <c r="S37" s="97">
        <v>3</v>
      </c>
      <c r="T37" s="4">
        <f t="shared" si="28"/>
        <v>360.54853429914772</v>
      </c>
      <c r="U37" s="18" t="str" cm="1">
        <f t="array" ref="U37">_xlfn.XLOOKUP(0,ABS($C$44:$C$56-T37),$B$44:$B$56,,1)</f>
        <v>F#</v>
      </c>
      <c r="V37" s="47">
        <f t="shared" ref="V37" si="101">LOG(T37/VLOOKUP(U37,Master_Frequencies,2,FALSE),2)*1200</f>
        <v>-46.727056769856439</v>
      </c>
      <c r="X37" s="85" t="s">
        <v>73</v>
      </c>
      <c r="Y37" s="4">
        <f t="shared" ref="Y37" si="102">VLOOKUP(X37,Master_Frequencies,2,FALSE)/POWER(2,$Z$25)</f>
        <v>233.6088923887192</v>
      </c>
      <c r="Z37" s="47">
        <f t="shared" ref="Z37" si="103">VLOOKUP(X37,Master_Frequencies,2,FALSE)*POWER(2,$Z$25)</f>
        <v>934.43556955487679</v>
      </c>
    </row>
    <row r="38" spans="2:26" x14ac:dyDescent="0.2">
      <c r="B38" s="124" t="s">
        <v>8</v>
      </c>
      <c r="C38" s="153" t="s">
        <v>76</v>
      </c>
      <c r="D38" s="98">
        <v>2</v>
      </c>
      <c r="E38" s="53">
        <f t="shared" ref="E38" si="104">LOG(D38*VLOOKUP(C38,Master_Frequencies,2,FALSE)/VLOOKUP(B38,Master_Frequencies,2,FALSE),2)*1200</f>
        <v>401.95500086538743</v>
      </c>
      <c r="F38" s="53">
        <f t="shared" ref="F38" si="105">VLOOKUP(B38,Master_Frequencies,2,FALSE)*5/4</f>
        <v>618.05166921163141</v>
      </c>
      <c r="G38" s="48">
        <f t="shared" ref="G38" si="106">IF($D$2="Cents",LOG(VLOOKUP(C38,Master_Frequencies,2,FALSE)/F38,2)*1200*$F$3,LOG(D38*VLOOKUP(C38,Master_Frequencies,2,FALSE)/F38,$F$3))</f>
        <v>-8.0006547707859799</v>
      </c>
      <c r="I38" s="124" t="s">
        <v>8</v>
      </c>
      <c r="J38" s="153" t="s">
        <v>70</v>
      </c>
      <c r="K38" s="98">
        <v>2</v>
      </c>
      <c r="L38" s="192">
        <f t="shared" ref="L38" si="107">K38*VLOOKUP(J38,Master_Frequencies,2,FALSE)/VLOOKUP(I38,Master_Frequencies,2,FALSE)</f>
        <v>1.4983070768766815</v>
      </c>
      <c r="M38" s="153" t="s">
        <v>8</v>
      </c>
      <c r="N38" s="153" t="s">
        <v>76</v>
      </c>
      <c r="O38" s="192">
        <f t="shared" ref="O38" si="108">D38*VLOOKUP(N38,Master_Frequencies,2,FALSE)/VLOOKUP(M38,Master_Frequencies,2,FALSE)</f>
        <v>1.2613446228805718</v>
      </c>
      <c r="Q38" s="99">
        <v>12</v>
      </c>
      <c r="R38" s="18">
        <f t="shared" si="27"/>
        <v>3146.6053902471076</v>
      </c>
      <c r="S38" s="97">
        <v>3</v>
      </c>
      <c r="T38" s="4">
        <f t="shared" si="28"/>
        <v>393.32567378088845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247.22066768465254</v>
      </c>
      <c r="Z38" s="47">
        <f t="shared" ref="Z38" si="111">VLOOKUP(X38,Master_Frequencies,2,FALSE)*POWER(2,$Z$25)</f>
        <v>988.88267073861016</v>
      </c>
    </row>
    <row r="39" spans="2:26" x14ac:dyDescent="0.2">
      <c r="Q39" s="100">
        <v>13</v>
      </c>
      <c r="R39" s="50">
        <f t="shared" si="27"/>
        <v>3408.8225061010335</v>
      </c>
      <c r="S39" s="98">
        <v>3</v>
      </c>
      <c r="T39" s="53">
        <f t="shared" si="28"/>
        <v>426.10281326262918</v>
      </c>
      <c r="U39" s="50" t="str" cm="1">
        <f t="array" ref="U39">_xlfn.XLOOKUP(0,ABS($C$44:$C$56-T39),$B$44:$B$56,,1)</f>
        <v>G#</v>
      </c>
      <c r="V39" s="48">
        <f t="shared" ref="V39" si="112">LOG(T39/VLOOKUP(U39,Master_Frequencies,2,FALSE),2)*1200</f>
        <v>40.527661769310654</v>
      </c>
      <c r="X39" s="87" t="s">
        <v>78</v>
      </c>
      <c r="Y39" s="53">
        <f t="shared" ref="Y39" si="113">VLOOKUP(X39,Master_Frequencies,2,FALSE)/POWER(2,$Z$25)</f>
        <v>262.21711585392569</v>
      </c>
      <c r="Z39" s="48">
        <f t="shared" ref="Z39" si="114">VLOOKUP(X39,Master_Frequencies,2,FALSE)*POWER(2,$Z$25)</f>
        <v>1048.8684634157028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262.21711585392563</v>
      </c>
    </row>
    <row r="45" spans="2:26" x14ac:dyDescent="0.2">
      <c r="B45" s="92" t="s">
        <v>74</v>
      </c>
      <c r="C45" s="93">
        <f t="shared" ref="C45:C56" si="115">VLOOKUP(B45,$B$9:$H$21,7,FALSE)</f>
        <v>277.49581703372587</v>
      </c>
    </row>
    <row r="46" spans="2:26" x14ac:dyDescent="0.2">
      <c r="B46" s="92" t="s">
        <v>3</v>
      </c>
      <c r="C46" s="93">
        <f t="shared" si="115"/>
        <v>293.66476791740763</v>
      </c>
    </row>
    <row r="47" spans="2:26" x14ac:dyDescent="0.2">
      <c r="B47" s="92" t="s">
        <v>76</v>
      </c>
      <c r="C47" s="93">
        <f t="shared" si="115"/>
        <v>311.83045984898121</v>
      </c>
    </row>
    <row r="48" spans="2:26" x14ac:dyDescent="0.2">
      <c r="B48" s="92" t="s">
        <v>4</v>
      </c>
      <c r="C48" s="93">
        <f t="shared" si="115"/>
        <v>330.00000000000011</v>
      </c>
    </row>
    <row r="49" spans="2:3" x14ac:dyDescent="0.2">
      <c r="B49" s="92" t="s">
        <v>5</v>
      </c>
      <c r="C49" s="93">
        <f t="shared" si="115"/>
        <v>350.41333858307883</v>
      </c>
    </row>
    <row r="50" spans="2:3" x14ac:dyDescent="0.2">
      <c r="B50" s="92" t="s">
        <v>70</v>
      </c>
      <c r="C50" s="93">
        <f t="shared" si="115"/>
        <v>370.41247594209324</v>
      </c>
    </row>
    <row r="51" spans="2:3" x14ac:dyDescent="0.2">
      <c r="B51" s="92" t="s">
        <v>6</v>
      </c>
      <c r="C51" s="93">
        <f t="shared" si="115"/>
        <v>392.43834795089805</v>
      </c>
    </row>
    <row r="52" spans="2:3" x14ac:dyDescent="0.2">
      <c r="B52" s="92" t="s">
        <v>72</v>
      </c>
      <c r="C52" s="93">
        <f t="shared" si="115"/>
        <v>416.24372555058881</v>
      </c>
    </row>
    <row r="53" spans="2:3" x14ac:dyDescent="0.2">
      <c r="B53" s="92" t="s">
        <v>7</v>
      </c>
      <c r="C53" s="93">
        <f t="shared" si="115"/>
        <v>440.00000000000011</v>
      </c>
    </row>
    <row r="54" spans="2:3" x14ac:dyDescent="0.2">
      <c r="B54" s="92" t="s">
        <v>73</v>
      </c>
      <c r="C54" s="93">
        <f t="shared" si="115"/>
        <v>467.2177847774384</v>
      </c>
    </row>
    <row r="55" spans="2:3" x14ac:dyDescent="0.2">
      <c r="B55" s="92" t="s">
        <v>8</v>
      </c>
      <c r="C55" s="93">
        <f t="shared" si="115"/>
        <v>494.44133536930508</v>
      </c>
    </row>
    <row r="56" spans="2:3" ht="16" thickBot="1" x14ac:dyDescent="0.25">
      <c r="B56" s="94" t="s">
        <v>78</v>
      </c>
      <c r="C56" s="95">
        <f t="shared" si="115"/>
        <v>524.43423170785138</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35" priority="3">
      <formula>_xlfn.ISFORMULA(A1)</formula>
    </cfRule>
  </conditionalFormatting>
  <conditionalFormatting sqref="A1:XFD1048576">
    <cfRule type="expression" dxfId="34"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C8706CE4-7FD8-F94C-9E41-F526DA8E562A}">
      <formula1>Units</formula1>
    </dataValidation>
  </dataValidations>
  <hyperlinks>
    <hyperlink ref="B40" location="Overview!A1" display="Back to Overview" xr:uid="{43F1BB56-8BF4-2E4F-B31D-65AC555BC34E}"/>
    <hyperlink ref="B4" location="Overview!A1" display="Back to Overview" xr:uid="{E1185A78-90BB-9742-AA8C-21837F99D80F}"/>
  </hyperlink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CFE4-FE73-2C47-809F-38A561F27992}">
  <sheetPr codeName="Sheet22">
    <tabColor theme="8" tint="0.59999389629810485"/>
  </sheetPr>
  <dimension ref="A1:Z58"/>
  <sheetViews>
    <sheetView zoomScaleNormal="100" workbookViewId="0"/>
  </sheetViews>
  <sheetFormatPr baseColWidth="10" defaultColWidth="12" defaultRowHeight="15" x14ac:dyDescent="0.2"/>
  <cols>
    <col min="1" max="1" width="2.83203125" style="4" customWidth="1"/>
    <col min="2" max="16384" width="12" style="4"/>
  </cols>
  <sheetData>
    <row r="1" spans="1:23" ht="18" x14ac:dyDescent="0.2">
      <c r="A1" s="184"/>
      <c r="B1" s="289" t="s">
        <v>145</v>
      </c>
      <c r="C1" s="289"/>
      <c r="D1" s="289"/>
      <c r="E1" s="289"/>
      <c r="F1" s="289"/>
    </row>
    <row r="2" spans="1:23" x14ac:dyDescent="0.2">
      <c r="E2" s="18"/>
      <c r="F2" s="18"/>
      <c r="G2" s="73"/>
      <c r="H2" s="74" t="s">
        <v>143</v>
      </c>
      <c r="I2" s="156">
        <v>440</v>
      </c>
      <c r="J2" s="74" t="str">
        <f>_xlfn.CONCAT("C for A=", I2,":")</f>
        <v>C for A=440:</v>
      </c>
      <c r="K2" s="4">
        <f>I2*2*8/27</f>
        <v>260.74074074074076</v>
      </c>
      <c r="L2" s="74"/>
      <c r="U2" s="74"/>
      <c r="V2" s="74"/>
      <c r="W2" s="74"/>
    </row>
    <row r="3" spans="1:23" ht="16" x14ac:dyDescent="0.2">
      <c r="B3" s="105"/>
      <c r="C3" s="74"/>
      <c r="F3" s="78"/>
      <c r="U3" s="74"/>
      <c r="V3" s="74"/>
      <c r="W3" s="74"/>
    </row>
    <row r="4" spans="1:23" ht="16" x14ac:dyDescent="0.2">
      <c r="B4" s="105"/>
      <c r="C4" s="317"/>
      <c r="D4" s="317"/>
      <c r="U4" s="74"/>
      <c r="V4" s="74"/>
      <c r="W4" s="74"/>
    </row>
    <row r="5" spans="1:23" ht="16" x14ac:dyDescent="0.2">
      <c r="B5" s="105" t="s">
        <v>63</v>
      </c>
    </row>
    <row r="6" spans="1:23" x14ac:dyDescent="0.2">
      <c r="B6" s="106"/>
      <c r="D6" s="74"/>
      <c r="F6" s="78"/>
    </row>
    <row r="8" spans="1:23" ht="18" x14ac:dyDescent="0.2">
      <c r="B8" s="310" t="s">
        <v>144</v>
      </c>
      <c r="C8" s="311"/>
      <c r="D8" s="311"/>
      <c r="E8" s="311"/>
      <c r="F8" s="312"/>
      <c r="G8" s="69"/>
      <c r="H8" s="69"/>
      <c r="J8" s="310" t="s">
        <v>142</v>
      </c>
      <c r="K8" s="311"/>
      <c r="L8" s="311"/>
      <c r="M8" s="311"/>
      <c r="N8" s="312"/>
      <c r="P8" s="310" t="s">
        <v>129</v>
      </c>
      <c r="Q8" s="311"/>
      <c r="R8" s="311"/>
      <c r="S8" s="311"/>
      <c r="T8" s="311"/>
      <c r="U8" s="312"/>
    </row>
    <row r="9" spans="1:23" s="84" customFormat="1" ht="48" x14ac:dyDescent="0.2">
      <c r="B9" s="83" t="s">
        <v>0</v>
      </c>
      <c r="C9" s="84" t="s">
        <v>44</v>
      </c>
      <c r="D9" s="84" t="s">
        <v>12</v>
      </c>
      <c r="E9" s="84" t="s">
        <v>22</v>
      </c>
      <c r="F9" s="52" t="s">
        <v>17</v>
      </c>
      <c r="J9" s="83" t="s">
        <v>14</v>
      </c>
      <c r="K9" s="84" t="s">
        <v>15</v>
      </c>
      <c r="L9" s="84" t="s">
        <v>29</v>
      </c>
      <c r="M9" s="84" t="s">
        <v>36</v>
      </c>
      <c r="N9" s="52" t="s">
        <v>50</v>
      </c>
      <c r="P9" s="83" t="s">
        <v>89</v>
      </c>
      <c r="Q9" s="84" t="s">
        <v>136</v>
      </c>
      <c r="R9" s="84" t="s">
        <v>90</v>
      </c>
      <c r="S9" s="84" t="s">
        <v>88</v>
      </c>
      <c r="T9" s="84" t="s">
        <v>32</v>
      </c>
      <c r="U9" s="52" t="s">
        <v>91</v>
      </c>
    </row>
    <row r="10" spans="1:23" x14ac:dyDescent="0.2">
      <c r="B10" s="123" t="s">
        <v>2</v>
      </c>
      <c r="C10" s="75">
        <f>K2</f>
        <v>260.74074074074076</v>
      </c>
      <c r="D10" s="97">
        <v>0</v>
      </c>
      <c r="E10" s="4">
        <f>C10/POWER(2,D10)</f>
        <v>260.74074074074076</v>
      </c>
      <c r="F10" s="47"/>
      <c r="J10" s="85" t="s">
        <v>2</v>
      </c>
      <c r="K10" s="4">
        <f>VLOOKUP(J10,$B$10:$E$22,4,FALSE)</f>
        <v>260.74074074074076</v>
      </c>
      <c r="L10" s="4">
        <f t="shared" ref="L10:L22" si="0">LOG(K10/K$10,2)*1200</f>
        <v>0</v>
      </c>
      <c r="N10" s="47">
        <v>300</v>
      </c>
      <c r="P10" s="107" t="str">
        <f>J10</f>
        <v>C</v>
      </c>
      <c r="Q10" s="4">
        <f>E10</f>
        <v>260.74074074074076</v>
      </c>
      <c r="R10" s="4">
        <f>LOG(K10/Q10,2)*1200</f>
        <v>0</v>
      </c>
      <c r="S10" s="81" t="str">
        <f t="shared" ref="S10:S22" si="1">B10</f>
        <v>C</v>
      </c>
      <c r="T10" s="4">
        <f t="shared" ref="T10:T22" si="2">VLOOKUP(S10,Master_Frequencies,2,FALSE)</f>
        <v>260.74074074074076</v>
      </c>
      <c r="U10" s="47">
        <f t="shared" ref="U10:U22" si="3">VLOOKUP(S10,$P$10:$R$22,3,FALSE)</f>
        <v>0</v>
      </c>
    </row>
    <row r="11" spans="1:23" x14ac:dyDescent="0.2">
      <c r="B11" s="123" t="s">
        <v>6</v>
      </c>
      <c r="C11" s="4">
        <f>C10*3/2</f>
        <v>391.11111111111114</v>
      </c>
      <c r="D11" s="97">
        <v>0</v>
      </c>
      <c r="E11" s="4">
        <f t="shared" ref="E11:E22" si="4">C11/POWER(2,D11)</f>
        <v>391.11111111111114</v>
      </c>
      <c r="F11" s="47">
        <f>LOG(C11/C10,2)*1200</f>
        <v>701.95500086538743</v>
      </c>
      <c r="J11" s="85" t="s">
        <v>74</v>
      </c>
      <c r="K11" s="4">
        <f t="shared" ref="K11:K22" si="5">VLOOKUP(J11,$B$10:$E$22,4,FALSE)</f>
        <v>278.43750000000011</v>
      </c>
      <c r="L11" s="4">
        <f t="shared" si="0"/>
        <v>113.68500605771266</v>
      </c>
      <c r="M11" s="4">
        <f t="shared" ref="M11:M22" si="6">LOG(K11/K10,2)*1200</f>
        <v>113.68500605771266</v>
      </c>
      <c r="N11" s="47">
        <f t="shared" ref="N11:N22" si="7">N$10*K$10/K11</f>
        <v>280.93278463648829</v>
      </c>
      <c r="P11" s="107" t="str">
        <f t="shared" ref="P11:P22" si="8">J11</f>
        <v>C#</v>
      </c>
      <c r="Q11" s="4">
        <f t="shared" ref="Q11:Q22" si="9">Q10*POWER($Q$10*2/$Q$10,1/12)</f>
        <v>276.24519201071996</v>
      </c>
      <c r="R11" s="4">
        <f t="shared" ref="R11:R22" si="10">LOG(K11/Q11,2)*1200</f>
        <v>13.685006057712604</v>
      </c>
      <c r="S11" s="81" t="str">
        <f t="shared" si="1"/>
        <v>G</v>
      </c>
      <c r="T11" s="4">
        <f t="shared" si="2"/>
        <v>391.11111111111114</v>
      </c>
      <c r="U11" s="47">
        <f t="shared" si="3"/>
        <v>1.9550008653868458</v>
      </c>
    </row>
    <row r="12" spans="1:23" x14ac:dyDescent="0.2">
      <c r="B12" s="123" t="s">
        <v>3</v>
      </c>
      <c r="C12" s="4">
        <f t="shared" ref="C12:C22" si="11">C11*3/2</f>
        <v>586.66666666666674</v>
      </c>
      <c r="D12" s="97">
        <v>1</v>
      </c>
      <c r="E12" s="4">
        <f t="shared" si="4"/>
        <v>293.33333333333337</v>
      </c>
      <c r="F12" s="47">
        <f t="shared" ref="F12:F22" si="12">LOG(C12/C11,2)*1200</f>
        <v>701.95500086538743</v>
      </c>
      <c r="J12" s="85" t="s">
        <v>3</v>
      </c>
      <c r="K12" s="4">
        <f t="shared" si="5"/>
        <v>293.33333333333337</v>
      </c>
      <c r="L12" s="4">
        <f t="shared" si="0"/>
        <v>203.91000173077484</v>
      </c>
      <c r="M12" s="4">
        <f t="shared" si="6"/>
        <v>90.224995673062324</v>
      </c>
      <c r="N12" s="47">
        <f t="shared" si="7"/>
        <v>266.66666666666669</v>
      </c>
      <c r="P12" s="107" t="str">
        <f t="shared" si="8"/>
        <v>D</v>
      </c>
      <c r="Q12" s="4">
        <f t="shared" si="9"/>
        <v>292.67158592955508</v>
      </c>
      <c r="R12" s="4">
        <f t="shared" si="10"/>
        <v>3.9100017307747521</v>
      </c>
      <c r="S12" s="81" t="str">
        <f t="shared" si="1"/>
        <v>D</v>
      </c>
      <c r="T12" s="4">
        <f t="shared" si="2"/>
        <v>293.33333333333337</v>
      </c>
      <c r="U12" s="47">
        <f t="shared" si="3"/>
        <v>3.9100017307747521</v>
      </c>
    </row>
    <row r="13" spans="1:23" x14ac:dyDescent="0.2">
      <c r="B13" s="123" t="s">
        <v>7</v>
      </c>
      <c r="C13" s="4">
        <f t="shared" si="11"/>
        <v>880.00000000000011</v>
      </c>
      <c r="D13" s="97">
        <v>1</v>
      </c>
      <c r="E13" s="4">
        <f t="shared" si="4"/>
        <v>440.00000000000006</v>
      </c>
      <c r="F13" s="47">
        <f t="shared" si="12"/>
        <v>701.95500086538743</v>
      </c>
      <c r="J13" s="85" t="s">
        <v>76</v>
      </c>
      <c r="K13" s="4">
        <f t="shared" si="5"/>
        <v>313.24218750000011</v>
      </c>
      <c r="L13" s="4">
        <f t="shared" si="0"/>
        <v>317.59500778848741</v>
      </c>
      <c r="M13" s="4">
        <f t="shared" si="6"/>
        <v>113.68500605771229</v>
      </c>
      <c r="N13" s="47">
        <f t="shared" si="7"/>
        <v>249.71803078798959</v>
      </c>
      <c r="P13" s="107" t="str">
        <f t="shared" si="8"/>
        <v>D#</v>
      </c>
      <c r="Q13" s="4">
        <f t="shared" si="9"/>
        <v>310.07474405996879</v>
      </c>
      <c r="R13" s="4">
        <f t="shared" si="10"/>
        <v>17.595007788487013</v>
      </c>
      <c r="S13" s="81" t="str">
        <f t="shared" si="1"/>
        <v>A</v>
      </c>
      <c r="T13" s="4">
        <f t="shared" si="2"/>
        <v>440.00000000000006</v>
      </c>
      <c r="U13" s="47">
        <f t="shared" si="3"/>
        <v>5.8650025961615375</v>
      </c>
    </row>
    <row r="14" spans="1:23" x14ac:dyDescent="0.2">
      <c r="B14" s="123" t="s">
        <v>4</v>
      </c>
      <c r="C14" s="4">
        <f t="shared" si="11"/>
        <v>1320.0000000000002</v>
      </c>
      <c r="D14" s="97">
        <v>2</v>
      </c>
      <c r="E14" s="4">
        <f t="shared" si="4"/>
        <v>330.00000000000006</v>
      </c>
      <c r="F14" s="47">
        <f t="shared" si="12"/>
        <v>701.95500086538743</v>
      </c>
      <c r="J14" s="85" t="s">
        <v>4</v>
      </c>
      <c r="K14" s="4">
        <f t="shared" si="5"/>
        <v>330.00000000000006</v>
      </c>
      <c r="L14" s="4">
        <f t="shared" si="0"/>
        <v>407.82000346154996</v>
      </c>
      <c r="M14" s="4">
        <f t="shared" si="6"/>
        <v>90.224995673062693</v>
      </c>
      <c r="N14" s="47">
        <f t="shared" si="7"/>
        <v>237.03703703703704</v>
      </c>
      <c r="P14" s="107" t="str">
        <f t="shared" si="8"/>
        <v>E</v>
      </c>
      <c r="Q14" s="4">
        <f t="shared" si="9"/>
        <v>328.51274782444108</v>
      </c>
      <c r="R14" s="4">
        <f t="shared" si="10"/>
        <v>7.8200034615495593</v>
      </c>
      <c r="S14" s="81" t="str">
        <f t="shared" si="1"/>
        <v>E</v>
      </c>
      <c r="T14" s="4">
        <f t="shared" si="2"/>
        <v>330.00000000000006</v>
      </c>
      <c r="U14" s="47">
        <f t="shared" si="3"/>
        <v>7.8200034615495593</v>
      </c>
    </row>
    <row r="15" spans="1:23" x14ac:dyDescent="0.2">
      <c r="B15" s="123" t="s">
        <v>8</v>
      </c>
      <c r="C15" s="4">
        <f t="shared" si="11"/>
        <v>1980.0000000000005</v>
      </c>
      <c r="D15" s="97">
        <v>2</v>
      </c>
      <c r="E15" s="4">
        <f t="shared" si="4"/>
        <v>495.00000000000011</v>
      </c>
      <c r="F15" s="47">
        <f t="shared" si="12"/>
        <v>701.95500086538743</v>
      </c>
      <c r="J15" s="85" t="s">
        <v>5</v>
      </c>
      <c r="K15" s="4">
        <f t="shared" si="5"/>
        <v>352.39746093750011</v>
      </c>
      <c r="L15" s="4">
        <f t="shared" si="0"/>
        <v>521.50500951926188</v>
      </c>
      <c r="M15" s="4">
        <f t="shared" si="6"/>
        <v>113.68500605771229</v>
      </c>
      <c r="N15" s="47">
        <f t="shared" si="7"/>
        <v>221.9715829226574</v>
      </c>
      <c r="P15" s="107" t="str">
        <f t="shared" si="8"/>
        <v>F</v>
      </c>
      <c r="Q15" s="4">
        <f t="shared" si="9"/>
        <v>348.04713234655719</v>
      </c>
      <c r="R15" s="4">
        <f t="shared" si="10"/>
        <v>21.505009519261652</v>
      </c>
      <c r="S15" s="81" t="str">
        <f t="shared" si="1"/>
        <v>B</v>
      </c>
      <c r="T15" s="4">
        <f t="shared" si="2"/>
        <v>495.00000000000011</v>
      </c>
      <c r="U15" s="47">
        <f t="shared" si="3"/>
        <v>9.7750043269364095</v>
      </c>
    </row>
    <row r="16" spans="1:23" x14ac:dyDescent="0.2">
      <c r="B16" s="123" t="s">
        <v>70</v>
      </c>
      <c r="C16" s="4">
        <f t="shared" si="11"/>
        <v>2970.0000000000009</v>
      </c>
      <c r="D16" s="97">
        <v>3</v>
      </c>
      <c r="E16" s="4">
        <f t="shared" si="4"/>
        <v>371.25000000000011</v>
      </c>
      <c r="F16" s="47">
        <f t="shared" si="12"/>
        <v>701.95500086538766</v>
      </c>
      <c r="J16" s="85" t="s">
        <v>70</v>
      </c>
      <c r="K16" s="4">
        <f t="shared" si="5"/>
        <v>371.25000000000011</v>
      </c>
      <c r="L16" s="4">
        <f t="shared" si="0"/>
        <v>611.73000519232482</v>
      </c>
      <c r="M16" s="4">
        <f t="shared" si="6"/>
        <v>90.224995673063063</v>
      </c>
      <c r="N16" s="47">
        <f t="shared" si="7"/>
        <v>210.69958847736623</v>
      </c>
      <c r="P16" s="107" t="str">
        <f t="shared" si="8"/>
        <v>F#</v>
      </c>
      <c r="Q16" s="4">
        <f t="shared" si="9"/>
        <v>368.74309181876265</v>
      </c>
      <c r="R16" s="4">
        <f t="shared" si="10"/>
        <v>11.730005192324743</v>
      </c>
      <c r="S16" s="81" t="str">
        <f t="shared" si="1"/>
        <v>F#</v>
      </c>
      <c r="T16" s="4">
        <f t="shared" si="2"/>
        <v>371.25000000000011</v>
      </c>
      <c r="U16" s="47">
        <f t="shared" si="3"/>
        <v>11.730005192324743</v>
      </c>
    </row>
    <row r="17" spans="2:26" x14ac:dyDescent="0.2">
      <c r="B17" s="123" t="s">
        <v>74</v>
      </c>
      <c r="C17" s="4">
        <f t="shared" si="11"/>
        <v>4455.0000000000018</v>
      </c>
      <c r="D17" s="97">
        <v>4</v>
      </c>
      <c r="E17" s="4">
        <f t="shared" si="4"/>
        <v>278.43750000000011</v>
      </c>
      <c r="F17" s="47">
        <f t="shared" si="12"/>
        <v>701.95500086538766</v>
      </c>
      <c r="J17" s="85" t="s">
        <v>6</v>
      </c>
      <c r="K17" s="4">
        <f t="shared" si="5"/>
        <v>391.11111111111114</v>
      </c>
      <c r="L17" s="4">
        <f t="shared" si="0"/>
        <v>701.95500086538743</v>
      </c>
      <c r="M17" s="4">
        <f t="shared" si="6"/>
        <v>90.224995673062693</v>
      </c>
      <c r="N17" s="47">
        <f t="shared" si="7"/>
        <v>200</v>
      </c>
      <c r="P17" s="107" t="str">
        <f t="shared" si="8"/>
        <v>G</v>
      </c>
      <c r="Q17" s="4">
        <f t="shared" si="9"/>
        <v>390.66969708192005</v>
      </c>
      <c r="R17" s="4">
        <f t="shared" si="10"/>
        <v>1.9550008653868458</v>
      </c>
      <c r="S17" s="81" t="str">
        <f t="shared" si="1"/>
        <v>C#</v>
      </c>
      <c r="T17" s="4">
        <f t="shared" si="2"/>
        <v>278.43750000000011</v>
      </c>
      <c r="U17" s="47">
        <f t="shared" si="3"/>
        <v>13.685006057712604</v>
      </c>
    </row>
    <row r="18" spans="2:26" x14ac:dyDescent="0.2">
      <c r="B18" s="123" t="s">
        <v>72</v>
      </c>
      <c r="C18" s="4">
        <f t="shared" si="11"/>
        <v>6682.5000000000027</v>
      </c>
      <c r="D18" s="97">
        <v>4</v>
      </c>
      <c r="E18" s="4">
        <f t="shared" si="4"/>
        <v>417.65625000000017</v>
      </c>
      <c r="F18" s="47">
        <f t="shared" si="12"/>
        <v>701.95500086538743</v>
      </c>
      <c r="J18" s="85" t="s">
        <v>72</v>
      </c>
      <c r="K18" s="4">
        <f t="shared" si="5"/>
        <v>417.65625000000017</v>
      </c>
      <c r="L18" s="4">
        <f t="shared" si="0"/>
        <v>815.6400069230998</v>
      </c>
      <c r="M18" s="4">
        <f t="shared" si="6"/>
        <v>113.68500605771266</v>
      </c>
      <c r="N18" s="47">
        <f t="shared" si="7"/>
        <v>187.28852309099219</v>
      </c>
      <c r="P18" s="107" t="str">
        <f t="shared" si="8"/>
        <v>G#</v>
      </c>
      <c r="Q18" s="4">
        <f t="shared" si="9"/>
        <v>413.9001261428196</v>
      </c>
      <c r="R18" s="4">
        <f t="shared" si="10"/>
        <v>15.640006923099422</v>
      </c>
      <c r="S18" s="81" t="str">
        <f t="shared" si="1"/>
        <v>G#</v>
      </c>
      <c r="T18" s="4">
        <f t="shared" si="2"/>
        <v>417.65625000000017</v>
      </c>
      <c r="U18" s="47">
        <f t="shared" si="3"/>
        <v>15.640006923099422</v>
      </c>
    </row>
    <row r="19" spans="2:26" x14ac:dyDescent="0.2">
      <c r="B19" s="123" t="s">
        <v>76</v>
      </c>
      <c r="C19" s="4">
        <f t="shared" si="11"/>
        <v>10023.750000000004</v>
      </c>
      <c r="D19" s="97">
        <v>5</v>
      </c>
      <c r="E19" s="4">
        <f t="shared" si="4"/>
        <v>313.24218750000011</v>
      </c>
      <c r="F19" s="47">
        <f t="shared" si="12"/>
        <v>701.95500086538743</v>
      </c>
      <c r="J19" s="85" t="s">
        <v>7</v>
      </c>
      <c r="K19" s="4">
        <f t="shared" si="5"/>
        <v>440.00000000000006</v>
      </c>
      <c r="L19" s="4">
        <f t="shared" si="0"/>
        <v>905.8650025961623</v>
      </c>
      <c r="M19" s="4">
        <f t="shared" si="6"/>
        <v>90.224995673062324</v>
      </c>
      <c r="N19" s="47">
        <f t="shared" si="7"/>
        <v>177.77777777777777</v>
      </c>
      <c r="P19" s="107" t="str">
        <f t="shared" si="8"/>
        <v>A</v>
      </c>
      <c r="Q19" s="4">
        <f t="shared" si="9"/>
        <v>438.5119083989743</v>
      </c>
      <c r="R19" s="4">
        <f t="shared" si="10"/>
        <v>5.8650025961615375</v>
      </c>
      <c r="S19" s="81" t="str">
        <f t="shared" si="1"/>
        <v>D#</v>
      </c>
      <c r="T19" s="4">
        <f t="shared" si="2"/>
        <v>313.24218750000011</v>
      </c>
      <c r="U19" s="47">
        <f t="shared" si="3"/>
        <v>17.595007788487013</v>
      </c>
    </row>
    <row r="20" spans="2:26" x14ac:dyDescent="0.2">
      <c r="B20" s="123" t="s">
        <v>73</v>
      </c>
      <c r="C20" s="4">
        <f t="shared" si="11"/>
        <v>15035.625000000005</v>
      </c>
      <c r="D20" s="97">
        <v>5</v>
      </c>
      <c r="E20" s="4">
        <f t="shared" si="4"/>
        <v>469.86328125000017</v>
      </c>
      <c r="F20" s="47">
        <f t="shared" si="12"/>
        <v>701.95500086538743</v>
      </c>
      <c r="J20" s="85" t="s">
        <v>73</v>
      </c>
      <c r="K20" s="4">
        <f t="shared" si="5"/>
        <v>469.86328125000017</v>
      </c>
      <c r="L20" s="4">
        <f t="shared" si="0"/>
        <v>1019.5500086538747</v>
      </c>
      <c r="M20" s="4">
        <f t="shared" si="6"/>
        <v>113.68500605771229</v>
      </c>
      <c r="N20" s="47">
        <f t="shared" si="7"/>
        <v>166.47868719199306</v>
      </c>
      <c r="P20" s="107" t="str">
        <f t="shared" si="8"/>
        <v>A#</v>
      </c>
      <c r="Q20" s="4">
        <f t="shared" si="9"/>
        <v>464.58718338577717</v>
      </c>
      <c r="R20" s="4">
        <f t="shared" si="10"/>
        <v>19.55000865387413</v>
      </c>
      <c r="S20" s="81" t="str">
        <f t="shared" si="1"/>
        <v>A#</v>
      </c>
      <c r="T20" s="4">
        <f t="shared" si="2"/>
        <v>469.86328125000017</v>
      </c>
      <c r="U20" s="47">
        <f t="shared" si="3"/>
        <v>19.55000865387413</v>
      </c>
    </row>
    <row r="21" spans="2:26" x14ac:dyDescent="0.2">
      <c r="B21" s="123" t="s">
        <v>5</v>
      </c>
      <c r="C21" s="4">
        <f t="shared" si="11"/>
        <v>22553.437500000007</v>
      </c>
      <c r="D21" s="97">
        <v>6</v>
      </c>
      <c r="E21" s="4">
        <f t="shared" si="4"/>
        <v>352.39746093750011</v>
      </c>
      <c r="F21" s="47">
        <f t="shared" si="12"/>
        <v>701.95500086538743</v>
      </c>
      <c r="J21" s="85" t="s">
        <v>8</v>
      </c>
      <c r="K21" s="4">
        <f t="shared" si="5"/>
        <v>495.00000000000011</v>
      </c>
      <c r="L21" s="4">
        <f t="shared" si="0"/>
        <v>1109.7750043269373</v>
      </c>
      <c r="M21" s="4">
        <f t="shared" si="6"/>
        <v>90.224995673062693</v>
      </c>
      <c r="N21" s="47">
        <f t="shared" si="7"/>
        <v>158.02469135802468</v>
      </c>
      <c r="P21" s="107" t="str">
        <f t="shared" si="8"/>
        <v>B</v>
      </c>
      <c r="Q21" s="4">
        <f t="shared" si="9"/>
        <v>492.21297490956488</v>
      </c>
      <c r="R21" s="4">
        <f t="shared" si="10"/>
        <v>9.7750043269364095</v>
      </c>
      <c r="S21" s="81" t="str">
        <f t="shared" si="1"/>
        <v>F</v>
      </c>
      <c r="T21" s="4">
        <f t="shared" si="2"/>
        <v>352.39746093750011</v>
      </c>
      <c r="U21" s="47">
        <f t="shared" si="3"/>
        <v>21.505009519261652</v>
      </c>
    </row>
    <row r="22" spans="2:26" x14ac:dyDescent="0.2">
      <c r="B22" s="124" t="s">
        <v>78</v>
      </c>
      <c r="C22" s="53">
        <f t="shared" si="11"/>
        <v>33830.156250000015</v>
      </c>
      <c r="D22" s="98">
        <v>6</v>
      </c>
      <c r="E22" s="53">
        <f t="shared" si="4"/>
        <v>528.59619140625023</v>
      </c>
      <c r="F22" s="48">
        <f t="shared" si="12"/>
        <v>701.95500086538766</v>
      </c>
      <c r="J22" s="87" t="s">
        <v>78</v>
      </c>
      <c r="K22" s="53">
        <f t="shared" si="5"/>
        <v>528.59619140625023</v>
      </c>
      <c r="L22" s="53">
        <f t="shared" si="0"/>
        <v>1223.4600103846496</v>
      </c>
      <c r="M22" s="53">
        <f t="shared" si="6"/>
        <v>113.68500605771229</v>
      </c>
      <c r="N22" s="48">
        <f t="shared" si="7"/>
        <v>147.9810552817716</v>
      </c>
      <c r="P22" s="108" t="str">
        <f t="shared" si="8"/>
        <v>c oct.</v>
      </c>
      <c r="Q22" s="53">
        <f t="shared" si="9"/>
        <v>521.48148148148175</v>
      </c>
      <c r="R22" s="53">
        <f t="shared" si="10"/>
        <v>23.460010384649014</v>
      </c>
      <c r="S22" s="151" t="str">
        <f t="shared" si="1"/>
        <v>c oct.</v>
      </c>
      <c r="T22" s="53">
        <f t="shared" si="2"/>
        <v>528.59619140625023</v>
      </c>
      <c r="U22" s="48">
        <f t="shared" si="3"/>
        <v>23.460010384649014</v>
      </c>
    </row>
    <row r="23" spans="2:26" x14ac:dyDescent="0.2">
      <c r="B23" s="18"/>
      <c r="J23" s="74" t="s">
        <v>45</v>
      </c>
      <c r="K23" s="1">
        <f>K22/(K10*2)</f>
        <v>1.0136432647705083</v>
      </c>
      <c r="P23" s="18"/>
      <c r="S23" s="18"/>
    </row>
    <row r="24" spans="2:26" x14ac:dyDescent="0.2">
      <c r="B24" s="18"/>
      <c r="J24" s="74" t="s">
        <v>47</v>
      </c>
      <c r="K24" s="1">
        <f>531441/524288</f>
        <v>1.0136432647705078</v>
      </c>
      <c r="P24" s="18"/>
      <c r="S24" s="18"/>
    </row>
    <row r="25" spans="2:26" ht="18" x14ac:dyDescent="0.2">
      <c r="B25" s="18"/>
      <c r="J25" s="74" t="s">
        <v>46</v>
      </c>
      <c r="L25" s="1">
        <f>81/80</f>
        <v>1.0125</v>
      </c>
      <c r="Q25" s="18"/>
      <c r="T25" s="18"/>
      <c r="X25" s="310" t="s">
        <v>522</v>
      </c>
      <c r="Y25" s="311"/>
      <c r="Z25" s="312"/>
    </row>
    <row r="26" spans="2:26" ht="18" x14ac:dyDescent="0.2">
      <c r="B26" s="310" t="s">
        <v>135</v>
      </c>
      <c r="C26" s="311"/>
      <c r="D26" s="311"/>
      <c r="E26" s="129">
        <f>1200*LOG(5/4,2)</f>
        <v>386.31371386483482</v>
      </c>
      <c r="F26" s="82" t="s">
        <v>16</v>
      </c>
      <c r="G26" s="130"/>
      <c r="H26" s="133"/>
      <c r="I26" s="310" t="s">
        <v>133</v>
      </c>
      <c r="J26" s="311"/>
      <c r="K26" s="311"/>
      <c r="L26" s="311"/>
      <c r="M26" s="311"/>
      <c r="N26" s="311"/>
      <c r="O26" s="312"/>
      <c r="Q26" s="310" t="s">
        <v>134</v>
      </c>
      <c r="R26" s="311"/>
      <c r="S26" s="311"/>
      <c r="T26" s="311"/>
      <c r="U26" s="311"/>
      <c r="V26" s="312"/>
      <c r="X26" s="51"/>
      <c r="Y26" s="89" t="s">
        <v>96</v>
      </c>
      <c r="Z26" s="159">
        <v>2</v>
      </c>
    </row>
    <row r="27" spans="2:26" s="84" customFormat="1" ht="48" x14ac:dyDescent="0.2">
      <c r="B27" s="83" t="s">
        <v>130</v>
      </c>
      <c r="C27" s="84" t="s">
        <v>131</v>
      </c>
      <c r="D27" s="84" t="s">
        <v>132</v>
      </c>
      <c r="E27" s="84" t="str" cm="1">
        <f t="array" aca="1" ref="E27" ca="1">_xlfn.CONCAT(_xlfn.TEXTAFTER(CELL("filename",A2),"]")," Interval in cents")</f>
        <v>Pythagorean Interval in cents</v>
      </c>
      <c r="F27" s="84" t="s">
        <v>18</v>
      </c>
      <c r="G27" s="52" t="str">
        <f>_xlfn.CONCAT("diff ",C4)</f>
        <v xml:space="preserve">diff </v>
      </c>
      <c r="I27" s="123" t="s">
        <v>130</v>
      </c>
      <c r="J27" s="84" t="s">
        <v>521</v>
      </c>
      <c r="K27" s="84" t="s">
        <v>132</v>
      </c>
      <c r="L27" s="14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26" x14ac:dyDescent="0.2">
      <c r="B28" s="107" t="s">
        <v>2</v>
      </c>
      <c r="C28" s="81" t="s">
        <v>4</v>
      </c>
      <c r="D28" s="97">
        <v>1</v>
      </c>
      <c r="E28" s="4">
        <f t="shared" ref="E28:E39" si="13">LOG(D28*VLOOKUP(C28,Master_Frequencies,2,FALSE)/VLOOKUP(B28,Master_Frequencies,2,FALSE),2)*1200</f>
        <v>407.82000346154996</v>
      </c>
      <c r="F28" s="4">
        <f t="shared" ref="F28:F39" si="14">VLOOKUP(B28,Master_Frequencies,2,FALSE)*5/4</f>
        <v>325.92592592592598</v>
      </c>
      <c r="G28" s="47">
        <f t="shared" ref="G28:G39" si="15">LOG(D28*VLOOKUP(C28,Master_Frequencies,2,FALSE)/F28,2)*1200</f>
        <v>21.50628959671478</v>
      </c>
      <c r="I28" s="107" t="s">
        <v>2</v>
      </c>
      <c r="J28" s="81" t="s">
        <v>6</v>
      </c>
      <c r="K28" s="97">
        <v>1</v>
      </c>
      <c r="L28" s="191">
        <f t="shared" ref="L28:L39" si="16">K28*VLOOKUP(J28,Master_Frequencies,2,FALSE)/VLOOKUP(I28,Master_Frequencies,2,FALSE)</f>
        <v>1.5</v>
      </c>
      <c r="M28" s="81" t="s">
        <v>2</v>
      </c>
      <c r="N28" s="81" t="s">
        <v>4</v>
      </c>
      <c r="O28" s="191">
        <f t="shared" ref="O28:O39" si="17">D28*VLOOKUP(N28,Master_Frequencies,2,FALSE)/VLOOKUP(M28,Master_Frequencies,2,FALSE)</f>
        <v>1.2656250000000002</v>
      </c>
      <c r="Q28" s="99">
        <v>1</v>
      </c>
      <c r="R28" s="18">
        <f>$E$10*Q28</f>
        <v>260.74074074074076</v>
      </c>
      <c r="S28" s="97">
        <v>0</v>
      </c>
      <c r="T28" s="4">
        <f>R28/POWER(2,S28)</f>
        <v>260.74074074074076</v>
      </c>
      <c r="U28" s="18" t="str" cm="1">
        <f t="array" ref="U28">_xlfn.XLOOKUP(0,ABS($C$45:$C$57-T28),$B$45:$B$57,,1)</f>
        <v>C</v>
      </c>
      <c r="V28" s="47">
        <f t="shared" ref="V28:V40" si="18">LOG(T28/VLOOKUP(U28,Master_Frequencies,2,FALSE),2)*1200</f>
        <v>0</v>
      </c>
      <c r="X28" s="85" t="s">
        <v>2</v>
      </c>
      <c r="Y28" s="4">
        <f t="shared" ref="Y28:Y40" si="19">VLOOKUP(X28,Master_Frequencies,2,FALSE)/POWER(2,$Z$26)</f>
        <v>65.18518518518519</v>
      </c>
      <c r="Z28" s="47">
        <f t="shared" ref="Z28:Z40" si="20">VLOOKUP(X28,Master_Frequencies,2,FALSE)*POWER(2,$Z$26)</f>
        <v>1042.962962962963</v>
      </c>
    </row>
    <row r="29" spans="2:26" x14ac:dyDescent="0.2">
      <c r="B29" s="107" t="s">
        <v>74</v>
      </c>
      <c r="C29" s="81" t="s">
        <v>5</v>
      </c>
      <c r="D29" s="97">
        <v>1</v>
      </c>
      <c r="E29" s="4">
        <f t="shared" si="13"/>
        <v>407.82000346154967</v>
      </c>
      <c r="F29" s="4">
        <f t="shared" si="14"/>
        <v>348.04687500000011</v>
      </c>
      <c r="G29" s="47">
        <f t="shared" si="15"/>
        <v>21.50628959671478</v>
      </c>
      <c r="I29" s="107" t="s">
        <v>74</v>
      </c>
      <c r="J29" s="81" t="s">
        <v>72</v>
      </c>
      <c r="K29" s="97">
        <v>1</v>
      </c>
      <c r="L29" s="191">
        <f t="shared" si="16"/>
        <v>1.5</v>
      </c>
      <c r="M29" s="81" t="s">
        <v>74</v>
      </c>
      <c r="N29" s="81" t="s">
        <v>5</v>
      </c>
      <c r="O29" s="191">
        <f t="shared" si="17"/>
        <v>1.265625</v>
      </c>
      <c r="Q29" s="99">
        <v>2</v>
      </c>
      <c r="R29" s="18">
        <f t="shared" ref="R29:R40" si="21">$E$10*Q29</f>
        <v>521.48148148148152</v>
      </c>
      <c r="S29" s="97">
        <v>0</v>
      </c>
      <c r="T29" s="4">
        <f t="shared" ref="T29:T40" si="22">R29/POWER(2,S29)</f>
        <v>521.48148148148152</v>
      </c>
      <c r="U29" s="18" t="str" cm="1">
        <f t="array" ref="U29">_xlfn.XLOOKUP(0,ABS($C$45:$C$57-T29),$B$45:$B$57,,1)</f>
        <v>c oct.</v>
      </c>
      <c r="V29" s="47">
        <f t="shared" si="18"/>
        <v>-23.460010384649554</v>
      </c>
      <c r="X29" s="85" t="s">
        <v>74</v>
      </c>
      <c r="Y29" s="4">
        <f t="shared" si="19"/>
        <v>69.609375000000028</v>
      </c>
      <c r="Z29" s="47">
        <f t="shared" si="20"/>
        <v>1113.7500000000005</v>
      </c>
    </row>
    <row r="30" spans="2:26" x14ac:dyDescent="0.2">
      <c r="B30" s="107" t="s">
        <v>3</v>
      </c>
      <c r="C30" s="81" t="s">
        <v>70</v>
      </c>
      <c r="D30" s="97">
        <v>1</v>
      </c>
      <c r="E30" s="4">
        <f t="shared" si="13"/>
        <v>407.82000346154996</v>
      </c>
      <c r="F30" s="4">
        <f t="shared" si="14"/>
        <v>366.66666666666674</v>
      </c>
      <c r="G30" s="47">
        <f t="shared" si="15"/>
        <v>21.506289596715156</v>
      </c>
      <c r="I30" s="107" t="s">
        <v>3</v>
      </c>
      <c r="J30" s="81" t="s">
        <v>7</v>
      </c>
      <c r="K30" s="97">
        <v>1</v>
      </c>
      <c r="L30" s="191">
        <f t="shared" si="16"/>
        <v>1.5</v>
      </c>
      <c r="M30" s="81" t="s">
        <v>3</v>
      </c>
      <c r="N30" s="81" t="s">
        <v>70</v>
      </c>
      <c r="O30" s="191">
        <f t="shared" si="17"/>
        <v>1.2656250000000002</v>
      </c>
      <c r="Q30" s="99">
        <v>3</v>
      </c>
      <c r="R30" s="18">
        <f t="shared" si="21"/>
        <v>782.22222222222229</v>
      </c>
      <c r="S30" s="97">
        <v>1</v>
      </c>
      <c r="T30" s="4">
        <f t="shared" si="22"/>
        <v>391.11111111111114</v>
      </c>
      <c r="U30" s="18" t="str" cm="1">
        <f t="array" ref="U30">_xlfn.XLOOKUP(0,ABS($C$45:$C$57-T30),$B$45:$B$57,,1)</f>
        <v>G</v>
      </c>
      <c r="V30" s="47">
        <f t="shared" si="18"/>
        <v>0</v>
      </c>
      <c r="X30" s="85" t="s">
        <v>3</v>
      </c>
      <c r="Y30" s="4">
        <f t="shared" si="19"/>
        <v>73.333333333333343</v>
      </c>
      <c r="Z30" s="47">
        <f t="shared" si="20"/>
        <v>1173.3333333333335</v>
      </c>
    </row>
    <row r="31" spans="2:26" x14ac:dyDescent="0.2">
      <c r="B31" s="107" t="s">
        <v>76</v>
      </c>
      <c r="C31" s="81" t="s">
        <v>6</v>
      </c>
      <c r="D31" s="97">
        <v>1</v>
      </c>
      <c r="E31" s="4">
        <f t="shared" si="13"/>
        <v>384.35999307690008</v>
      </c>
      <c r="F31" s="4">
        <f t="shared" si="14"/>
        <v>391.55273437500011</v>
      </c>
      <c r="G31" s="47">
        <f t="shared" si="15"/>
        <v>-1.9537207879346152</v>
      </c>
      <c r="I31" s="107" t="s">
        <v>76</v>
      </c>
      <c r="J31" s="81" t="s">
        <v>73</v>
      </c>
      <c r="K31" s="97">
        <v>1</v>
      </c>
      <c r="L31" s="191">
        <f t="shared" si="16"/>
        <v>1.5</v>
      </c>
      <c r="M31" s="81" t="s">
        <v>76</v>
      </c>
      <c r="N31" s="81" t="s">
        <v>6</v>
      </c>
      <c r="O31" s="191">
        <f t="shared" si="17"/>
        <v>1.2485901539399478</v>
      </c>
      <c r="Q31" s="99">
        <v>4</v>
      </c>
      <c r="R31" s="18">
        <f t="shared" si="21"/>
        <v>1042.962962962963</v>
      </c>
      <c r="S31" s="97">
        <v>1</v>
      </c>
      <c r="T31" s="4">
        <f t="shared" si="22"/>
        <v>521.48148148148152</v>
      </c>
      <c r="U31" s="18" t="str" cm="1">
        <f t="array" ref="U31">_xlfn.XLOOKUP(0,ABS($C$45:$C$57-T31),$B$45:$B$57,,1)</f>
        <v>c oct.</v>
      </c>
      <c r="V31" s="47">
        <f t="shared" si="18"/>
        <v>-23.460010384649554</v>
      </c>
      <c r="X31" s="85" t="s">
        <v>76</v>
      </c>
      <c r="Y31" s="4">
        <f t="shared" si="19"/>
        <v>78.310546875000028</v>
      </c>
      <c r="Z31" s="47">
        <f t="shared" si="20"/>
        <v>1252.9687500000005</v>
      </c>
    </row>
    <row r="32" spans="2:26" x14ac:dyDescent="0.2">
      <c r="B32" s="107" t="s">
        <v>4</v>
      </c>
      <c r="C32" s="81" t="s">
        <v>72</v>
      </c>
      <c r="D32" s="97">
        <v>1</v>
      </c>
      <c r="E32" s="4">
        <f t="shared" si="13"/>
        <v>407.82000346154996</v>
      </c>
      <c r="F32" s="4">
        <f t="shared" si="14"/>
        <v>412.50000000000006</v>
      </c>
      <c r="G32" s="47">
        <f t="shared" si="15"/>
        <v>21.506289596715156</v>
      </c>
      <c r="I32" s="107" t="s">
        <v>4</v>
      </c>
      <c r="J32" s="81" t="s">
        <v>8</v>
      </c>
      <c r="K32" s="97">
        <v>1</v>
      </c>
      <c r="L32" s="191">
        <f t="shared" si="16"/>
        <v>1.5</v>
      </c>
      <c r="M32" s="81" t="s">
        <v>4</v>
      </c>
      <c r="N32" s="81" t="s">
        <v>72</v>
      </c>
      <c r="O32" s="191">
        <f t="shared" si="17"/>
        <v>1.2656250000000002</v>
      </c>
      <c r="Q32" s="99">
        <v>5</v>
      </c>
      <c r="R32" s="18">
        <f t="shared" si="21"/>
        <v>1303.7037037037039</v>
      </c>
      <c r="S32" s="97">
        <v>2</v>
      </c>
      <c r="T32" s="4">
        <f t="shared" si="22"/>
        <v>325.92592592592598</v>
      </c>
      <c r="U32" s="18" t="str" cm="1">
        <f t="array" ref="U32">_xlfn.XLOOKUP(0,ABS($C$45:$C$57-T32),$B$45:$B$57,,1)</f>
        <v>E</v>
      </c>
      <c r="V32" s="47">
        <f t="shared" si="18"/>
        <v>-21.50628959671495</v>
      </c>
      <c r="X32" s="85" t="s">
        <v>4</v>
      </c>
      <c r="Y32" s="4">
        <f t="shared" si="19"/>
        <v>82.500000000000014</v>
      </c>
      <c r="Z32" s="47">
        <f t="shared" si="20"/>
        <v>1320.0000000000002</v>
      </c>
    </row>
    <row r="33" spans="2:26" x14ac:dyDescent="0.2">
      <c r="B33" s="107" t="s">
        <v>5</v>
      </c>
      <c r="C33" s="81" t="s">
        <v>7</v>
      </c>
      <c r="D33" s="97">
        <v>1</v>
      </c>
      <c r="E33" s="4">
        <f t="shared" si="13"/>
        <v>384.35999307690042</v>
      </c>
      <c r="F33" s="4">
        <f t="shared" si="14"/>
        <v>440.49682617187511</v>
      </c>
      <c r="G33" s="47">
        <f t="shared" si="15"/>
        <v>-1.9537207879344229</v>
      </c>
      <c r="I33" s="107" t="s">
        <v>5</v>
      </c>
      <c r="J33" s="81" t="s">
        <v>78</v>
      </c>
      <c r="K33" s="97">
        <v>1</v>
      </c>
      <c r="L33" s="191">
        <f t="shared" si="16"/>
        <v>1.5000000000000002</v>
      </c>
      <c r="M33" s="81" t="s">
        <v>5</v>
      </c>
      <c r="N33" s="81" t="s">
        <v>7</v>
      </c>
      <c r="O33" s="191">
        <f t="shared" si="17"/>
        <v>1.248590153939948</v>
      </c>
      <c r="Q33" s="99">
        <v>6</v>
      </c>
      <c r="R33" s="18">
        <f t="shared" si="21"/>
        <v>1564.4444444444446</v>
      </c>
      <c r="S33" s="97">
        <v>2</v>
      </c>
      <c r="T33" s="4">
        <f t="shared" si="22"/>
        <v>391.11111111111114</v>
      </c>
      <c r="U33" s="18" t="str" cm="1">
        <f t="array" ref="U33">_xlfn.XLOOKUP(0,ABS($C$45:$C$57-T33),$B$45:$B$57,,1)</f>
        <v>G</v>
      </c>
      <c r="V33" s="47">
        <f t="shared" si="18"/>
        <v>0</v>
      </c>
      <c r="X33" s="85" t="s">
        <v>5</v>
      </c>
      <c r="Y33" s="4">
        <f t="shared" si="19"/>
        <v>88.099365234375028</v>
      </c>
      <c r="Z33" s="47">
        <f t="shared" si="20"/>
        <v>1409.5898437500005</v>
      </c>
    </row>
    <row r="34" spans="2:26" x14ac:dyDescent="0.2">
      <c r="B34" s="107" t="s">
        <v>70</v>
      </c>
      <c r="C34" s="81" t="s">
        <v>73</v>
      </c>
      <c r="D34" s="97">
        <v>1</v>
      </c>
      <c r="E34" s="4">
        <f t="shared" si="13"/>
        <v>407.82000346154967</v>
      </c>
      <c r="F34" s="4">
        <f t="shared" si="14"/>
        <v>464.06250000000011</v>
      </c>
      <c r="G34" s="47">
        <f t="shared" si="15"/>
        <v>21.506289596715156</v>
      </c>
      <c r="I34" s="107" t="s">
        <v>70</v>
      </c>
      <c r="J34" s="81" t="s">
        <v>74</v>
      </c>
      <c r="K34" s="97">
        <v>2</v>
      </c>
      <c r="L34" s="191">
        <f t="shared" si="16"/>
        <v>1.5000000000000002</v>
      </c>
      <c r="M34" s="81" t="s">
        <v>70</v>
      </c>
      <c r="N34" s="81" t="s">
        <v>73</v>
      </c>
      <c r="O34" s="191">
        <f t="shared" si="17"/>
        <v>1.265625</v>
      </c>
      <c r="Q34" s="99">
        <v>7</v>
      </c>
      <c r="R34" s="18">
        <f t="shared" si="21"/>
        <v>1825.1851851851852</v>
      </c>
      <c r="S34" s="97">
        <v>2</v>
      </c>
      <c r="T34" s="4">
        <f t="shared" si="22"/>
        <v>456.2962962962963</v>
      </c>
      <c r="U34" s="18" t="str" cm="1">
        <f t="array" ref="U34">_xlfn.XLOOKUP(0,ABS($C$45:$C$57-T34),$B$45:$B$57,,1)</f>
        <v>A#</v>
      </c>
      <c r="V34" s="47">
        <f t="shared" si="18"/>
        <v>-50.724102184749754</v>
      </c>
      <c r="X34" s="85" t="s">
        <v>70</v>
      </c>
      <c r="Y34" s="4">
        <f t="shared" si="19"/>
        <v>92.812500000000028</v>
      </c>
      <c r="Z34" s="47">
        <f t="shared" si="20"/>
        <v>1485.0000000000005</v>
      </c>
    </row>
    <row r="35" spans="2:26" x14ac:dyDescent="0.2">
      <c r="B35" s="107" t="s">
        <v>6</v>
      </c>
      <c r="C35" s="81" t="s">
        <v>8</v>
      </c>
      <c r="D35" s="97">
        <v>1</v>
      </c>
      <c r="E35" s="4">
        <f t="shared" si="13"/>
        <v>407.82000346154996</v>
      </c>
      <c r="F35" s="4">
        <f t="shared" si="14"/>
        <v>488.88888888888891</v>
      </c>
      <c r="G35" s="47">
        <f t="shared" si="15"/>
        <v>21.506289596715156</v>
      </c>
      <c r="I35" s="107" t="s">
        <v>6</v>
      </c>
      <c r="J35" s="81" t="s">
        <v>3</v>
      </c>
      <c r="K35" s="97">
        <v>2</v>
      </c>
      <c r="L35" s="191">
        <f t="shared" si="16"/>
        <v>1.5</v>
      </c>
      <c r="M35" s="81" t="s">
        <v>6</v>
      </c>
      <c r="N35" s="81" t="s">
        <v>8</v>
      </c>
      <c r="O35" s="191">
        <f t="shared" si="17"/>
        <v>1.2656250000000002</v>
      </c>
      <c r="Q35" s="99">
        <v>8</v>
      </c>
      <c r="R35" s="18">
        <f t="shared" si="21"/>
        <v>2085.9259259259261</v>
      </c>
      <c r="S35" s="97">
        <v>3</v>
      </c>
      <c r="T35" s="4">
        <f t="shared" si="22"/>
        <v>260.74074074074076</v>
      </c>
      <c r="U35" s="18" t="str" cm="1">
        <f t="array" ref="U35">_xlfn.XLOOKUP(0,ABS($C$45:$C$57-T35),$B$45:$B$57,,1)</f>
        <v>C</v>
      </c>
      <c r="V35" s="47">
        <f t="shared" si="18"/>
        <v>0</v>
      </c>
      <c r="X35" s="85" t="s">
        <v>6</v>
      </c>
      <c r="Y35" s="4">
        <f t="shared" si="19"/>
        <v>97.777777777777786</v>
      </c>
      <c r="Z35" s="47">
        <f t="shared" si="20"/>
        <v>1564.4444444444446</v>
      </c>
    </row>
    <row r="36" spans="2:26" x14ac:dyDescent="0.2">
      <c r="B36" s="107" t="s">
        <v>72</v>
      </c>
      <c r="C36" s="81" t="s">
        <v>78</v>
      </c>
      <c r="D36" s="97">
        <v>1</v>
      </c>
      <c r="E36" s="4">
        <f t="shared" si="13"/>
        <v>407.82000346154967</v>
      </c>
      <c r="F36" s="4">
        <f t="shared" si="14"/>
        <v>522.07031250000023</v>
      </c>
      <c r="G36" s="47">
        <f t="shared" si="15"/>
        <v>21.50628959671478</v>
      </c>
      <c r="I36" s="107" t="s">
        <v>72</v>
      </c>
      <c r="J36" s="81" t="s">
        <v>76</v>
      </c>
      <c r="K36" s="97">
        <v>2</v>
      </c>
      <c r="L36" s="191">
        <f t="shared" si="16"/>
        <v>1.5</v>
      </c>
      <c r="M36" s="81" t="s">
        <v>72</v>
      </c>
      <c r="N36" s="81" t="s">
        <v>78</v>
      </c>
      <c r="O36" s="191">
        <f t="shared" si="17"/>
        <v>1.265625</v>
      </c>
      <c r="Q36" s="99">
        <v>9</v>
      </c>
      <c r="R36" s="18">
        <f t="shared" si="21"/>
        <v>2346.666666666667</v>
      </c>
      <c r="S36" s="97">
        <v>3</v>
      </c>
      <c r="T36" s="4">
        <f t="shared" si="22"/>
        <v>293.33333333333337</v>
      </c>
      <c r="U36" s="18" t="str" cm="1">
        <f t="array" ref="U36">_xlfn.XLOOKUP(0,ABS($C$45:$C$57-T36),$B$45:$B$57,,1)</f>
        <v>D</v>
      </c>
      <c r="V36" s="47">
        <f t="shared" si="18"/>
        <v>0</v>
      </c>
      <c r="X36" s="85" t="s">
        <v>72</v>
      </c>
      <c r="Y36" s="4">
        <f t="shared" si="19"/>
        <v>104.41406250000004</v>
      </c>
      <c r="Z36" s="47">
        <f t="shared" si="20"/>
        <v>1670.6250000000007</v>
      </c>
    </row>
    <row r="37" spans="2:26" x14ac:dyDescent="0.2">
      <c r="B37" s="107" t="s">
        <v>7</v>
      </c>
      <c r="C37" s="81" t="s">
        <v>74</v>
      </c>
      <c r="D37" s="97">
        <v>2</v>
      </c>
      <c r="E37" s="4">
        <f t="shared" si="13"/>
        <v>407.8200034615503</v>
      </c>
      <c r="F37" s="4">
        <f t="shared" si="14"/>
        <v>550.00000000000011</v>
      </c>
      <c r="G37" s="47">
        <f t="shared" si="15"/>
        <v>21.506289596715156</v>
      </c>
      <c r="I37" s="107" t="s">
        <v>7</v>
      </c>
      <c r="J37" s="81" t="s">
        <v>4</v>
      </c>
      <c r="K37" s="97">
        <v>2</v>
      </c>
      <c r="L37" s="191">
        <f t="shared" si="16"/>
        <v>1.5</v>
      </c>
      <c r="M37" s="81" t="s">
        <v>7</v>
      </c>
      <c r="N37" s="81" t="s">
        <v>74</v>
      </c>
      <c r="O37" s="191">
        <f t="shared" si="17"/>
        <v>1.2656250000000004</v>
      </c>
      <c r="Q37" s="99">
        <v>10</v>
      </c>
      <c r="R37" s="18">
        <f t="shared" si="21"/>
        <v>2607.4074074074078</v>
      </c>
      <c r="S37" s="97">
        <v>3</v>
      </c>
      <c r="T37" s="4">
        <f t="shared" si="22"/>
        <v>325.92592592592598</v>
      </c>
      <c r="U37" s="18" t="str" cm="1">
        <f t="array" ref="U37">_xlfn.XLOOKUP(0,ABS($C$45:$C$57-T37),$B$45:$B$57,,1)</f>
        <v>E</v>
      </c>
      <c r="V37" s="47">
        <f t="shared" si="18"/>
        <v>-21.50628959671495</v>
      </c>
      <c r="X37" s="85" t="s">
        <v>7</v>
      </c>
      <c r="Y37" s="4">
        <f t="shared" si="19"/>
        <v>110.00000000000001</v>
      </c>
      <c r="Z37" s="47">
        <f t="shared" si="20"/>
        <v>1760.0000000000002</v>
      </c>
    </row>
    <row r="38" spans="2:26" x14ac:dyDescent="0.2">
      <c r="B38" s="107" t="s">
        <v>73</v>
      </c>
      <c r="C38" s="81" t="s">
        <v>3</v>
      </c>
      <c r="D38" s="97">
        <v>2</v>
      </c>
      <c r="E38" s="4">
        <f t="shared" si="13"/>
        <v>384.35999307690042</v>
      </c>
      <c r="F38" s="4">
        <f t="shared" si="14"/>
        <v>587.32910156250023</v>
      </c>
      <c r="G38" s="47">
        <f t="shared" si="15"/>
        <v>-1.9537207879346152</v>
      </c>
      <c r="I38" s="107" t="s">
        <v>73</v>
      </c>
      <c r="J38" s="81" t="s">
        <v>5</v>
      </c>
      <c r="K38" s="97">
        <v>2</v>
      </c>
      <c r="L38" s="191">
        <f t="shared" si="16"/>
        <v>1.5</v>
      </c>
      <c r="M38" s="81" t="s">
        <v>73</v>
      </c>
      <c r="N38" s="81" t="s">
        <v>3</v>
      </c>
      <c r="O38" s="191">
        <f t="shared" si="17"/>
        <v>1.248590153939948</v>
      </c>
      <c r="Q38" s="99">
        <v>11</v>
      </c>
      <c r="R38" s="18">
        <f t="shared" si="21"/>
        <v>2868.1481481481483</v>
      </c>
      <c r="S38" s="97">
        <v>3</v>
      </c>
      <c r="T38" s="4">
        <f t="shared" si="22"/>
        <v>358.51851851851853</v>
      </c>
      <c r="U38" s="18" t="str" cm="1">
        <f t="array" ref="U38">_xlfn.XLOOKUP(0,ABS($C$45:$C$57-T38),$B$45:$B$57,,1)</f>
        <v>F</v>
      </c>
      <c r="V38" s="47">
        <f t="shared" si="18"/>
        <v>29.812932845494498</v>
      </c>
      <c r="X38" s="85" t="s">
        <v>73</v>
      </c>
      <c r="Y38" s="4">
        <f t="shared" si="19"/>
        <v>117.46582031250004</v>
      </c>
      <c r="Z38" s="47">
        <f t="shared" si="20"/>
        <v>1879.4531250000007</v>
      </c>
    </row>
    <row r="39" spans="2:26" x14ac:dyDescent="0.2">
      <c r="B39" s="108" t="s">
        <v>8</v>
      </c>
      <c r="C39" s="151" t="s">
        <v>76</v>
      </c>
      <c r="D39" s="98">
        <v>2</v>
      </c>
      <c r="E39" s="53">
        <f t="shared" si="13"/>
        <v>407.82000346154996</v>
      </c>
      <c r="F39" s="53">
        <f t="shared" si="14"/>
        <v>618.75000000000011</v>
      </c>
      <c r="G39" s="48">
        <f t="shared" si="15"/>
        <v>21.506289596715156</v>
      </c>
      <c r="I39" s="108" t="s">
        <v>8</v>
      </c>
      <c r="J39" s="151" t="s">
        <v>70</v>
      </c>
      <c r="K39" s="98">
        <v>2</v>
      </c>
      <c r="L39" s="192">
        <f t="shared" si="16"/>
        <v>1.5000000000000002</v>
      </c>
      <c r="M39" s="151" t="s">
        <v>8</v>
      </c>
      <c r="N39" s="151" t="s">
        <v>76</v>
      </c>
      <c r="O39" s="192">
        <f t="shared" si="17"/>
        <v>1.2656250000000002</v>
      </c>
      <c r="Q39" s="99">
        <v>12</v>
      </c>
      <c r="R39" s="18">
        <f t="shared" si="21"/>
        <v>3128.8888888888891</v>
      </c>
      <c r="S39" s="97">
        <v>3</v>
      </c>
      <c r="T39" s="4">
        <f t="shared" si="22"/>
        <v>391.11111111111114</v>
      </c>
      <c r="U39" s="18" t="str" cm="1">
        <f t="array" ref="U39">_xlfn.XLOOKUP(0,ABS($C$45:$C$57-T39),$B$45:$B$57,,1)</f>
        <v>G</v>
      </c>
      <c r="V39" s="47">
        <f t="shared" si="18"/>
        <v>0</v>
      </c>
      <c r="X39" s="85" t="s">
        <v>8</v>
      </c>
      <c r="Y39" s="4">
        <f t="shared" si="19"/>
        <v>123.75000000000003</v>
      </c>
      <c r="Z39" s="47">
        <f t="shared" si="20"/>
        <v>1980.0000000000005</v>
      </c>
    </row>
    <row r="40" spans="2:26" x14ac:dyDescent="0.2">
      <c r="Q40" s="100">
        <v>13</v>
      </c>
      <c r="R40" s="50">
        <f t="shared" si="21"/>
        <v>3389.62962962963</v>
      </c>
      <c r="S40" s="98">
        <v>3</v>
      </c>
      <c r="T40" s="53">
        <f t="shared" si="22"/>
        <v>423.70370370370375</v>
      </c>
      <c r="U40" s="50" t="str" cm="1">
        <f t="array" ref="U40">_xlfn.XLOOKUP(0,ABS($C$45:$C$57-T40),$B$45:$B$57,,1)</f>
        <v>G#</v>
      </c>
      <c r="V40" s="48">
        <f t="shared" si="18"/>
        <v>24.887654846210893</v>
      </c>
      <c r="X40" s="87" t="s">
        <v>78</v>
      </c>
      <c r="Y40" s="53">
        <f t="shared" si="19"/>
        <v>132.14904785156256</v>
      </c>
      <c r="Z40" s="48">
        <f t="shared" si="20"/>
        <v>2114.3847656250009</v>
      </c>
    </row>
    <row r="41" spans="2:26" ht="16" x14ac:dyDescent="0.2">
      <c r="B41" s="80" t="s">
        <v>63</v>
      </c>
    </row>
    <row r="42" spans="2:26" ht="17" thickBot="1" x14ac:dyDescent="0.25">
      <c r="B42" s="80"/>
    </row>
    <row r="43" spans="2:26" ht="16" thickTop="1" x14ac:dyDescent="0.2">
      <c r="B43" s="308" t="s">
        <v>138</v>
      </c>
      <c r="C43" s="309"/>
    </row>
    <row r="44" spans="2:26" ht="32" x14ac:dyDescent="0.2">
      <c r="B44" s="90" t="s">
        <v>14</v>
      </c>
      <c r="C44" s="91" t="s">
        <v>15</v>
      </c>
    </row>
    <row r="45" spans="2:26" x14ac:dyDescent="0.2">
      <c r="B45" s="92" t="s">
        <v>2</v>
      </c>
      <c r="C45" s="93">
        <f>VLOOKUP(B45,$J$10:$K$22,2,FALSE)</f>
        <v>260.74074074074076</v>
      </c>
    </row>
    <row r="46" spans="2:26" x14ac:dyDescent="0.2">
      <c r="B46" s="92" t="s">
        <v>74</v>
      </c>
      <c r="C46" s="93">
        <f t="shared" ref="C46:C57" si="23">VLOOKUP(B46,$J$10:$K$22,2,FALSE)</f>
        <v>278.43750000000011</v>
      </c>
    </row>
    <row r="47" spans="2:26" x14ac:dyDescent="0.2">
      <c r="B47" s="92" t="s">
        <v>3</v>
      </c>
      <c r="C47" s="93">
        <f t="shared" si="23"/>
        <v>293.33333333333337</v>
      </c>
    </row>
    <row r="48" spans="2:26" x14ac:dyDescent="0.2">
      <c r="B48" s="92" t="s">
        <v>76</v>
      </c>
      <c r="C48" s="93">
        <f t="shared" si="23"/>
        <v>313.24218750000011</v>
      </c>
    </row>
    <row r="49" spans="2:3" x14ac:dyDescent="0.2">
      <c r="B49" s="92" t="s">
        <v>4</v>
      </c>
      <c r="C49" s="93">
        <f t="shared" si="23"/>
        <v>330.00000000000006</v>
      </c>
    </row>
    <row r="50" spans="2:3" x14ac:dyDescent="0.2">
      <c r="B50" s="92" t="s">
        <v>5</v>
      </c>
      <c r="C50" s="93">
        <f t="shared" si="23"/>
        <v>352.39746093750011</v>
      </c>
    </row>
    <row r="51" spans="2:3" x14ac:dyDescent="0.2">
      <c r="B51" s="92" t="s">
        <v>70</v>
      </c>
      <c r="C51" s="93">
        <f t="shared" si="23"/>
        <v>371.25000000000011</v>
      </c>
    </row>
    <row r="52" spans="2:3" x14ac:dyDescent="0.2">
      <c r="B52" s="92" t="s">
        <v>6</v>
      </c>
      <c r="C52" s="93">
        <f t="shared" si="23"/>
        <v>391.11111111111114</v>
      </c>
    </row>
    <row r="53" spans="2:3" x14ac:dyDescent="0.2">
      <c r="B53" s="92" t="s">
        <v>72</v>
      </c>
      <c r="C53" s="93">
        <f t="shared" si="23"/>
        <v>417.65625000000017</v>
      </c>
    </row>
    <row r="54" spans="2:3" x14ac:dyDescent="0.2">
      <c r="B54" s="92" t="s">
        <v>7</v>
      </c>
      <c r="C54" s="93">
        <f t="shared" si="23"/>
        <v>440.00000000000006</v>
      </c>
    </row>
    <row r="55" spans="2:3" x14ac:dyDescent="0.2">
      <c r="B55" s="92" t="s">
        <v>73</v>
      </c>
      <c r="C55" s="93">
        <f t="shared" si="23"/>
        <v>469.86328125000017</v>
      </c>
    </row>
    <row r="56" spans="2:3" x14ac:dyDescent="0.2">
      <c r="B56" s="92" t="s">
        <v>8</v>
      </c>
      <c r="C56" s="93">
        <f t="shared" si="23"/>
        <v>495.00000000000011</v>
      </c>
    </row>
    <row r="57" spans="2:3" ht="16" thickBot="1" x14ac:dyDescent="0.25">
      <c r="B57" s="94" t="s">
        <v>78</v>
      </c>
      <c r="C57" s="95">
        <f t="shared" si="23"/>
        <v>528.59619140625023</v>
      </c>
    </row>
    <row r="58" spans="2:3" ht="16" thickTop="1" x14ac:dyDescent="0.2"/>
  </sheetData>
  <sheetProtection sheet="1" scenarios="1" formatCells="0"/>
  <mergeCells count="10">
    <mergeCell ref="B1:F1"/>
    <mergeCell ref="B43:C43"/>
    <mergeCell ref="B8:F8"/>
    <mergeCell ref="B26:D26"/>
    <mergeCell ref="C4:D4"/>
    <mergeCell ref="I26:O26"/>
    <mergeCell ref="Q26:V26"/>
    <mergeCell ref="X25:Z25"/>
    <mergeCell ref="J8:N8"/>
    <mergeCell ref="P8:U8"/>
  </mergeCells>
  <conditionalFormatting sqref="A1:B1 G1:XFD1 A2:XFD24 A25:J25 L25:X25 AA25:XFD25 A26:I26 P26:Q26 W26:XFD26 A27:J40 L27:XFD40 A41:XFD1048576">
    <cfRule type="expression" dxfId="33" priority="34">
      <formula>CELL("protected",A1)=0</formula>
    </cfRule>
  </conditionalFormatting>
  <conditionalFormatting sqref="A1:XFD24 A25:J25 L25:X25 AA25:XFD25 A26:I26 P26:Q26 W26:XFD26 A27:J40 L27:XFD40 A41:XFD1048576">
    <cfRule type="expression" dxfId="32" priority="5">
      <formula>_xlfn.ISFORMULA(A1)</formula>
    </cfRule>
  </conditionalFormatting>
  <conditionalFormatting sqref="K27:K39">
    <cfRule type="expression" dxfId="31" priority="1">
      <formula>_xlfn.ISFORMULA(K27)</formula>
    </cfRule>
    <cfRule type="expression" dxfId="30" priority="2">
      <formula>CELL("protected",K27)=0</formula>
    </cfRule>
  </conditionalFormatting>
  <hyperlinks>
    <hyperlink ref="B41" location="Overview!A1" display="Back to Overview" xr:uid="{AF7CA2D0-0E9B-8748-92DD-13B92FB71B49}"/>
    <hyperlink ref="B5" location="Overview!A1" display="Back to Overview" xr:uid="{7377EB9C-DAD8-114A-9CCA-CC67EA3C0CA7}"/>
  </hyperlinks>
  <pageMargins left="0.7" right="0.7" top="0.75" bottom="0.75" header="0.3" footer="0.3"/>
  <drawing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EAE8-F608-F54E-A05C-230A00289ABC}">
  <sheetPr>
    <tabColor theme="5" tint="0.59999389629810485"/>
  </sheetPr>
  <dimension ref="B1:AA56"/>
  <sheetViews>
    <sheetView zoomScaleNormal="100" workbookViewId="0"/>
  </sheetViews>
  <sheetFormatPr baseColWidth="10" defaultColWidth="12" defaultRowHeight="15" x14ac:dyDescent="0.2"/>
  <cols>
    <col min="1" max="1" width="2.83203125" style="4" customWidth="1"/>
    <col min="2" max="16384" width="12" style="4"/>
  </cols>
  <sheetData>
    <row r="1" spans="2:27" ht="18" x14ac:dyDescent="0.2">
      <c r="B1" s="289" t="s">
        <v>534</v>
      </c>
      <c r="C1" s="289"/>
      <c r="D1" s="289"/>
      <c r="E1" s="289"/>
      <c r="F1" s="289"/>
      <c r="G1" s="289"/>
      <c r="H1" s="289"/>
      <c r="P1" s="4" t="s">
        <v>479</v>
      </c>
    </row>
    <row r="2" spans="2:27" ht="16" x14ac:dyDescent="0.2">
      <c r="C2" s="70"/>
      <c r="D2" s="154" t="s">
        <v>16</v>
      </c>
      <c r="E2" s="72" t="str">
        <f>D2</f>
        <v>Cents</v>
      </c>
      <c r="F2" s="72" t="str">
        <f>_xlfn.CONCAT("1/",D3," ",D2)</f>
        <v>1/1 Cents</v>
      </c>
      <c r="G2" s="73"/>
      <c r="H2" s="74" t="s">
        <v>143</v>
      </c>
      <c r="I2" s="156">
        <v>440</v>
      </c>
      <c r="J2" s="74" t="str">
        <f>_xlfn.CONCAT("C for A=", I2,":")</f>
        <v>C for A=440:</v>
      </c>
      <c r="K2" s="4">
        <f>I2/POWER(1/$F$3,C18)</f>
        <v>262.83732973431734</v>
      </c>
      <c r="L2" s="74"/>
      <c r="T2" s="77"/>
      <c r="Y2" s="74"/>
      <c r="Z2" s="74"/>
      <c r="AA2" s="74"/>
    </row>
    <row r="3" spans="2:27" ht="16" x14ac:dyDescent="0.2">
      <c r="C3" s="74" t="s">
        <v>125</v>
      </c>
      <c r="D3" s="155">
        <v>1</v>
      </c>
      <c r="E3" s="1">
        <f>IF(D2="Pythagorean Comma",524288/531441,IF(D2="Syntonic Comma",80/81,IF(D2="Cents",1/POWER(2,1/1200),"Not in List")))</f>
        <v>0.99942254414138076</v>
      </c>
      <c r="F3" s="132">
        <f>POWER(E3,1/D3)</f>
        <v>0.99942254414138076</v>
      </c>
      <c r="T3" s="77"/>
    </row>
    <row r="4" spans="2:27" ht="16" x14ac:dyDescent="0.2">
      <c r="B4" s="80" t="s">
        <v>63</v>
      </c>
      <c r="C4" s="79"/>
      <c r="D4" s="79"/>
    </row>
    <row r="5" spans="2:27" x14ac:dyDescent="0.2">
      <c r="F5" s="78"/>
    </row>
    <row r="6" spans="2:27" x14ac:dyDescent="0.2">
      <c r="E6" s="81"/>
      <c r="F6" s="81"/>
    </row>
    <row r="7" spans="2:27" ht="18" x14ac:dyDescent="0.2">
      <c r="B7" s="310" t="s">
        <v>140</v>
      </c>
      <c r="C7" s="311"/>
      <c r="D7" s="311"/>
      <c r="E7" s="311"/>
      <c r="F7" s="312"/>
      <c r="H7" s="310" t="s">
        <v>43</v>
      </c>
      <c r="I7" s="311"/>
      <c r="J7" s="311"/>
      <c r="K7" s="311"/>
      <c r="L7" s="311"/>
      <c r="M7" s="312"/>
      <c r="N7" s="133"/>
      <c r="P7" s="310" t="s">
        <v>129</v>
      </c>
      <c r="Q7" s="311"/>
      <c r="R7" s="311"/>
      <c r="S7" s="311"/>
      <c r="T7" s="311"/>
      <c r="U7" s="312"/>
    </row>
    <row r="8" spans="2:27" s="84" customFormat="1" ht="64" x14ac:dyDescent="0.2">
      <c r="B8" s="83" t="s">
        <v>14</v>
      </c>
      <c r="C8" s="84" t="str">
        <f>_xlfn.CONCAT(F2," from C")</f>
        <v>1/1 Cents from C</v>
      </c>
      <c r="D8" s="84" t="s">
        <v>15</v>
      </c>
      <c r="E8" s="84" t="s">
        <v>36</v>
      </c>
      <c r="F8" s="52" t="s">
        <v>50</v>
      </c>
      <c r="H8" s="149" t="s">
        <v>127</v>
      </c>
      <c r="I8" s="84" t="s">
        <v>128</v>
      </c>
      <c r="J8" s="84" t="s">
        <v>13</v>
      </c>
      <c r="K8" s="84" t="str">
        <f>_xlfn.CONCAT("Relative ",E2)</f>
        <v>Relative Cents</v>
      </c>
      <c r="L8" s="84" t="str">
        <f>_xlfn.CONCAT("Cumulative ",E2)</f>
        <v>Cumulative Cents</v>
      </c>
      <c r="M8" s="52" t="s">
        <v>16</v>
      </c>
      <c r="P8" s="149" t="s">
        <v>89</v>
      </c>
      <c r="Q8" s="84" t="s">
        <v>136</v>
      </c>
      <c r="R8" s="84" t="s">
        <v>90</v>
      </c>
      <c r="S8" s="152" t="s">
        <v>88</v>
      </c>
      <c r="T8" s="84" t="s">
        <v>32</v>
      </c>
      <c r="U8" s="52" t="s">
        <v>91</v>
      </c>
    </row>
    <row r="9" spans="2:27" x14ac:dyDescent="0.2">
      <c r="B9" s="85" t="s">
        <v>2</v>
      </c>
      <c r="C9" s="156">
        <v>0</v>
      </c>
      <c r="D9" s="4">
        <f>K2</f>
        <v>262.83732973431734</v>
      </c>
      <c r="F9" s="158">
        <v>3600</v>
      </c>
      <c r="G9" s="97"/>
      <c r="H9" s="123" t="s">
        <v>2</v>
      </c>
      <c r="I9" s="97">
        <v>0</v>
      </c>
      <c r="J9" s="4">
        <f>VLOOKUP(H9,$B$9:$D$21,3,FALSE)*POWER(2,I9)</f>
        <v>262.83732973431734</v>
      </c>
      <c r="K9" s="4">
        <v>0</v>
      </c>
      <c r="L9" s="4">
        <f>K9</f>
        <v>0</v>
      </c>
      <c r="M9" s="47"/>
      <c r="P9" s="123" t="str">
        <f t="shared" ref="P9:P21" si="0">B9</f>
        <v>C</v>
      </c>
      <c r="Q9" s="4">
        <f>D9</f>
        <v>262.83732973431734</v>
      </c>
      <c r="R9" s="4">
        <f t="shared" ref="R9:R21" si="1">LOG(D9/Q9,2)*1200</f>
        <v>0</v>
      </c>
      <c r="S9" s="145" t="str">
        <f t="shared" ref="S9:S21" si="2">H9</f>
        <v>C</v>
      </c>
      <c r="T9" s="4">
        <f t="shared" ref="T9:T21" si="3">VLOOKUP(S9,$P$9:$Q$21,2,FALSE)</f>
        <v>262.83732973431734</v>
      </c>
      <c r="U9" s="47">
        <f t="shared" ref="U9:U21" si="4">VLOOKUP(S9,$P$9:$R$21,3,FALSE)</f>
        <v>0</v>
      </c>
    </row>
    <row r="10" spans="2:27" x14ac:dyDescent="0.2">
      <c r="B10" s="85" t="s">
        <v>74</v>
      </c>
      <c r="C10" s="156">
        <v>84</v>
      </c>
      <c r="D10" s="4">
        <f t="shared" ref="D10:D21" si="5">$D$9*POWER(1/$F$3,C10)</f>
        <v>275.90473010105092</v>
      </c>
      <c r="E10" s="4">
        <f t="shared" ref="E10:E21" si="6">LOG(D10/D9,2)*1200</f>
        <v>84.000000000004547</v>
      </c>
      <c r="F10" s="47">
        <f t="shared" ref="F10:F21" si="7">F$9*D$9/D10</f>
        <v>3429.4967929581658</v>
      </c>
      <c r="G10" s="97"/>
      <c r="H10" s="123" t="s">
        <v>6</v>
      </c>
      <c r="I10" s="97">
        <v>0</v>
      </c>
      <c r="J10" s="4">
        <f t="shared" ref="J10:J21" si="8">VLOOKUP(H10,$B$9:$D$21,3,FALSE)*POWER(2,I10)</f>
        <v>393.3563455523485</v>
      </c>
      <c r="K10" s="75">
        <f>LOG(J10/(J9*3/2),1/$F$3)</f>
        <v>-3.9550008653521855</v>
      </c>
      <c r="L10" s="4">
        <f>L9+K10</f>
        <v>-3.9550008653521855</v>
      </c>
      <c r="M10" s="47">
        <f t="shared" ref="M10:M21" si="9">LOG(J10/J9,2)*1200</f>
        <v>698.00000000003536</v>
      </c>
      <c r="P10" s="123" t="str">
        <f t="shared" si="0"/>
        <v>C#</v>
      </c>
      <c r="Q10" s="4">
        <f t="shared" ref="Q10:Q21" si="10">Q9*POWER($Q$9*2/$Q$9,1/12)</f>
        <v>278.46645067345429</v>
      </c>
      <c r="R10" s="4">
        <f t="shared" si="1"/>
        <v>-15.999999999995806</v>
      </c>
      <c r="S10" s="145" t="str">
        <f t="shared" si="2"/>
        <v>G</v>
      </c>
      <c r="T10" s="4">
        <f t="shared" si="3"/>
        <v>393.81103120829766</v>
      </c>
      <c r="U10" s="47">
        <f t="shared" si="4"/>
        <v>-1.999999999965371</v>
      </c>
    </row>
    <row r="11" spans="2:27" x14ac:dyDescent="0.2">
      <c r="B11" s="85" t="s">
        <v>3</v>
      </c>
      <c r="C11" s="156">
        <v>195</v>
      </c>
      <c r="D11" s="4">
        <f t="shared" si="5"/>
        <v>294.17409134985633</v>
      </c>
      <c r="E11" s="4">
        <f t="shared" si="6"/>
        <v>111.00000000000561</v>
      </c>
      <c r="F11" s="47">
        <f t="shared" si="7"/>
        <v>3216.5116333043261</v>
      </c>
      <c r="G11" s="97"/>
      <c r="H11" s="123" t="s">
        <v>3</v>
      </c>
      <c r="I11" s="97">
        <v>1</v>
      </c>
      <c r="J11" s="4">
        <f t="shared" si="8"/>
        <v>588.34818269971265</v>
      </c>
      <c r="K11" s="75">
        <f t="shared" ref="K11:K21" si="11">LOG(J11/(J10*3/2),1/$F$3)</f>
        <v>-4.9550008654129032</v>
      </c>
      <c r="L11" s="4">
        <f t="shared" ref="L11:L21" si="12">L10+K11</f>
        <v>-8.9100017307650887</v>
      </c>
      <c r="M11" s="47">
        <f t="shared" si="9"/>
        <v>696.99999999997465</v>
      </c>
      <c r="P11" s="123" t="str">
        <f t="shared" si="0"/>
        <v>D</v>
      </c>
      <c r="Q11" s="4">
        <f t="shared" si="10"/>
        <v>295.02492750574794</v>
      </c>
      <c r="R11" s="4">
        <f t="shared" si="1"/>
        <v>-4.9999999999903721</v>
      </c>
      <c r="S11" s="145" t="str">
        <f t="shared" si="2"/>
        <v>D</v>
      </c>
      <c r="T11" s="4">
        <f t="shared" si="3"/>
        <v>295.02492750574794</v>
      </c>
      <c r="U11" s="47">
        <f t="shared" si="4"/>
        <v>-4.9999999999903721</v>
      </c>
    </row>
    <row r="12" spans="2:27" x14ac:dyDescent="0.2">
      <c r="B12" s="85" t="s">
        <v>76</v>
      </c>
      <c r="C12" s="156">
        <v>303</v>
      </c>
      <c r="D12" s="4">
        <f t="shared" si="5"/>
        <v>313.11013128309901</v>
      </c>
      <c r="E12" s="4">
        <f t="shared" si="6"/>
        <v>108.00000000000597</v>
      </c>
      <c r="F12" s="47">
        <f t="shared" si="7"/>
        <v>3021.9858526009216</v>
      </c>
      <c r="G12" s="97"/>
      <c r="H12" s="123" t="s">
        <v>7</v>
      </c>
      <c r="I12" s="97">
        <v>1</v>
      </c>
      <c r="J12" s="4">
        <f t="shared" si="8"/>
        <v>880</v>
      </c>
      <c r="K12" s="75">
        <f t="shared" si="11"/>
        <v>-4.9550008653518001</v>
      </c>
      <c r="L12" s="4">
        <f t="shared" si="12"/>
        <v>-13.865002596116888</v>
      </c>
      <c r="M12" s="47">
        <f t="shared" si="9"/>
        <v>697.0000000000357</v>
      </c>
      <c r="P12" s="123" t="str">
        <f t="shared" si="0"/>
        <v>D#</v>
      </c>
      <c r="Q12" s="4">
        <f t="shared" si="10"/>
        <v>312.5680226083665</v>
      </c>
      <c r="R12" s="4">
        <f t="shared" si="1"/>
        <v>3.000000000015385</v>
      </c>
      <c r="S12" s="145" t="str">
        <f t="shared" si="2"/>
        <v>A</v>
      </c>
      <c r="T12" s="4">
        <f t="shared" si="3"/>
        <v>442.03793673689222</v>
      </c>
      <c r="U12" s="47">
        <f t="shared" si="4"/>
        <v>-7.999999999955195</v>
      </c>
    </row>
    <row r="13" spans="2:27" x14ac:dyDescent="0.2">
      <c r="B13" s="85" t="s">
        <v>4</v>
      </c>
      <c r="C13" s="156">
        <v>388</v>
      </c>
      <c r="D13" s="4">
        <f t="shared" si="5"/>
        <v>328.86683469968153</v>
      </c>
      <c r="E13" s="4">
        <f t="shared" si="6"/>
        <v>85.000000000003922</v>
      </c>
      <c r="F13" s="47">
        <f t="shared" si="7"/>
        <v>2877.1961390014217</v>
      </c>
      <c r="G13" s="97"/>
      <c r="H13" s="123" t="s">
        <v>4</v>
      </c>
      <c r="I13" s="97">
        <v>2</v>
      </c>
      <c r="J13" s="4">
        <f t="shared" si="8"/>
        <v>1315.4673387987261</v>
      </c>
      <c r="K13" s="75">
        <f t="shared" si="11"/>
        <v>-5.9550008654133899</v>
      </c>
      <c r="L13" s="4">
        <f t="shared" si="12"/>
        <v>-19.820003461530277</v>
      </c>
      <c r="M13" s="47">
        <f t="shared" si="9"/>
        <v>695.99999999997419</v>
      </c>
      <c r="P13" s="123" t="str">
        <f t="shared" si="0"/>
        <v>E</v>
      </c>
      <c r="Q13" s="4">
        <f t="shared" si="10"/>
        <v>331.15428443042617</v>
      </c>
      <c r="R13" s="4">
        <f t="shared" si="1"/>
        <v>-11.999999999980794</v>
      </c>
      <c r="S13" s="145" t="str">
        <f t="shared" si="2"/>
        <v>E</v>
      </c>
      <c r="T13" s="4">
        <f t="shared" si="3"/>
        <v>331.15428443042617</v>
      </c>
      <c r="U13" s="47">
        <f t="shared" si="4"/>
        <v>-11.999999999980794</v>
      </c>
    </row>
    <row r="14" spans="2:27" x14ac:dyDescent="0.2">
      <c r="B14" s="85" t="s">
        <v>5</v>
      </c>
      <c r="C14" s="156">
        <v>499</v>
      </c>
      <c r="D14" s="4">
        <f t="shared" si="5"/>
        <v>350.64314496329735</v>
      </c>
      <c r="E14" s="4">
        <f t="shared" si="6"/>
        <v>111.00000000000561</v>
      </c>
      <c r="F14" s="47">
        <f t="shared" si="7"/>
        <v>2698.5110093698963</v>
      </c>
      <c r="G14" s="97"/>
      <c r="H14" s="123" t="s">
        <v>8</v>
      </c>
      <c r="I14" s="97">
        <v>2</v>
      </c>
      <c r="J14" s="4">
        <f t="shared" si="8"/>
        <v>1966.425363007118</v>
      </c>
      <c r="K14" s="75">
        <f t="shared" si="11"/>
        <v>-5.9550008653522513</v>
      </c>
      <c r="L14" s="4">
        <f t="shared" si="12"/>
        <v>-25.775004326882527</v>
      </c>
      <c r="M14" s="47">
        <f t="shared" si="9"/>
        <v>696.00000000003524</v>
      </c>
      <c r="P14" s="123" t="str">
        <f t="shared" si="0"/>
        <v>F</v>
      </c>
      <c r="Q14" s="4">
        <f t="shared" si="10"/>
        <v>350.84574289299752</v>
      </c>
      <c r="R14" s="4">
        <f t="shared" si="1"/>
        <v>-0.99999999997535804</v>
      </c>
      <c r="S14" s="145" t="str">
        <f t="shared" si="2"/>
        <v>B</v>
      </c>
      <c r="T14" s="4">
        <f t="shared" si="3"/>
        <v>496.17080790014109</v>
      </c>
      <c r="U14" s="47">
        <f t="shared" si="4"/>
        <v>-15.999999999945759</v>
      </c>
    </row>
    <row r="15" spans="2:27" x14ac:dyDescent="0.2">
      <c r="B15" s="85" t="s">
        <v>70</v>
      </c>
      <c r="C15" s="156">
        <v>584</v>
      </c>
      <c r="D15" s="4">
        <f t="shared" si="5"/>
        <v>368.28862969291487</v>
      </c>
      <c r="E15" s="4">
        <f t="shared" si="6"/>
        <v>85.000000000004306</v>
      </c>
      <c r="F15" s="47">
        <f t="shared" si="7"/>
        <v>2569.2196575075141</v>
      </c>
      <c r="G15" s="97"/>
      <c r="H15" s="123" t="s">
        <v>70</v>
      </c>
      <c r="I15" s="97">
        <v>3</v>
      </c>
      <c r="J15" s="4">
        <f t="shared" si="8"/>
        <v>2946.3090375433189</v>
      </c>
      <c r="K15" s="75">
        <f t="shared" si="11"/>
        <v>-1.9550008654128277</v>
      </c>
      <c r="L15" s="4">
        <f t="shared" si="12"/>
        <v>-27.730005192295355</v>
      </c>
      <c r="M15" s="47">
        <f t="shared" si="9"/>
        <v>699.99999999997465</v>
      </c>
      <c r="P15" s="123" t="str">
        <f t="shared" si="0"/>
        <v>F#</v>
      </c>
      <c r="Q15" s="4">
        <f t="shared" si="10"/>
        <v>371.70811640820091</v>
      </c>
      <c r="R15" s="4">
        <f t="shared" si="1"/>
        <v>-15.999999999970976</v>
      </c>
      <c r="S15" s="145" t="str">
        <f t="shared" si="2"/>
        <v>F#</v>
      </c>
      <c r="T15" s="4">
        <f t="shared" si="3"/>
        <v>371.70811640820091</v>
      </c>
      <c r="U15" s="47">
        <f t="shared" si="4"/>
        <v>-15.999999999970976</v>
      </c>
    </row>
    <row r="16" spans="2:27" x14ac:dyDescent="0.2">
      <c r="B16" s="85" t="s">
        <v>6</v>
      </c>
      <c r="C16" s="156">
        <v>698</v>
      </c>
      <c r="D16" s="4">
        <f t="shared" si="5"/>
        <v>393.3563455523485</v>
      </c>
      <c r="E16" s="4">
        <f t="shared" si="6"/>
        <v>114.00000000000577</v>
      </c>
      <c r="F16" s="47">
        <f t="shared" si="7"/>
        <v>2405.4890628874291</v>
      </c>
      <c r="G16" s="97"/>
      <c r="H16" s="123" t="s">
        <v>74</v>
      </c>
      <c r="I16" s="97">
        <v>4</v>
      </c>
      <c r="J16" s="4">
        <f t="shared" si="8"/>
        <v>4414.4756816168147</v>
      </c>
      <c r="K16" s="75">
        <f t="shared" si="11"/>
        <v>-1.9550008654128277</v>
      </c>
      <c r="L16" s="4">
        <f t="shared" si="12"/>
        <v>-29.685006057708183</v>
      </c>
      <c r="M16" s="47">
        <f t="shared" si="9"/>
        <v>699.99999999997465</v>
      </c>
      <c r="P16" s="123" t="str">
        <f t="shared" si="0"/>
        <v>G</v>
      </c>
      <c r="Q16" s="4">
        <f t="shared" si="10"/>
        <v>393.81103120829766</v>
      </c>
      <c r="R16" s="4">
        <f t="shared" si="1"/>
        <v>-1.999999999965371</v>
      </c>
      <c r="S16" s="145" t="str">
        <f t="shared" si="2"/>
        <v>C#</v>
      </c>
      <c r="T16" s="4">
        <f t="shared" si="3"/>
        <v>278.46645067345429</v>
      </c>
      <c r="U16" s="47">
        <f t="shared" si="4"/>
        <v>-15.999999999995806</v>
      </c>
    </row>
    <row r="17" spans="2:26" x14ac:dyDescent="0.2">
      <c r="B17" s="85" t="s">
        <v>72</v>
      </c>
      <c r="C17" s="156">
        <v>785</v>
      </c>
      <c r="D17" s="4">
        <f t="shared" si="5"/>
        <v>413.62886206385656</v>
      </c>
      <c r="E17" s="4">
        <f t="shared" si="6"/>
        <v>87.000000000004178</v>
      </c>
      <c r="F17" s="47">
        <f t="shared" si="7"/>
        <v>2287.5927524067811</v>
      </c>
      <c r="G17" s="97"/>
      <c r="H17" s="123" t="s">
        <v>72</v>
      </c>
      <c r="I17" s="97">
        <v>4</v>
      </c>
      <c r="J17" s="4">
        <f t="shared" si="8"/>
        <v>6618.0617930217049</v>
      </c>
      <c r="K17" s="75">
        <f t="shared" si="11"/>
        <v>-0.95500086535208151</v>
      </c>
      <c r="L17" s="4">
        <f t="shared" si="12"/>
        <v>-30.640006923060263</v>
      </c>
      <c r="M17" s="47">
        <f t="shared" si="9"/>
        <v>701.00000000003536</v>
      </c>
      <c r="P17" s="123" t="str">
        <f t="shared" si="0"/>
        <v>G#</v>
      </c>
      <c r="Q17" s="4">
        <f t="shared" si="10"/>
        <v>417.22825371676805</v>
      </c>
      <c r="R17" s="4">
        <f t="shared" si="1"/>
        <v>-14.999999999961084</v>
      </c>
      <c r="S17" s="145" t="str">
        <f t="shared" si="2"/>
        <v>G#</v>
      </c>
      <c r="T17" s="4">
        <f t="shared" si="3"/>
        <v>417.22825371676805</v>
      </c>
      <c r="U17" s="47">
        <f t="shared" si="4"/>
        <v>-14.999999999961084</v>
      </c>
    </row>
    <row r="18" spans="2:26" x14ac:dyDescent="0.2">
      <c r="B18" s="85" t="s">
        <v>7</v>
      </c>
      <c r="C18" s="156">
        <v>892</v>
      </c>
      <c r="D18" s="4">
        <f t="shared" si="5"/>
        <v>440</v>
      </c>
      <c r="E18" s="4">
        <f t="shared" si="6"/>
        <v>107.00000000000608</v>
      </c>
      <c r="F18" s="47">
        <f t="shared" si="7"/>
        <v>2150.4872432807783</v>
      </c>
      <c r="G18" s="97"/>
      <c r="H18" s="123" t="s">
        <v>76</v>
      </c>
      <c r="I18" s="97">
        <v>5</v>
      </c>
      <c r="J18" s="4">
        <f t="shared" si="8"/>
        <v>10019.524201059168</v>
      </c>
      <c r="K18" s="75">
        <f t="shared" si="11"/>
        <v>16.044999134589009</v>
      </c>
      <c r="L18" s="4">
        <f t="shared" si="12"/>
        <v>-14.595007788471253</v>
      </c>
      <c r="M18" s="47">
        <f t="shared" si="9"/>
        <v>717.99999999997624</v>
      </c>
      <c r="P18" s="123" t="str">
        <f t="shared" si="0"/>
        <v>A</v>
      </c>
      <c r="Q18" s="4">
        <f t="shared" si="10"/>
        <v>442.03793673689222</v>
      </c>
      <c r="R18" s="4">
        <f t="shared" si="1"/>
        <v>-7.999999999955195</v>
      </c>
      <c r="S18" s="145" t="str">
        <f t="shared" si="2"/>
        <v>D#</v>
      </c>
      <c r="T18" s="4">
        <f t="shared" si="3"/>
        <v>312.5680226083665</v>
      </c>
      <c r="U18" s="47">
        <f t="shared" si="4"/>
        <v>3.000000000015385</v>
      </c>
    </row>
    <row r="19" spans="2:26" x14ac:dyDescent="0.2">
      <c r="B19" s="85" t="s">
        <v>73</v>
      </c>
      <c r="C19" s="156">
        <v>1004</v>
      </c>
      <c r="D19" s="4">
        <f t="shared" si="5"/>
        <v>469.4061868959588</v>
      </c>
      <c r="E19" s="4">
        <f t="shared" si="6"/>
        <v>112.00000000000551</v>
      </c>
      <c r="F19" s="47">
        <f t="shared" si="7"/>
        <v>2015.768887284107</v>
      </c>
      <c r="G19" s="97"/>
      <c r="H19" s="123" t="s">
        <v>73</v>
      </c>
      <c r="I19" s="97">
        <v>5</v>
      </c>
      <c r="J19" s="4">
        <f t="shared" si="8"/>
        <v>15020.997980670681</v>
      </c>
      <c r="K19" s="75">
        <f t="shared" si="11"/>
        <v>-0.95500086535227391</v>
      </c>
      <c r="L19" s="4">
        <f t="shared" si="12"/>
        <v>-15.550008653823527</v>
      </c>
      <c r="M19" s="47">
        <f t="shared" si="9"/>
        <v>701.00000000003513</v>
      </c>
      <c r="P19" s="123" t="str">
        <f t="shared" si="0"/>
        <v>A#</v>
      </c>
      <c r="Q19" s="4">
        <f t="shared" si="10"/>
        <v>468.32288027946623</v>
      </c>
      <c r="R19" s="4">
        <f t="shared" si="1"/>
        <v>4.0000000000501421</v>
      </c>
      <c r="S19" s="145" t="str">
        <f t="shared" si="2"/>
        <v>A#</v>
      </c>
      <c r="T19" s="4">
        <f t="shared" si="3"/>
        <v>468.32288027946623</v>
      </c>
      <c r="U19" s="47">
        <f t="shared" si="4"/>
        <v>4.0000000000501421</v>
      </c>
    </row>
    <row r="20" spans="2:26" x14ac:dyDescent="0.2">
      <c r="B20" s="85" t="s">
        <v>8</v>
      </c>
      <c r="C20" s="156">
        <v>1084</v>
      </c>
      <c r="D20" s="4">
        <f t="shared" si="5"/>
        <v>491.6063407517795</v>
      </c>
      <c r="E20" s="4">
        <f t="shared" si="6"/>
        <v>80.000000000004064</v>
      </c>
      <c r="F20" s="47">
        <f t="shared" si="7"/>
        <v>1924.7399974470679</v>
      </c>
      <c r="G20" s="97"/>
      <c r="H20" s="123" t="s">
        <v>5</v>
      </c>
      <c r="I20" s="97">
        <v>6</v>
      </c>
      <c r="J20" s="4">
        <f t="shared" si="8"/>
        <v>22441.16127765103</v>
      </c>
      <c r="K20" s="75">
        <f t="shared" si="11"/>
        <v>-6.9550008654131972</v>
      </c>
      <c r="L20" s="4">
        <f t="shared" si="12"/>
        <v>-22.505009519236722</v>
      </c>
      <c r="M20" s="47">
        <f t="shared" si="9"/>
        <v>694.99999999997419</v>
      </c>
      <c r="P20" s="123" t="str">
        <f t="shared" si="0"/>
        <v>B</v>
      </c>
      <c r="Q20" s="4">
        <f t="shared" si="10"/>
        <v>496.17080790014109</v>
      </c>
      <c r="R20" s="4">
        <f t="shared" si="1"/>
        <v>-15.999999999945759</v>
      </c>
      <c r="S20" s="145" t="str">
        <f t="shared" si="2"/>
        <v>F</v>
      </c>
      <c r="T20" s="4">
        <f t="shared" si="3"/>
        <v>350.84574289299752</v>
      </c>
      <c r="U20" s="47">
        <f t="shared" si="4"/>
        <v>-0.99999999997535804</v>
      </c>
    </row>
    <row r="21" spans="2:26" x14ac:dyDescent="0.2">
      <c r="B21" s="87" t="s">
        <v>78</v>
      </c>
      <c r="C21" s="157">
        <v>1200</v>
      </c>
      <c r="D21" s="53">
        <f t="shared" si="5"/>
        <v>525.6746594686532</v>
      </c>
      <c r="E21" s="53">
        <f t="shared" si="6"/>
        <v>116.00000000000576</v>
      </c>
      <c r="F21" s="48">
        <f t="shared" si="7"/>
        <v>1799.9999999999366</v>
      </c>
      <c r="G21" s="97"/>
      <c r="H21" s="108" t="s">
        <v>78</v>
      </c>
      <c r="I21" s="98">
        <v>6</v>
      </c>
      <c r="J21" s="53">
        <f t="shared" si="8"/>
        <v>33643.178205993805</v>
      </c>
      <c r="K21" s="88">
        <f t="shared" si="11"/>
        <v>-0.95500086535169693</v>
      </c>
      <c r="L21" s="53">
        <f t="shared" si="12"/>
        <v>-23.460010384588418</v>
      </c>
      <c r="M21" s="48">
        <f t="shared" si="9"/>
        <v>701.00000000003558</v>
      </c>
      <c r="P21" s="108" t="str">
        <f t="shared" si="0"/>
        <v>c oct.</v>
      </c>
      <c r="Q21" s="53">
        <f t="shared" si="10"/>
        <v>525.67465946863501</v>
      </c>
      <c r="R21" s="53">
        <f t="shared" si="1"/>
        <v>5.9968144151414224E-11</v>
      </c>
      <c r="S21" s="151" t="str">
        <f t="shared" si="2"/>
        <v>c oct.</v>
      </c>
      <c r="T21" s="53">
        <f t="shared" si="3"/>
        <v>525.67465946863501</v>
      </c>
      <c r="U21" s="48">
        <f t="shared" si="4"/>
        <v>5.9968144151414224E-11</v>
      </c>
    </row>
    <row r="22" spans="2:26" x14ac:dyDescent="0.2">
      <c r="B22" s="86"/>
      <c r="H22" s="18"/>
      <c r="P22" s="18"/>
      <c r="S22" s="18"/>
    </row>
    <row r="23" spans="2:26" x14ac:dyDescent="0.2">
      <c r="B23" s="86"/>
      <c r="H23" s="18"/>
      <c r="P23" s="18"/>
      <c r="S23" s="18"/>
    </row>
    <row r="24" spans="2:26" ht="18" x14ac:dyDescent="0.2">
      <c r="B24" s="86"/>
      <c r="H24" s="18"/>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x14ac:dyDescent="0.2">
      <c r="B26" s="83" t="s">
        <v>130</v>
      </c>
      <c r="C26" s="84" t="s">
        <v>131</v>
      </c>
      <c r="D26" s="84" t="s">
        <v>132</v>
      </c>
      <c r="E26" s="84" t="str" cm="1">
        <f t="array" aca="1" ref="E26" ca="1">_xlfn.CONCAT(_xlfn.TEXTAFTER(CELL("filename",A2),"]")," Interval in cents")</f>
        <v>Silbermann Freiberg 1 Interval in cents</v>
      </c>
      <c r="F26" s="84" t="s">
        <v>18</v>
      </c>
      <c r="G26" s="52" t="str">
        <f>_xlfn.CONCAT("diff ",$F$2)</f>
        <v>diff 1/1 Cents</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3">LOG(D27*VLOOKUP(C27,Master_Frequencies,2,FALSE)/VLOOKUP(B27,Master_Frequencies,2,FALSE),2)*1200</f>
        <v>388.00000000001967</v>
      </c>
      <c r="F27" s="4">
        <f t="shared" ref="F27" si="14">VLOOKUP(B27,Master_Frequencies,2,FALSE)*5/4</f>
        <v>328.54666216789667</v>
      </c>
      <c r="G27" s="47">
        <f t="shared" ref="G27" si="15">IF($D$2="Cents",LOG(D27*VLOOKUP(C27,Master_Frequencies,2,FALSE)/F27,2)*1200*$D$3,LOG(D27*VLOOKUP(C27,Master_Frequencies,2,FALSE)/F27,$F$3))</f>
        <v>1.6862861351849427</v>
      </c>
      <c r="I27" s="123" t="s">
        <v>2</v>
      </c>
      <c r="J27" s="145" t="s">
        <v>6</v>
      </c>
      <c r="K27" s="97">
        <v>1</v>
      </c>
      <c r="L27" s="191">
        <f t="shared" ref="L27" si="16">K27*VLOOKUP(J27,Master_Frequencies,2,FALSE)/VLOOKUP(I27,Master_Frequencies,2,FALSE)</f>
        <v>1.4965771640959946</v>
      </c>
      <c r="M27" s="145" t="s">
        <v>2</v>
      </c>
      <c r="N27" s="145" t="s">
        <v>4</v>
      </c>
      <c r="O27" s="191">
        <f t="shared" ref="O27" si="17">D27*VLOOKUP(N27,Master_Frequencies,2,FALSE)/VLOOKUP(M27,Master_Frequencies,2,FALSE)</f>
        <v>1.251218139493764</v>
      </c>
      <c r="Q27" s="99">
        <v>1</v>
      </c>
      <c r="R27" s="18">
        <f>$D$9*Q27</f>
        <v>262.83732973431734</v>
      </c>
      <c r="S27" s="97">
        <v>0</v>
      </c>
      <c r="T27" s="4">
        <f>R27/POWER(2,S27)</f>
        <v>262.83732973431734</v>
      </c>
      <c r="U27" s="18" t="str" cm="1">
        <f t="array" ref="U27">_xlfn.XLOOKUP(0,ABS($C$43:$C$55-T27),$B$43:$B$55,,1)</f>
        <v>C</v>
      </c>
      <c r="V27" s="47">
        <f>LOG(T27/VLOOKUP(U27,$B$9:$D$21,3,FALSE),2)*1200</f>
        <v>0</v>
      </c>
      <c r="X27" s="85" t="s">
        <v>2</v>
      </c>
      <c r="Y27" s="4">
        <f t="shared" ref="Y27" si="18">VLOOKUP(X27,Master_Frequencies,2,FALSE)/POWER(2,$Z$25)</f>
        <v>131.41866486715867</v>
      </c>
      <c r="Z27" s="47">
        <f t="shared" ref="Z27" si="19">VLOOKUP(X27,Master_Frequencies,2,FALSE)*POWER(2,$Z$25)</f>
        <v>525.67465946863467</v>
      </c>
    </row>
    <row r="28" spans="2:26" x14ac:dyDescent="0.2">
      <c r="B28" s="123" t="s">
        <v>74</v>
      </c>
      <c r="C28" s="145" t="s">
        <v>5</v>
      </c>
      <c r="D28" s="97">
        <v>1</v>
      </c>
      <c r="E28" s="4">
        <f t="shared" ref="E28" si="20">LOG(D28*VLOOKUP(C28,Master_Frequencies,2,FALSE)/VLOOKUP(B28,Master_Frequencies,2,FALSE),2)*1200</f>
        <v>415.00000000002098</v>
      </c>
      <c r="F28" s="4">
        <f t="shared" ref="F28" si="21">VLOOKUP(B28,Master_Frequencies,2,FALSE)*5/4</f>
        <v>344.88091262631366</v>
      </c>
      <c r="G28" s="47">
        <f t="shared" ref="G28" si="22">IF($D$2="Cents",LOG(D28*VLOOKUP(C28,Master_Frequencies,2,FALSE)/F28,2)*1200*$D$3,LOG(D28*VLOOKUP(C28,Master_Frequencies,2,FALSE)/F28,$F$3))</f>
        <v>28.686286135185874</v>
      </c>
      <c r="I28" s="123" t="s">
        <v>74</v>
      </c>
      <c r="J28" s="145" t="s">
        <v>72</v>
      </c>
      <c r="K28" s="97">
        <v>1</v>
      </c>
      <c r="L28" s="191">
        <f t="shared" ref="L28" si="23">K28*VLOOKUP(J28,Master_Frequencies,2,FALSE)/VLOOKUP(I28,Master_Frequencies,2,FALSE)</f>
        <v>1.4991727829833283</v>
      </c>
      <c r="M28" s="145" t="s">
        <v>74</v>
      </c>
      <c r="N28" s="145" t="s">
        <v>5</v>
      </c>
      <c r="O28" s="191">
        <f t="shared" ref="O28" si="24">D28*VLOOKUP(N28,Master_Frequencies,2,FALSE)/VLOOKUP(M28,Master_Frequencies,2,FALSE)</f>
        <v>1.2708848624482563</v>
      </c>
      <c r="Q28" s="99">
        <v>2</v>
      </c>
      <c r="R28" s="18">
        <f t="shared" ref="R28:R39" si="25">$D$9*Q28</f>
        <v>525.67465946863467</v>
      </c>
      <c r="S28" s="97">
        <v>0</v>
      </c>
      <c r="T28" s="4">
        <f t="shared" ref="T28:T39" si="26">R28/POWER(2,S28)</f>
        <v>525.67465946863467</v>
      </c>
      <c r="U28" s="18" t="str" cm="1">
        <f t="array" ref="U28">_xlfn.XLOOKUP(0,ABS($C$43:$C$55-T28),$B$43:$B$55,,1)</f>
        <v>c oct.</v>
      </c>
      <c r="V28" s="47">
        <f t="shared" ref="V28:V39" si="27">LOG(T28/VLOOKUP(U28,$B$9:$D$21,3,FALSE),2)*1200</f>
        <v>-6.112137769278972E-11</v>
      </c>
      <c r="X28" s="85" t="s">
        <v>74</v>
      </c>
      <c r="Y28" s="4">
        <f t="shared" ref="Y28" si="28">VLOOKUP(X28,Master_Frequencies,2,FALSE)/POWER(2,$Z$25)</f>
        <v>137.95236505052546</v>
      </c>
      <c r="Z28" s="47">
        <f t="shared" ref="Z28" si="29">VLOOKUP(X28,Master_Frequencies,2,FALSE)*POWER(2,$Z$25)</f>
        <v>551.80946020210183</v>
      </c>
    </row>
    <row r="29" spans="2:26" x14ac:dyDescent="0.2">
      <c r="B29" s="123" t="s">
        <v>3</v>
      </c>
      <c r="C29" s="145" t="s">
        <v>70</v>
      </c>
      <c r="D29" s="97">
        <v>1</v>
      </c>
      <c r="E29" s="4">
        <f t="shared" ref="E29" si="30">LOG(D29*VLOOKUP(C29,Master_Frequencies,2,FALSE)/VLOOKUP(B29,Master_Frequencies,2,FALSE),2)*1200</f>
        <v>389.00000000001978</v>
      </c>
      <c r="F29" s="4">
        <f t="shared" ref="F29" si="31">VLOOKUP(B29,Master_Frequencies,2,FALSE)*5/4</f>
        <v>367.71761418732041</v>
      </c>
      <c r="G29" s="47">
        <f t="shared" ref="G29" si="32">IF($D$2="Cents",LOG(D29*VLOOKUP(C29,Master_Frequencies,2,FALSE)/F29,2)*1200*$D$3,LOG(D29*VLOOKUP(C29,Master_Frequencies,2,FALSE)/F29,$F$3))</f>
        <v>2.6862861351850351</v>
      </c>
      <c r="I29" s="123" t="s">
        <v>3</v>
      </c>
      <c r="J29" s="145" t="s">
        <v>7</v>
      </c>
      <c r="K29" s="97">
        <v>1</v>
      </c>
      <c r="L29" s="191">
        <f t="shared" ref="L29" si="33">K29*VLOOKUP(J29,Master_Frequencies,2,FALSE)/VLOOKUP(I29,Master_Frequencies,2,FALSE)</f>
        <v>1.4957129568447118</v>
      </c>
      <c r="M29" s="145" t="s">
        <v>3</v>
      </c>
      <c r="N29" s="145" t="s">
        <v>70</v>
      </c>
      <c r="O29" s="191">
        <f t="shared" ref="O29" si="34">D29*VLOOKUP(N29,Master_Frequencies,2,FALSE)/VLOOKUP(M29,Master_Frequencies,2,FALSE)</f>
        <v>1.2519410802051747</v>
      </c>
      <c r="Q29" s="99">
        <v>3</v>
      </c>
      <c r="R29" s="18">
        <f t="shared" si="25"/>
        <v>788.51198920295201</v>
      </c>
      <c r="S29" s="97">
        <v>1</v>
      </c>
      <c r="T29" s="4">
        <f t="shared" si="26"/>
        <v>394.255994601476</v>
      </c>
      <c r="U29" s="18" t="str" cm="1">
        <f t="array" ref="U29">_xlfn.XLOOKUP(0,ABS($C$43:$C$55-T29),$B$43:$B$55,,1)</f>
        <v>G</v>
      </c>
      <c r="V29" s="47">
        <f t="shared" si="27"/>
        <v>3.9550008653521727</v>
      </c>
      <c r="X29" s="85" t="s">
        <v>3</v>
      </c>
      <c r="Y29" s="4">
        <f t="shared" ref="Y29" si="35">VLOOKUP(X29,Master_Frequencies,2,FALSE)/POWER(2,$Z$25)</f>
        <v>147.08704567492816</v>
      </c>
      <c r="Z29" s="47">
        <f t="shared" ref="Z29" si="36">VLOOKUP(X29,Master_Frequencies,2,FALSE)*POWER(2,$Z$25)</f>
        <v>588.34818269971265</v>
      </c>
    </row>
    <row r="30" spans="2:26" x14ac:dyDescent="0.2">
      <c r="B30" s="123" t="s">
        <v>76</v>
      </c>
      <c r="C30" s="145" t="s">
        <v>6</v>
      </c>
      <c r="D30" s="97">
        <v>1</v>
      </c>
      <c r="E30" s="4">
        <f t="shared" ref="E30" si="37">LOG(D30*VLOOKUP(C30,Master_Frequencies,2,FALSE)/VLOOKUP(B30,Master_Frequencies,2,FALSE),2)*1200</f>
        <v>395.00000000001972</v>
      </c>
      <c r="F30" s="4">
        <f t="shared" ref="F30" si="38">VLOOKUP(B30,Master_Frequencies,2,FALSE)*5/4</f>
        <v>391.38766410387376</v>
      </c>
      <c r="G30" s="47">
        <f t="shared" ref="G30" si="39">IF($D$2="Cents",LOG(D30*VLOOKUP(C30,Master_Frequencies,2,FALSE)/F30,2)*1200*$D$3,LOG(D30*VLOOKUP(C30,Master_Frequencies,2,FALSE)/F30,$F$3))</f>
        <v>8.6862861351847744</v>
      </c>
      <c r="I30" s="123" t="s">
        <v>76</v>
      </c>
      <c r="J30" s="145" t="s">
        <v>73</v>
      </c>
      <c r="K30" s="97">
        <v>1</v>
      </c>
      <c r="L30" s="191">
        <f t="shared" ref="L30" si="40">K30*VLOOKUP(J30,Master_Frequencies,2,FALSE)/VLOOKUP(I30,Master_Frequencies,2,FALSE)</f>
        <v>1.4991727829833281</v>
      </c>
      <c r="M30" s="145" t="s">
        <v>76</v>
      </c>
      <c r="N30" s="145" t="s">
        <v>6</v>
      </c>
      <c r="O30" s="191">
        <f t="shared" ref="O30" si="41">D30*VLOOKUP(N30,Master_Frequencies,2,FALSE)/VLOOKUP(M30,Master_Frequencies,2,FALSE)</f>
        <v>1.2562875047843622</v>
      </c>
      <c r="Q30" s="99">
        <v>4</v>
      </c>
      <c r="R30" s="18">
        <f t="shared" si="25"/>
        <v>1051.3493189372693</v>
      </c>
      <c r="S30" s="97">
        <v>1</v>
      </c>
      <c r="T30" s="4">
        <f t="shared" si="26"/>
        <v>525.67465946863467</v>
      </c>
      <c r="U30" s="18" t="str" cm="1">
        <f t="array" ref="U30">_xlfn.XLOOKUP(0,ABS($C$43:$C$55-T30),$B$43:$B$55,,1)</f>
        <v>c oct.</v>
      </c>
      <c r="V30" s="47">
        <f t="shared" si="27"/>
        <v>-6.112137769278972E-11</v>
      </c>
      <c r="X30" s="85" t="s">
        <v>76</v>
      </c>
      <c r="Y30" s="4">
        <f t="shared" ref="Y30" si="42">VLOOKUP(X30,Master_Frequencies,2,FALSE)/POWER(2,$Z$25)</f>
        <v>156.5550656415495</v>
      </c>
      <c r="Z30" s="47">
        <f t="shared" ref="Z30" si="43">VLOOKUP(X30,Master_Frequencies,2,FALSE)*POWER(2,$Z$25)</f>
        <v>626.22026256619802</v>
      </c>
    </row>
    <row r="31" spans="2:26" x14ac:dyDescent="0.2">
      <c r="B31" s="123" t="s">
        <v>4</v>
      </c>
      <c r="C31" s="145" t="s">
        <v>72</v>
      </c>
      <c r="D31" s="97">
        <v>1</v>
      </c>
      <c r="E31" s="4">
        <f t="shared" ref="E31" si="44">LOG(D31*VLOOKUP(C31,Master_Frequencies,2,FALSE)/VLOOKUP(B31,Master_Frequencies,2,FALSE),2)*1200</f>
        <v>397.0000000000199</v>
      </c>
      <c r="F31" s="4">
        <f t="shared" ref="F31" si="45">VLOOKUP(B31,Master_Frequencies,2,FALSE)*5/4</f>
        <v>411.0835433746019</v>
      </c>
      <c r="G31" s="47">
        <f t="shared" ref="G31" si="46">IF($D$2="Cents",LOG(D31*VLOOKUP(C31,Master_Frequencies,2,FALSE)/F31,2)*1200*$D$3,LOG(D31*VLOOKUP(C31,Master_Frequencies,2,FALSE)/F31,$F$3))</f>
        <v>10.686286135185361</v>
      </c>
      <c r="I31" s="123" t="s">
        <v>4</v>
      </c>
      <c r="J31" s="145" t="s">
        <v>8</v>
      </c>
      <c r="K31" s="97">
        <v>1</v>
      </c>
      <c r="L31" s="191">
        <f t="shared" ref="L31" si="47">K31*VLOOKUP(J31,Master_Frequencies,2,FALSE)/VLOOKUP(I31,Master_Frequencies,2,FALSE)</f>
        <v>1.4948492486349689</v>
      </c>
      <c r="M31" s="145" t="s">
        <v>4</v>
      </c>
      <c r="N31" s="145" t="s">
        <v>72</v>
      </c>
      <c r="O31" s="191">
        <f t="shared" ref="O31" si="48">D31*VLOOKUP(N31,Master_Frequencies,2,FALSE)/VLOOKUP(M31,Master_Frequencies,2,FALSE)</f>
        <v>1.2577396636592406</v>
      </c>
      <c r="Q31" s="99">
        <v>5</v>
      </c>
      <c r="R31" s="18">
        <f t="shared" si="25"/>
        <v>1314.1866486715867</v>
      </c>
      <c r="S31" s="97">
        <v>2</v>
      </c>
      <c r="T31" s="4">
        <f t="shared" si="26"/>
        <v>328.54666216789667</v>
      </c>
      <c r="U31" s="18" t="str" cm="1">
        <f t="array" ref="U31">_xlfn.XLOOKUP(0,ABS($C$43:$C$55-T31),$B$43:$B$55,,1)</f>
        <v>E</v>
      </c>
      <c r="V31" s="47">
        <f t="shared" si="27"/>
        <v>-1.6862861351849534</v>
      </c>
      <c r="X31" s="85" t="s">
        <v>4</v>
      </c>
      <c r="Y31" s="4">
        <f t="shared" ref="Y31" si="49">VLOOKUP(X31,Master_Frequencies,2,FALSE)/POWER(2,$Z$25)</f>
        <v>164.43341734984077</v>
      </c>
      <c r="Z31" s="47">
        <f t="shared" ref="Z31" si="50">VLOOKUP(X31,Master_Frequencies,2,FALSE)*POWER(2,$Z$25)</f>
        <v>657.73366939936307</v>
      </c>
    </row>
    <row r="32" spans="2:26" x14ac:dyDescent="0.2">
      <c r="B32" s="123" t="s">
        <v>5</v>
      </c>
      <c r="C32" s="145" t="s">
        <v>7</v>
      </c>
      <c r="D32" s="97">
        <v>1</v>
      </c>
      <c r="E32" s="4">
        <f t="shared" ref="E32" si="51">LOG(D32*VLOOKUP(C32,Master_Frequencies,2,FALSE)/VLOOKUP(B32,Master_Frequencies,2,FALSE),2)*1200</f>
        <v>393.00000000002029</v>
      </c>
      <c r="F32" s="4">
        <f t="shared" ref="F32" si="52">VLOOKUP(B32,Master_Frequencies,2,FALSE)*5/4</f>
        <v>438.30393120412168</v>
      </c>
      <c r="G32" s="47">
        <f t="shared" ref="G32" si="53">IF($D$2="Cents",LOG(D32*VLOOKUP(C32,Master_Frequencies,2,FALSE)/F32,2)*1200*$D$3,LOG(D32*VLOOKUP(C32,Master_Frequencies,2,FALSE)/F32,$F$3))</f>
        <v>6.6862861351852727</v>
      </c>
      <c r="I32" s="123" t="s">
        <v>5</v>
      </c>
      <c r="J32" s="145" t="s">
        <v>78</v>
      </c>
      <c r="K32" s="97">
        <v>1</v>
      </c>
      <c r="L32" s="191">
        <f t="shared" ref="L32" si="54">K32*VLOOKUP(J32,Master_Frequencies,2,FALSE)/VLOOKUP(I32,Master_Frequencies,2,FALSE)</f>
        <v>1.4991727829833286</v>
      </c>
      <c r="M32" s="145" t="s">
        <v>5</v>
      </c>
      <c r="N32" s="145" t="s">
        <v>7</v>
      </c>
      <c r="O32" s="191">
        <f t="shared" ref="O32" si="55">D32*VLOOKUP(N32,Master_Frequencies,2,FALSE)/VLOOKUP(M32,Master_Frequencies,2,FALSE)</f>
        <v>1.2548370225405543</v>
      </c>
      <c r="Q32" s="99">
        <v>6</v>
      </c>
      <c r="R32" s="18">
        <f t="shared" si="25"/>
        <v>1577.023978405904</v>
      </c>
      <c r="S32" s="97">
        <v>2</v>
      </c>
      <c r="T32" s="4">
        <f t="shared" si="26"/>
        <v>394.255994601476</v>
      </c>
      <c r="U32" s="18" t="str" cm="1">
        <f t="array" ref="U32">_xlfn.XLOOKUP(0,ABS($C$43:$C$55-T32),$B$43:$B$55,,1)</f>
        <v>G</v>
      </c>
      <c r="V32" s="47">
        <f t="shared" si="27"/>
        <v>3.9550008653521727</v>
      </c>
      <c r="X32" s="85" t="s">
        <v>5</v>
      </c>
      <c r="Y32" s="4">
        <f t="shared" ref="Y32" si="56">VLOOKUP(X32,Master_Frequencies,2,FALSE)/POWER(2,$Z$25)</f>
        <v>175.32157248164867</v>
      </c>
      <c r="Z32" s="47">
        <f t="shared" ref="Z32" si="57">VLOOKUP(X32,Master_Frequencies,2,FALSE)*POWER(2,$Z$25)</f>
        <v>701.28628992659469</v>
      </c>
    </row>
    <row r="33" spans="2:26" x14ac:dyDescent="0.2">
      <c r="B33" s="123" t="s">
        <v>70</v>
      </c>
      <c r="C33" s="145" t="s">
        <v>73</v>
      </c>
      <c r="D33" s="97">
        <v>1</v>
      </c>
      <c r="E33" s="4">
        <f t="shared" ref="E33" si="58">LOG(D33*VLOOKUP(C33,Master_Frequencies,2,FALSE)/VLOOKUP(B33,Master_Frequencies,2,FALSE),2)*1200</f>
        <v>420.00000000002132</v>
      </c>
      <c r="F33" s="4">
        <f t="shared" ref="F33" si="59">VLOOKUP(B33,Master_Frequencies,2,FALSE)*5/4</f>
        <v>460.36078711614357</v>
      </c>
      <c r="G33" s="47">
        <f t="shared" ref="G33" si="60">IF($D$2="Cents",LOG(D33*VLOOKUP(C33,Master_Frequencies,2,FALSE)/F33,2)*1200*$D$3,LOG(D33*VLOOKUP(C33,Master_Frequencies,2,FALSE)/F33,$F$3))</f>
        <v>33.686286135186414</v>
      </c>
      <c r="I33" s="123" t="s">
        <v>70</v>
      </c>
      <c r="J33" s="145" t="s">
        <v>74</v>
      </c>
      <c r="K33" s="97">
        <v>2</v>
      </c>
      <c r="L33" s="191">
        <f t="shared" ref="L33" si="61">K33*VLOOKUP(J33,Master_Frequencies,2,FALSE)/VLOOKUP(I33,Master_Frequencies,2,FALSE)</f>
        <v>1.4983070768766595</v>
      </c>
      <c r="M33" s="145" t="s">
        <v>70</v>
      </c>
      <c r="N33" s="145" t="s">
        <v>73</v>
      </c>
      <c r="O33" s="191">
        <f t="shared" ref="O33" si="62">D33*VLOOKUP(N33,Master_Frequencies,2,FALSE)/VLOOKUP(M33,Master_Frequencies,2,FALSE)</f>
        <v>1.2745606273192778</v>
      </c>
      <c r="Q33" s="99">
        <v>7</v>
      </c>
      <c r="R33" s="18">
        <f t="shared" si="25"/>
        <v>1839.8613081402214</v>
      </c>
      <c r="S33" s="97">
        <v>2</v>
      </c>
      <c r="T33" s="4">
        <f t="shared" si="26"/>
        <v>459.96532703505534</v>
      </c>
      <c r="U33" s="18" t="str" cm="1">
        <f t="array" ref="U33">_xlfn.XLOOKUP(0,ABS($C$43:$C$55-T33),$B$43:$B$55,,1)</f>
        <v>A#</v>
      </c>
      <c r="V33" s="47">
        <f t="shared" si="27"/>
        <v>-35.174093530926086</v>
      </c>
      <c r="X33" s="85" t="s">
        <v>70</v>
      </c>
      <c r="Y33" s="4">
        <f t="shared" ref="Y33" si="63">VLOOKUP(X33,Master_Frequencies,2,FALSE)/POWER(2,$Z$25)</f>
        <v>184.14431484645743</v>
      </c>
      <c r="Z33" s="47">
        <f t="shared" ref="Z33" si="64">VLOOKUP(X33,Master_Frequencies,2,FALSE)*POWER(2,$Z$25)</f>
        <v>736.57725938582973</v>
      </c>
    </row>
    <row r="34" spans="2:26" x14ac:dyDescent="0.2">
      <c r="B34" s="123" t="s">
        <v>6</v>
      </c>
      <c r="C34" s="145" t="s">
        <v>8</v>
      </c>
      <c r="D34" s="97">
        <v>1</v>
      </c>
      <c r="E34" s="4">
        <f t="shared" ref="E34" si="65">LOG(D34*VLOOKUP(C34,Master_Frequencies,2,FALSE)/VLOOKUP(B34,Master_Frequencies,2,FALSE),2)*1200</f>
        <v>386.00000000001978</v>
      </c>
      <c r="F34" s="4">
        <f t="shared" ref="F34" si="66">VLOOKUP(B34,Master_Frequencies,2,FALSE)*5/4</f>
        <v>491.69543194043564</v>
      </c>
      <c r="G34" s="47">
        <f t="shared" ref="G34" si="67">IF($D$2="Cents",LOG(D34*VLOOKUP(C34,Master_Frequencies,2,FALSE)/F34,2)*1200*$D$3,LOG(D34*VLOOKUP(C34,Master_Frequencies,2,FALSE)/F34,$F$3))</f>
        <v>-0.31371386481515834</v>
      </c>
      <c r="I34" s="123" t="s">
        <v>6</v>
      </c>
      <c r="J34" s="145" t="s">
        <v>3</v>
      </c>
      <c r="K34" s="97">
        <v>2</v>
      </c>
      <c r="L34" s="191">
        <f t="shared" ref="L34" si="68">K34*VLOOKUP(J34,Master_Frequencies,2,FALSE)/VLOOKUP(I34,Master_Frequencies,2,FALSE)</f>
        <v>1.4957129568446592</v>
      </c>
      <c r="M34" s="145" t="s">
        <v>6</v>
      </c>
      <c r="N34" s="145" t="s">
        <v>8</v>
      </c>
      <c r="O34" s="191">
        <f t="shared" ref="O34" si="69">D34*VLOOKUP(N34,Master_Frequencies,2,FALSE)/VLOOKUP(M34,Master_Frequencies,2,FALSE)</f>
        <v>1.2497735102289222</v>
      </c>
      <c r="Q34" s="99">
        <v>8</v>
      </c>
      <c r="R34" s="18">
        <f t="shared" si="25"/>
        <v>2102.6986378745387</v>
      </c>
      <c r="S34" s="97">
        <v>3</v>
      </c>
      <c r="T34" s="4">
        <f t="shared" si="26"/>
        <v>262.83732973431734</v>
      </c>
      <c r="U34" s="18" t="str" cm="1">
        <f t="array" ref="U34">_xlfn.XLOOKUP(0,ABS($C$43:$C$55-T34),$B$43:$B$55,,1)</f>
        <v>C</v>
      </c>
      <c r="V34" s="47">
        <f t="shared" si="27"/>
        <v>0</v>
      </c>
      <c r="X34" s="85" t="s">
        <v>6</v>
      </c>
      <c r="Y34" s="4">
        <f t="shared" ref="Y34" si="70">VLOOKUP(X34,Master_Frequencies,2,FALSE)/POWER(2,$Z$25)</f>
        <v>196.67817277617425</v>
      </c>
      <c r="Z34" s="47">
        <f t="shared" ref="Z34" si="71">VLOOKUP(X34,Master_Frequencies,2,FALSE)*POWER(2,$Z$25)</f>
        <v>786.712691104697</v>
      </c>
    </row>
    <row r="35" spans="2:26" x14ac:dyDescent="0.2">
      <c r="B35" s="123" t="s">
        <v>72</v>
      </c>
      <c r="C35" s="145" t="s">
        <v>78</v>
      </c>
      <c r="D35" s="97">
        <v>1</v>
      </c>
      <c r="E35" s="4">
        <f t="shared" ref="E35" si="72">LOG(D35*VLOOKUP(C35,Master_Frequencies,2,FALSE)/VLOOKUP(B35,Master_Frequencies,2,FALSE),2)*1200</f>
        <v>415.00000000002132</v>
      </c>
      <c r="F35" s="4">
        <f t="shared" ref="F35" si="73">VLOOKUP(B35,Master_Frequencies,2,FALSE)*5/4</f>
        <v>517.0360775798207</v>
      </c>
      <c r="G35" s="47">
        <f t="shared" ref="G35" si="74">IF($D$2="Cents",LOG(D35*VLOOKUP(C35,Master_Frequencies,2,FALSE)/F35,2)*1200*$D$3,LOG(D35*VLOOKUP(C35,Master_Frequencies,2,FALSE)/F35,$F$3))</f>
        <v>28.686286135186631</v>
      </c>
      <c r="I35" s="123" t="s">
        <v>72</v>
      </c>
      <c r="J35" s="145" t="s">
        <v>76</v>
      </c>
      <c r="K35" s="97">
        <v>2</v>
      </c>
      <c r="L35" s="191">
        <f t="shared" ref="L35" si="75">K35*VLOOKUP(J35,Master_Frequencies,2,FALSE)/VLOOKUP(I35,Master_Frequencies,2,FALSE)</f>
        <v>1.5139665531113768</v>
      </c>
      <c r="M35" s="145" t="s">
        <v>72</v>
      </c>
      <c r="N35" s="145" t="s">
        <v>78</v>
      </c>
      <c r="O35" s="191">
        <f t="shared" ref="O35" si="76">D35*VLOOKUP(N35,Master_Frequencies,2,FALSE)/VLOOKUP(M35,Master_Frequencies,2,FALSE)</f>
        <v>1.2708848624482565</v>
      </c>
      <c r="Q35" s="99">
        <v>9</v>
      </c>
      <c r="R35" s="18">
        <f t="shared" si="25"/>
        <v>2365.535967608856</v>
      </c>
      <c r="S35" s="97">
        <v>3</v>
      </c>
      <c r="T35" s="4">
        <f t="shared" si="26"/>
        <v>295.691995951107</v>
      </c>
      <c r="U35" s="18" t="str" cm="1">
        <f t="array" ref="U35">_xlfn.XLOOKUP(0,ABS($C$43:$C$55-T35),$B$43:$B$55,,1)</f>
        <v>D</v>
      </c>
      <c r="V35" s="47">
        <f t="shared" si="27"/>
        <v>8.9100017307647157</v>
      </c>
      <c r="X35" s="85" t="s">
        <v>72</v>
      </c>
      <c r="Y35" s="4">
        <f t="shared" ref="Y35" si="77">VLOOKUP(X35,Master_Frequencies,2,FALSE)/POWER(2,$Z$25)</f>
        <v>206.81443103192828</v>
      </c>
      <c r="Z35" s="47">
        <f t="shared" ref="Z35" si="78">VLOOKUP(X35,Master_Frequencies,2,FALSE)*POWER(2,$Z$25)</f>
        <v>827.25772412771312</v>
      </c>
    </row>
    <row r="36" spans="2:26" x14ac:dyDescent="0.2">
      <c r="B36" s="123" t="s">
        <v>7</v>
      </c>
      <c r="C36" s="145" t="s">
        <v>74</v>
      </c>
      <c r="D36" s="97">
        <v>2</v>
      </c>
      <c r="E36" s="4">
        <f t="shared" ref="E36" si="79">LOG(D36*VLOOKUP(C36,Master_Frequencies,2,FALSE)/VLOOKUP(B36,Master_Frequencies,2,FALSE),2)*1200</f>
        <v>391.99999999995885</v>
      </c>
      <c r="F36" s="4">
        <f t="shared" ref="F36" si="80">VLOOKUP(B36,Master_Frequencies,2,FALSE)*5/4</f>
        <v>550</v>
      </c>
      <c r="G36" s="47">
        <f t="shared" ref="G36" si="81">IF($D$2="Cents",LOG(D36*VLOOKUP(C36,Master_Frequencies,2,FALSE)/F36,2)*1200*$D$3,LOG(D36*VLOOKUP(C36,Master_Frequencies,2,FALSE)/F36,$F$3))</f>
        <v>5.6862861351241314</v>
      </c>
      <c r="I36" s="123" t="s">
        <v>7</v>
      </c>
      <c r="J36" s="145" t="s">
        <v>4</v>
      </c>
      <c r="K36" s="97">
        <v>2</v>
      </c>
      <c r="L36" s="191">
        <f t="shared" ref="L36" si="82">K36*VLOOKUP(J36,Master_Frequencies,2,FALSE)/VLOOKUP(I36,Master_Frequencies,2,FALSE)</f>
        <v>1.4948492486349161</v>
      </c>
      <c r="M36" s="145" t="s">
        <v>7</v>
      </c>
      <c r="N36" s="145" t="s">
        <v>74</v>
      </c>
      <c r="O36" s="191">
        <f t="shared" ref="O36" si="83">D36*VLOOKUP(N36,Master_Frequencies,2,FALSE)/VLOOKUP(M36,Master_Frequencies,2,FALSE)</f>
        <v>1.2541124095502314</v>
      </c>
      <c r="Q36" s="99">
        <v>10</v>
      </c>
      <c r="R36" s="18">
        <f t="shared" si="25"/>
        <v>2628.3732973431734</v>
      </c>
      <c r="S36" s="97">
        <v>3</v>
      </c>
      <c r="T36" s="4">
        <f t="shared" si="26"/>
        <v>328.54666216789667</v>
      </c>
      <c r="U36" s="18" t="str" cm="1">
        <f t="array" ref="U36">_xlfn.XLOOKUP(0,ABS($C$43:$C$55-T36),$B$43:$B$55,,1)</f>
        <v>E</v>
      </c>
      <c r="V36" s="47">
        <f t="shared" si="27"/>
        <v>-1.6862861351849534</v>
      </c>
      <c r="X36" s="85" t="s">
        <v>7</v>
      </c>
      <c r="Y36" s="4">
        <f t="shared" ref="Y36" si="84">VLOOKUP(X36,Master_Frequencies,2,FALSE)/POWER(2,$Z$25)</f>
        <v>220</v>
      </c>
      <c r="Z36" s="47">
        <f t="shared" ref="Z36" si="85">VLOOKUP(X36,Master_Frequencies,2,FALSE)*POWER(2,$Z$25)</f>
        <v>880</v>
      </c>
    </row>
    <row r="37" spans="2:26" x14ac:dyDescent="0.2">
      <c r="B37" s="123" t="s">
        <v>73</v>
      </c>
      <c r="C37" s="145" t="s">
        <v>3</v>
      </c>
      <c r="D37" s="97">
        <v>2</v>
      </c>
      <c r="E37" s="4">
        <f t="shared" ref="E37" si="86">LOG(D37*VLOOKUP(C37,Master_Frequencies,2,FALSE)/VLOOKUP(B37,Master_Frequencies,2,FALSE),2)*1200</f>
        <v>390.99999999995879</v>
      </c>
      <c r="F37" s="4">
        <f t="shared" ref="F37" si="87">VLOOKUP(B37,Master_Frequencies,2,FALSE)*5/4</f>
        <v>586.75773361994845</v>
      </c>
      <c r="G37" s="47">
        <f t="shared" ref="G37" si="88">IF($D$2="Cents",LOG(D37*VLOOKUP(C37,Master_Frequencies,2,FALSE)/F37,2)*1200*$D$3,LOG(D37*VLOOKUP(C37,Master_Frequencies,2,FALSE)/F37,$F$3))</f>
        <v>4.6862861351243525</v>
      </c>
      <c r="I37" s="123" t="s">
        <v>73</v>
      </c>
      <c r="J37" s="145" t="s">
        <v>5</v>
      </c>
      <c r="K37" s="97">
        <v>2</v>
      </c>
      <c r="L37" s="191">
        <f t="shared" ref="L37" si="89">K37*VLOOKUP(J37,Master_Frequencies,2,FALSE)/VLOOKUP(I37,Master_Frequencies,2,FALSE)</f>
        <v>1.4939860391785393</v>
      </c>
      <c r="M37" s="145" t="s">
        <v>73</v>
      </c>
      <c r="N37" s="145" t="s">
        <v>3</v>
      </c>
      <c r="O37" s="191">
        <f t="shared" ref="O37" si="90">D37*VLOOKUP(N37,Master_Frequencies,2,FALSE)/VLOOKUP(M37,Master_Frequencies,2,FALSE)</f>
        <v>1.2533882149919695</v>
      </c>
      <c r="Q37" s="99">
        <v>11</v>
      </c>
      <c r="R37" s="18">
        <f t="shared" si="25"/>
        <v>2891.2106270774907</v>
      </c>
      <c r="S37" s="97">
        <v>3</v>
      </c>
      <c r="T37" s="4">
        <f t="shared" si="26"/>
        <v>361.40132838468634</v>
      </c>
      <c r="U37" s="18" t="str" cm="1">
        <f t="array" ref="U37">_xlfn.XLOOKUP(0,ABS($C$43:$C$55-T37),$B$43:$B$55,,1)</f>
        <v>F#</v>
      </c>
      <c r="V37" s="47">
        <f t="shared" si="27"/>
        <v>-32.682057635272976</v>
      </c>
      <c r="X37" s="85" t="s">
        <v>73</v>
      </c>
      <c r="Y37" s="4">
        <f t="shared" ref="Y37" si="91">VLOOKUP(X37,Master_Frequencies,2,FALSE)/POWER(2,$Z$25)</f>
        <v>234.7030934479794</v>
      </c>
      <c r="Z37" s="47">
        <f t="shared" ref="Z37" si="92">VLOOKUP(X37,Master_Frequencies,2,FALSE)*POWER(2,$Z$25)</f>
        <v>938.81237379191759</v>
      </c>
    </row>
    <row r="38" spans="2:26" x14ac:dyDescent="0.2">
      <c r="B38" s="124" t="s">
        <v>8</v>
      </c>
      <c r="C38" s="153" t="s">
        <v>76</v>
      </c>
      <c r="D38" s="98">
        <v>2</v>
      </c>
      <c r="E38" s="53">
        <f t="shared" ref="E38" si="93">LOG(D38*VLOOKUP(C38,Master_Frequencies,2,FALSE)/VLOOKUP(B38,Master_Frequencies,2,FALSE),2)*1200</f>
        <v>418.99999999996061</v>
      </c>
      <c r="F38" s="53">
        <f t="shared" ref="F38" si="94">VLOOKUP(B38,Master_Frequencies,2,FALSE)*5/4</f>
        <v>614.50792593972437</v>
      </c>
      <c r="G38" s="48">
        <f t="shared" ref="G38" si="95">IF($D$2="Cents",LOG(D38*VLOOKUP(C38,Master_Frequencies,2,FALSE)/F38,2)*1200*$D$3,LOG(D38*VLOOKUP(C38,Master_Frequencies,2,FALSE)/F38,$F$3))</f>
        <v>32.686286135125854</v>
      </c>
      <c r="I38" s="124" t="s">
        <v>8</v>
      </c>
      <c r="J38" s="153" t="s">
        <v>70</v>
      </c>
      <c r="K38" s="98">
        <v>2</v>
      </c>
      <c r="L38" s="192">
        <f t="shared" ref="L38" si="96">K38*VLOOKUP(J38,Master_Frequencies,2,FALSE)/VLOOKUP(I38,Master_Frequencies,2,FALSE)</f>
        <v>1.4983070768766595</v>
      </c>
      <c r="M38" s="153" t="s">
        <v>8</v>
      </c>
      <c r="N38" s="153" t="s">
        <v>76</v>
      </c>
      <c r="O38" s="192">
        <f t="shared" ref="O38" si="97">D38*VLOOKUP(N38,Master_Frequencies,2,FALSE)/VLOOKUP(M38,Master_Frequencies,2,FALSE)</f>
        <v>1.2738246248178222</v>
      </c>
      <c r="Q38" s="99">
        <v>12</v>
      </c>
      <c r="R38" s="18">
        <f t="shared" si="25"/>
        <v>3154.047956811808</v>
      </c>
      <c r="S38" s="97">
        <v>3</v>
      </c>
      <c r="T38" s="4">
        <f t="shared" si="26"/>
        <v>394.255994601476</v>
      </c>
      <c r="U38" s="18" t="str" cm="1">
        <f t="array" ref="U38">_xlfn.XLOOKUP(0,ABS($C$43:$C$55-T38),$B$43:$B$55,,1)</f>
        <v>G</v>
      </c>
      <c r="V38" s="47">
        <f t="shared" si="27"/>
        <v>3.9550008653521727</v>
      </c>
      <c r="X38" s="85" t="s">
        <v>8</v>
      </c>
      <c r="Y38" s="4">
        <f t="shared" ref="Y38" si="98">VLOOKUP(X38,Master_Frequencies,2,FALSE)/POWER(2,$Z$25)</f>
        <v>245.80317037588975</v>
      </c>
      <c r="Z38" s="47">
        <f t="shared" ref="Z38" si="99">VLOOKUP(X38,Master_Frequencies,2,FALSE)*POWER(2,$Z$25)</f>
        <v>983.212681503559</v>
      </c>
    </row>
    <row r="39" spans="2:26" x14ac:dyDescent="0.2">
      <c r="Q39" s="100">
        <v>13</v>
      </c>
      <c r="R39" s="50">
        <f t="shared" si="25"/>
        <v>3416.8852865461254</v>
      </c>
      <c r="S39" s="98">
        <v>3</v>
      </c>
      <c r="T39" s="53">
        <f t="shared" si="26"/>
        <v>427.11066081826567</v>
      </c>
      <c r="U39" s="50" t="str" cm="1">
        <f t="array" ref="U39">_xlfn.XLOOKUP(0,ABS($C$43:$C$55-T39),$B$43:$B$55,,1)</f>
        <v>A</v>
      </c>
      <c r="V39" s="48">
        <f t="shared" si="27"/>
        <v>-51.472338230735062</v>
      </c>
      <c r="X39" s="87" t="s">
        <v>78</v>
      </c>
      <c r="Y39" s="53">
        <f t="shared" ref="Y39" si="100">VLOOKUP(X39,Master_Frequencies,2,FALSE)/POWER(2,$Z$25)</f>
        <v>262.8373297343266</v>
      </c>
      <c r="Z39" s="48">
        <f t="shared" ref="Z39" si="101">VLOOKUP(X39,Master_Frequencies,2,FALSE)*POWER(2,$Z$25)</f>
        <v>1051.3493189373064</v>
      </c>
    </row>
    <row r="40" spans="2:26" ht="16" thickBot="1" x14ac:dyDescent="0.25"/>
    <row r="41" spans="2:26" ht="17" customHeight="1" thickTop="1" x14ac:dyDescent="0.2">
      <c r="B41" s="308" t="s">
        <v>138</v>
      </c>
      <c r="C41" s="309"/>
    </row>
    <row r="42" spans="2:26" ht="32" x14ac:dyDescent="0.2">
      <c r="B42" s="90" t="s">
        <v>14</v>
      </c>
      <c r="C42" s="91" t="s">
        <v>15</v>
      </c>
    </row>
    <row r="43" spans="2:26" x14ac:dyDescent="0.2">
      <c r="B43" s="92" t="s">
        <v>2</v>
      </c>
      <c r="C43" s="93">
        <f>VLOOKUP(B43,$B$9:$H$21,3,FALSE)</f>
        <v>262.83732973431734</v>
      </c>
    </row>
    <row r="44" spans="2:26" x14ac:dyDescent="0.2">
      <c r="B44" s="92" t="s">
        <v>74</v>
      </c>
      <c r="C44" s="93">
        <f t="shared" ref="C44:C55" si="102">VLOOKUP(B44,$B$9:$H$21,3,FALSE)</f>
        <v>275.90473010105092</v>
      </c>
    </row>
    <row r="45" spans="2:26" x14ac:dyDescent="0.2">
      <c r="B45" s="92" t="s">
        <v>3</v>
      </c>
      <c r="C45" s="93">
        <f t="shared" si="102"/>
        <v>294.17409134985633</v>
      </c>
    </row>
    <row r="46" spans="2:26" x14ac:dyDescent="0.2">
      <c r="B46" s="92" t="s">
        <v>76</v>
      </c>
      <c r="C46" s="93">
        <f t="shared" si="102"/>
        <v>313.11013128309901</v>
      </c>
    </row>
    <row r="47" spans="2:26" x14ac:dyDescent="0.2">
      <c r="B47" s="92" t="s">
        <v>4</v>
      </c>
      <c r="C47" s="93">
        <f t="shared" si="102"/>
        <v>328.86683469968153</v>
      </c>
    </row>
    <row r="48" spans="2:26" x14ac:dyDescent="0.2">
      <c r="B48" s="92" t="s">
        <v>5</v>
      </c>
      <c r="C48" s="93">
        <f t="shared" si="102"/>
        <v>350.64314496329735</v>
      </c>
    </row>
    <row r="49" spans="2:3" x14ac:dyDescent="0.2">
      <c r="B49" s="92" t="s">
        <v>70</v>
      </c>
      <c r="C49" s="93">
        <f t="shared" si="102"/>
        <v>368.28862969291487</v>
      </c>
    </row>
    <row r="50" spans="2:3" x14ac:dyDescent="0.2">
      <c r="B50" s="92" t="s">
        <v>6</v>
      </c>
      <c r="C50" s="93">
        <f t="shared" si="102"/>
        <v>393.3563455523485</v>
      </c>
    </row>
    <row r="51" spans="2:3" x14ac:dyDescent="0.2">
      <c r="B51" s="92" t="s">
        <v>72</v>
      </c>
      <c r="C51" s="93">
        <f t="shared" si="102"/>
        <v>413.62886206385656</v>
      </c>
    </row>
    <row r="52" spans="2:3" x14ac:dyDescent="0.2">
      <c r="B52" s="92" t="s">
        <v>7</v>
      </c>
      <c r="C52" s="93">
        <f t="shared" si="102"/>
        <v>440</v>
      </c>
    </row>
    <row r="53" spans="2:3" x14ac:dyDescent="0.2">
      <c r="B53" s="92" t="s">
        <v>73</v>
      </c>
      <c r="C53" s="93">
        <f t="shared" si="102"/>
        <v>469.4061868959588</v>
      </c>
    </row>
    <row r="54" spans="2:3" x14ac:dyDescent="0.2">
      <c r="B54" s="92" t="s">
        <v>8</v>
      </c>
      <c r="C54" s="93">
        <f t="shared" si="102"/>
        <v>491.6063407517795</v>
      </c>
    </row>
    <row r="55" spans="2:3" ht="16" thickBot="1" x14ac:dyDescent="0.25">
      <c r="B55" s="94" t="s">
        <v>78</v>
      </c>
      <c r="C55" s="95">
        <f t="shared" si="102"/>
        <v>525.6746594686532</v>
      </c>
    </row>
    <row r="56" spans="2:3" ht="16" thickTop="1" x14ac:dyDescent="0.2"/>
  </sheetData>
  <sheetProtection sheet="1" scenarios="1" formatCells="0"/>
  <mergeCells count="9">
    <mergeCell ref="X24:Z24"/>
    <mergeCell ref="B25:D25"/>
    <mergeCell ref="I25:O25"/>
    <mergeCell ref="Q25:V25"/>
    <mergeCell ref="B41:C41"/>
    <mergeCell ref="B1:H1"/>
    <mergeCell ref="B7:F7"/>
    <mergeCell ref="H7:M7"/>
    <mergeCell ref="P7:U7"/>
  </mergeCells>
  <conditionalFormatting sqref="A1 I1:XFD1 A2:XFD1048576">
    <cfRule type="expression" dxfId="29" priority="3">
      <formula>_xlfn.ISFORMULA(A1)</formula>
    </cfRule>
  </conditionalFormatting>
  <conditionalFormatting sqref="A1:XFD1048576">
    <cfRule type="expression" dxfId="28"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87EFF0E2-3540-044F-A7C4-192B1CA01A01}">
      <formula1>Units</formula1>
    </dataValidation>
  </dataValidations>
  <hyperlinks>
    <hyperlink ref="B4" location="Overview!A1" display="Back to Overview" xr:uid="{6A9C3110-077C-9544-8C36-46D17F75AA7A}"/>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B0C8-8724-7C4B-92D4-3698E7502174}">
  <sheetPr>
    <tabColor theme="5" tint="0.59999389629810485"/>
  </sheetPr>
  <dimension ref="B1:AA56"/>
  <sheetViews>
    <sheetView zoomScaleNormal="100" workbookViewId="0"/>
  </sheetViews>
  <sheetFormatPr baseColWidth="10" defaultColWidth="12" defaultRowHeight="15" x14ac:dyDescent="0.2"/>
  <cols>
    <col min="1" max="1" width="2.83203125" style="4" customWidth="1"/>
    <col min="2" max="16384" width="12" style="4"/>
  </cols>
  <sheetData>
    <row r="1" spans="2:27" ht="18" x14ac:dyDescent="0.2">
      <c r="B1" s="289" t="s">
        <v>535</v>
      </c>
      <c r="C1" s="289"/>
      <c r="D1" s="289"/>
      <c r="E1" s="289"/>
      <c r="F1" s="289"/>
      <c r="G1" s="289"/>
      <c r="H1" s="289"/>
      <c r="P1" s="4" t="s">
        <v>479</v>
      </c>
    </row>
    <row r="2" spans="2:27" ht="16" x14ac:dyDescent="0.2">
      <c r="C2" s="70"/>
      <c r="D2" s="154" t="s">
        <v>16</v>
      </c>
      <c r="E2" s="72" t="str">
        <f>D2</f>
        <v>Cents</v>
      </c>
      <c r="F2" s="72" t="str">
        <f>_xlfn.CONCAT("1/",D3," ",D2)</f>
        <v>1/1 Cents</v>
      </c>
      <c r="G2" s="73"/>
      <c r="H2" s="74" t="s">
        <v>143</v>
      </c>
      <c r="I2" s="156">
        <v>440</v>
      </c>
      <c r="J2" s="74" t="str">
        <f>_xlfn.CONCAT("C for A=", I2,":")</f>
        <v>C for A=440:</v>
      </c>
      <c r="K2" s="4">
        <f>I2/POWER(1/$F$3,C18)</f>
        <v>262.38226174942696</v>
      </c>
      <c r="L2" s="74"/>
      <c r="T2" s="77"/>
      <c r="Y2" s="74"/>
      <c r="Z2" s="74"/>
      <c r="AA2" s="74"/>
    </row>
    <row r="3" spans="2:27" ht="16" x14ac:dyDescent="0.2">
      <c r="C3" s="74" t="s">
        <v>125</v>
      </c>
      <c r="D3" s="155">
        <v>1</v>
      </c>
      <c r="E3" s="1">
        <f>IF(D2="Pythagorean Comma",524288/531441,IF(D2="Syntonic Comma",80/81,IF(D2="Cents",1/POWER(2,1/1200),"Not in List")))</f>
        <v>0.99942254414138076</v>
      </c>
      <c r="F3" s="132">
        <f>POWER(E3,1/D3)</f>
        <v>0.99942254414138076</v>
      </c>
      <c r="T3" s="77"/>
    </row>
    <row r="4" spans="2:27" ht="16" x14ac:dyDescent="0.2">
      <c r="B4" s="80" t="s">
        <v>63</v>
      </c>
      <c r="C4" s="79"/>
      <c r="D4" s="79"/>
    </row>
    <row r="5" spans="2:27" x14ac:dyDescent="0.2">
      <c r="F5" s="78"/>
    </row>
    <row r="6" spans="2:27" x14ac:dyDescent="0.2">
      <c r="E6" s="81"/>
      <c r="F6" s="81"/>
    </row>
    <row r="7" spans="2:27" ht="18" x14ac:dyDescent="0.2">
      <c r="B7" s="310" t="s">
        <v>140</v>
      </c>
      <c r="C7" s="311"/>
      <c r="D7" s="311"/>
      <c r="E7" s="311"/>
      <c r="F7" s="312"/>
      <c r="H7" s="310" t="s">
        <v>43</v>
      </c>
      <c r="I7" s="311"/>
      <c r="J7" s="311"/>
      <c r="K7" s="311"/>
      <c r="L7" s="311"/>
      <c r="M7" s="312"/>
      <c r="N7" s="133"/>
      <c r="P7" s="310" t="s">
        <v>129</v>
      </c>
      <c r="Q7" s="311"/>
      <c r="R7" s="311"/>
      <c r="S7" s="311"/>
      <c r="T7" s="311"/>
      <c r="U7" s="312"/>
    </row>
    <row r="8" spans="2:27" s="84" customFormat="1" ht="64" x14ac:dyDescent="0.2">
      <c r="B8" s="83" t="s">
        <v>14</v>
      </c>
      <c r="C8" s="84" t="str">
        <f>_xlfn.CONCAT(F2," from C")</f>
        <v>1/1 Cents from C</v>
      </c>
      <c r="D8" s="84" t="s">
        <v>15</v>
      </c>
      <c r="E8" s="84" t="s">
        <v>36</v>
      </c>
      <c r="F8" s="52" t="s">
        <v>50</v>
      </c>
      <c r="H8" s="149" t="s">
        <v>127</v>
      </c>
      <c r="I8" s="84" t="s">
        <v>128</v>
      </c>
      <c r="J8" s="84" t="s">
        <v>13</v>
      </c>
      <c r="K8" s="84" t="str">
        <f>_xlfn.CONCAT("Relative ",E2)</f>
        <v>Relative Cents</v>
      </c>
      <c r="L8" s="84" t="str">
        <f>_xlfn.CONCAT("Cumulative ",E2)</f>
        <v>Cumulative Cents</v>
      </c>
      <c r="M8" s="52" t="s">
        <v>16</v>
      </c>
      <c r="P8" s="149" t="s">
        <v>89</v>
      </c>
      <c r="Q8" s="84" t="s">
        <v>136</v>
      </c>
      <c r="R8" s="84" t="s">
        <v>90</v>
      </c>
      <c r="S8" s="152" t="s">
        <v>88</v>
      </c>
      <c r="T8" s="84" t="s">
        <v>32</v>
      </c>
      <c r="U8" s="52" t="s">
        <v>91</v>
      </c>
    </row>
    <row r="9" spans="2:27" x14ac:dyDescent="0.2">
      <c r="B9" s="85" t="s">
        <v>2</v>
      </c>
      <c r="C9" s="156">
        <v>0</v>
      </c>
      <c r="D9" s="4">
        <f>K2</f>
        <v>262.38226174942696</v>
      </c>
      <c r="F9" s="158">
        <v>3600</v>
      </c>
      <c r="G9" s="97"/>
      <c r="H9" s="123" t="s">
        <v>2</v>
      </c>
      <c r="I9" s="97">
        <v>0</v>
      </c>
      <c r="J9" s="4">
        <f>VLOOKUP(H9,$B$9:$D$21,3,FALSE)*POWER(2,I9)</f>
        <v>262.38226174942696</v>
      </c>
      <c r="K9" s="4">
        <v>0</v>
      </c>
      <c r="L9" s="4">
        <f>K9</f>
        <v>0</v>
      </c>
      <c r="M9" s="47"/>
      <c r="P9" s="123" t="str">
        <f t="shared" ref="P9:P21" si="0">B9</f>
        <v>C</v>
      </c>
      <c r="Q9" s="4">
        <f>D9</f>
        <v>262.38226174942696</v>
      </c>
      <c r="R9" s="4">
        <f t="shared" ref="R9:R21" si="1">LOG(D9/Q9,2)*1200</f>
        <v>0</v>
      </c>
      <c r="S9" s="145" t="str">
        <f t="shared" ref="S9:S21" si="2">H9</f>
        <v>C</v>
      </c>
      <c r="T9" s="4">
        <f t="shared" ref="T9:T21" si="3">VLOOKUP(S9,$P$9:$Q$21,2,FALSE)</f>
        <v>262.38226174942696</v>
      </c>
      <c r="U9" s="47">
        <f t="shared" ref="U9:U21" si="4">VLOOKUP(S9,$P$9:$R$21,3,FALSE)</f>
        <v>0</v>
      </c>
    </row>
    <row r="10" spans="2:27" x14ac:dyDescent="0.2">
      <c r="B10" s="85" t="s">
        <v>74</v>
      </c>
      <c r="C10" s="156">
        <v>84</v>
      </c>
      <c r="D10" s="4">
        <f t="shared" ref="D10:D21" si="5">$D$9*POWER(1/$F$3,C10)</f>
        <v>275.42703764512879</v>
      </c>
      <c r="E10" s="4">
        <f t="shared" ref="E10:E21" si="6">LOG(D10/D9,2)*1200</f>
        <v>84.000000000004547</v>
      </c>
      <c r="F10" s="47">
        <f t="shared" ref="F10:F21" si="7">F$9*D$9/D10</f>
        <v>3429.4967929581653</v>
      </c>
      <c r="G10" s="97"/>
      <c r="H10" s="123" t="s">
        <v>6</v>
      </c>
      <c r="I10" s="97">
        <v>0</v>
      </c>
      <c r="J10" s="4">
        <f t="shared" ref="J10:J21" si="8">VLOOKUP(H10,$B$9:$D$21,3,FALSE)*POWER(2,I10)</f>
        <v>393.5836227211455</v>
      </c>
      <c r="K10" s="75">
        <f>LOG(J10/(J9*3/2),1/$F$3)</f>
        <v>4.4999134648473459E-2</v>
      </c>
      <c r="L10" s="4">
        <f>L9+K10</f>
        <v>4.4999134648473459E-2</v>
      </c>
      <c r="M10" s="47">
        <f t="shared" ref="M10:M21" si="9">LOG(J10/J9,2)*1200</f>
        <v>702.0000000000357</v>
      </c>
      <c r="P10" s="123" t="str">
        <f t="shared" si="0"/>
        <v>C#</v>
      </c>
      <c r="Q10" s="4">
        <f t="shared" ref="Q10:Q21" si="10">Q9*POWER($Q$9*2/$Q$9,1/12)</f>
        <v>277.98432293803847</v>
      </c>
      <c r="R10" s="4">
        <f t="shared" si="1"/>
        <v>-15.999999999995419</v>
      </c>
      <c r="S10" s="145" t="str">
        <f t="shared" si="2"/>
        <v>G</v>
      </c>
      <c r="T10" s="4">
        <f t="shared" si="3"/>
        <v>393.1291996260764</v>
      </c>
      <c r="U10" s="47">
        <f t="shared" si="4"/>
        <v>2.0000000000350382</v>
      </c>
    </row>
    <row r="11" spans="2:27" x14ac:dyDescent="0.2">
      <c r="B11" s="85" t="s">
        <v>3</v>
      </c>
      <c r="C11" s="156">
        <v>195</v>
      </c>
      <c r="D11" s="4">
        <f t="shared" si="5"/>
        <v>293.66476791740155</v>
      </c>
      <c r="E11" s="4">
        <f t="shared" si="6"/>
        <v>111.00000000000524</v>
      </c>
      <c r="F11" s="47">
        <f t="shared" si="7"/>
        <v>3216.5116333043261</v>
      </c>
      <c r="G11" s="97"/>
      <c r="H11" s="123" t="s">
        <v>3</v>
      </c>
      <c r="I11" s="97">
        <v>1</v>
      </c>
      <c r="J11" s="4">
        <f t="shared" si="8"/>
        <v>587.3295358348031</v>
      </c>
      <c r="K11" s="75">
        <f t="shared" ref="K11:K21" si="11">LOG(J11/(J10*3/2),1/$F$3)</f>
        <v>-8.9550008654131261</v>
      </c>
      <c r="L11" s="4">
        <f t="shared" ref="L11:L21" si="12">L10+K11</f>
        <v>-8.9100017307646535</v>
      </c>
      <c r="M11" s="47">
        <f t="shared" si="9"/>
        <v>692.99999999997442</v>
      </c>
      <c r="P11" s="123" t="str">
        <f t="shared" si="0"/>
        <v>D</v>
      </c>
      <c r="Q11" s="4">
        <f t="shared" si="10"/>
        <v>294.51413096330788</v>
      </c>
      <c r="R11" s="4">
        <f t="shared" si="1"/>
        <v>-4.9999999999901794</v>
      </c>
      <c r="S11" s="145" t="str">
        <f t="shared" si="2"/>
        <v>D</v>
      </c>
      <c r="T11" s="4">
        <f t="shared" si="3"/>
        <v>294.51413096330788</v>
      </c>
      <c r="U11" s="47">
        <f t="shared" si="4"/>
        <v>-4.9999999999901794</v>
      </c>
    </row>
    <row r="12" spans="2:27" x14ac:dyDescent="0.2">
      <c r="B12" s="85" t="s">
        <v>76</v>
      </c>
      <c r="C12" s="156">
        <v>320</v>
      </c>
      <c r="D12" s="4">
        <f t="shared" si="5"/>
        <v>315.65242990841472</v>
      </c>
      <c r="E12" s="4">
        <f t="shared" si="6"/>
        <v>125.0000000000061</v>
      </c>
      <c r="F12" s="47">
        <f t="shared" si="7"/>
        <v>2992.4564261140081</v>
      </c>
      <c r="G12" s="97"/>
      <c r="H12" s="123" t="s">
        <v>7</v>
      </c>
      <c r="I12" s="97">
        <v>1</v>
      </c>
      <c r="J12" s="4">
        <f t="shared" si="8"/>
        <v>879.99999999999989</v>
      </c>
      <c r="K12" s="75">
        <f t="shared" si="11"/>
        <v>-1.9550008653522146</v>
      </c>
      <c r="L12" s="4">
        <f t="shared" si="12"/>
        <v>-10.865002596116868</v>
      </c>
      <c r="M12" s="47">
        <f t="shared" si="9"/>
        <v>700.00000000003524</v>
      </c>
      <c r="P12" s="123" t="str">
        <f t="shared" si="0"/>
        <v>D#</v>
      </c>
      <c r="Q12" s="4">
        <f t="shared" si="10"/>
        <v>312.02685252292491</v>
      </c>
      <c r="R12" s="4">
        <f t="shared" si="1"/>
        <v>20.00000000001603</v>
      </c>
      <c r="S12" s="145" t="str">
        <f t="shared" si="2"/>
        <v>A</v>
      </c>
      <c r="T12" s="4">
        <f t="shared" si="3"/>
        <v>441.27260666251016</v>
      </c>
      <c r="U12" s="47">
        <f t="shared" si="4"/>
        <v>-4.9999999999556746</v>
      </c>
    </row>
    <row r="13" spans="2:27" x14ac:dyDescent="0.2">
      <c r="B13" s="85" t="s">
        <v>4</v>
      </c>
      <c r="C13" s="156">
        <v>388</v>
      </c>
      <c r="D13" s="4">
        <f t="shared" si="5"/>
        <v>328.2974453822838</v>
      </c>
      <c r="E13" s="4">
        <f t="shared" si="6"/>
        <v>68.000000000003283</v>
      </c>
      <c r="F13" s="47">
        <f t="shared" si="7"/>
        <v>2877.1961390014217</v>
      </c>
      <c r="G13" s="97"/>
      <c r="H13" s="123" t="s">
        <v>4</v>
      </c>
      <c r="I13" s="97">
        <v>2</v>
      </c>
      <c r="J13" s="4">
        <f t="shared" si="8"/>
        <v>1313.1897815291352</v>
      </c>
      <c r="K13" s="75">
        <f t="shared" si="11"/>
        <v>-8.9550008654131261</v>
      </c>
      <c r="L13" s="4">
        <f t="shared" si="12"/>
        <v>-19.820003461529993</v>
      </c>
      <c r="M13" s="47">
        <f t="shared" si="9"/>
        <v>692.99999999997442</v>
      </c>
      <c r="P13" s="123" t="str">
        <f t="shared" si="0"/>
        <v>E</v>
      </c>
      <c r="Q13" s="4">
        <f t="shared" si="10"/>
        <v>330.58093469712952</v>
      </c>
      <c r="R13" s="4">
        <f t="shared" si="1"/>
        <v>-11.999999999980794</v>
      </c>
      <c r="S13" s="145" t="str">
        <f t="shared" si="2"/>
        <v>E</v>
      </c>
      <c r="T13" s="4">
        <f t="shared" si="3"/>
        <v>330.58093469712952</v>
      </c>
      <c r="U13" s="47">
        <f t="shared" si="4"/>
        <v>-11.999999999980794</v>
      </c>
    </row>
    <row r="14" spans="2:27" x14ac:dyDescent="0.2">
      <c r="B14" s="85" t="s">
        <v>5</v>
      </c>
      <c r="C14" s="156">
        <v>525</v>
      </c>
      <c r="D14" s="4">
        <f t="shared" si="5"/>
        <v>355.33263339201454</v>
      </c>
      <c r="E14" s="4">
        <f t="shared" si="6"/>
        <v>137.00000000000654</v>
      </c>
      <c r="F14" s="47">
        <f t="shared" si="7"/>
        <v>2658.2870626910585</v>
      </c>
      <c r="G14" s="97"/>
      <c r="H14" s="123" t="s">
        <v>8</v>
      </c>
      <c r="I14" s="97">
        <v>2</v>
      </c>
      <c r="J14" s="4">
        <f t="shared" si="8"/>
        <v>1981.2470157489327</v>
      </c>
      <c r="K14" s="75">
        <f t="shared" si="11"/>
        <v>10.044999134649121</v>
      </c>
      <c r="L14" s="4">
        <f t="shared" si="12"/>
        <v>-9.7750043268808717</v>
      </c>
      <c r="M14" s="47">
        <f t="shared" si="9"/>
        <v>712.00000000003638</v>
      </c>
      <c r="P14" s="123" t="str">
        <f t="shared" si="0"/>
        <v>F</v>
      </c>
      <c r="Q14" s="4">
        <f t="shared" si="10"/>
        <v>350.23830001040898</v>
      </c>
      <c r="R14" s="4">
        <f t="shared" si="1"/>
        <v>25.000000000025565</v>
      </c>
      <c r="S14" s="145" t="str">
        <f t="shared" si="2"/>
        <v>B</v>
      </c>
      <c r="T14" s="4">
        <f t="shared" si="3"/>
        <v>495.31175393721747</v>
      </c>
      <c r="U14" s="47">
        <f t="shared" si="4"/>
        <v>5.4970798805463115E-11</v>
      </c>
    </row>
    <row r="15" spans="2:27" x14ac:dyDescent="0.2">
      <c r="B15" s="85" t="s">
        <v>70</v>
      </c>
      <c r="C15" s="156">
        <v>584</v>
      </c>
      <c r="D15" s="4">
        <f t="shared" si="5"/>
        <v>367.65098676471359</v>
      </c>
      <c r="E15" s="4">
        <f t="shared" si="6"/>
        <v>59.00000000000346</v>
      </c>
      <c r="F15" s="47">
        <f t="shared" si="7"/>
        <v>2569.2196575075141</v>
      </c>
      <c r="G15" s="97"/>
      <c r="H15" s="123" t="s">
        <v>70</v>
      </c>
      <c r="I15" s="97">
        <v>3</v>
      </c>
      <c r="J15" s="4">
        <f t="shared" si="8"/>
        <v>2941.2078941177087</v>
      </c>
      <c r="K15" s="75">
        <f t="shared" si="11"/>
        <v>-17.955000865414178</v>
      </c>
      <c r="L15" s="4">
        <f t="shared" si="12"/>
        <v>-27.730005192295049</v>
      </c>
      <c r="M15" s="47">
        <f t="shared" si="9"/>
        <v>683.99999999997374</v>
      </c>
      <c r="P15" s="123" t="str">
        <f t="shared" si="0"/>
        <v>F#</v>
      </c>
      <c r="Q15" s="4">
        <f t="shared" si="10"/>
        <v>371.0645530921671</v>
      </c>
      <c r="R15" s="4">
        <f t="shared" si="1"/>
        <v>-15.999999999970976</v>
      </c>
      <c r="S15" s="145" t="str">
        <f t="shared" si="2"/>
        <v>F#</v>
      </c>
      <c r="T15" s="4">
        <f t="shared" si="3"/>
        <v>371.0645530921671</v>
      </c>
      <c r="U15" s="47">
        <f t="shared" si="4"/>
        <v>-15.999999999970976</v>
      </c>
    </row>
    <row r="16" spans="2:27" x14ac:dyDescent="0.2">
      <c r="B16" s="85" t="s">
        <v>6</v>
      </c>
      <c r="C16" s="156">
        <v>702</v>
      </c>
      <c r="D16" s="4">
        <f t="shared" si="5"/>
        <v>393.5836227211455</v>
      </c>
      <c r="E16" s="4">
        <f t="shared" si="6"/>
        <v>118.00000000000578</v>
      </c>
      <c r="F16" s="47">
        <f t="shared" si="7"/>
        <v>2399.9376187641083</v>
      </c>
      <c r="G16" s="97"/>
      <c r="H16" s="123" t="s">
        <v>74</v>
      </c>
      <c r="I16" s="97">
        <v>4</v>
      </c>
      <c r="J16" s="4">
        <f t="shared" si="8"/>
        <v>4406.8326023220607</v>
      </c>
      <c r="K16" s="75">
        <f t="shared" si="11"/>
        <v>-1.9550008654122504</v>
      </c>
      <c r="L16" s="4">
        <f t="shared" si="12"/>
        <v>-29.685006057707298</v>
      </c>
      <c r="M16" s="47">
        <f t="shared" si="9"/>
        <v>699.99999999997488</v>
      </c>
      <c r="P16" s="123" t="str">
        <f t="shared" si="0"/>
        <v>G</v>
      </c>
      <c r="Q16" s="4">
        <f t="shared" si="10"/>
        <v>393.1291996260764</v>
      </c>
      <c r="R16" s="4">
        <f t="shared" si="1"/>
        <v>2.0000000000350382</v>
      </c>
      <c r="S16" s="145" t="str">
        <f t="shared" si="2"/>
        <v>C#</v>
      </c>
      <c r="T16" s="4">
        <f t="shared" si="3"/>
        <v>277.98432293803847</v>
      </c>
      <c r="U16" s="47">
        <f t="shared" si="4"/>
        <v>-15.999999999995419</v>
      </c>
    </row>
    <row r="17" spans="2:26" x14ac:dyDescent="0.2">
      <c r="B17" s="85" t="s">
        <v>72</v>
      </c>
      <c r="C17" s="156">
        <v>785</v>
      </c>
      <c r="D17" s="4">
        <f t="shared" si="5"/>
        <v>412.91271853530162</v>
      </c>
      <c r="E17" s="4">
        <f t="shared" si="6"/>
        <v>83.000000000004249</v>
      </c>
      <c r="F17" s="47">
        <f t="shared" si="7"/>
        <v>2287.5927524067811</v>
      </c>
      <c r="G17" s="97"/>
      <c r="H17" s="123" t="s">
        <v>72</v>
      </c>
      <c r="I17" s="97">
        <v>4</v>
      </c>
      <c r="J17" s="4">
        <f t="shared" si="8"/>
        <v>6606.6034965648259</v>
      </c>
      <c r="K17" s="75">
        <f t="shared" si="11"/>
        <v>-0.95500086535208151</v>
      </c>
      <c r="L17" s="4">
        <f t="shared" si="12"/>
        <v>-30.640006923059378</v>
      </c>
      <c r="M17" s="47">
        <f t="shared" si="9"/>
        <v>701.00000000003513</v>
      </c>
      <c r="P17" s="123" t="str">
        <f t="shared" si="0"/>
        <v>G#</v>
      </c>
      <c r="Q17" s="4">
        <f t="shared" si="10"/>
        <v>416.50587831883604</v>
      </c>
      <c r="R17" s="4">
        <f t="shared" si="1"/>
        <v>-14.999999999961084</v>
      </c>
      <c r="S17" s="145" t="str">
        <f t="shared" si="2"/>
        <v>G#</v>
      </c>
      <c r="T17" s="4">
        <f t="shared" si="3"/>
        <v>416.50587831883604</v>
      </c>
      <c r="U17" s="47">
        <f t="shared" si="4"/>
        <v>-14.999999999961084</v>
      </c>
    </row>
    <row r="18" spans="2:26" x14ac:dyDescent="0.2">
      <c r="B18" s="85" t="s">
        <v>7</v>
      </c>
      <c r="C18" s="156">
        <v>895</v>
      </c>
      <c r="D18" s="4">
        <f t="shared" si="5"/>
        <v>439.99999999999994</v>
      </c>
      <c r="E18" s="4">
        <f t="shared" si="6"/>
        <v>110.0000000000056</v>
      </c>
      <c r="F18" s="47">
        <f t="shared" si="7"/>
        <v>2146.7639597680391</v>
      </c>
      <c r="G18" s="97"/>
      <c r="H18" s="123" t="s">
        <v>76</v>
      </c>
      <c r="I18" s="97">
        <v>5</v>
      </c>
      <c r="J18" s="4">
        <f t="shared" si="8"/>
        <v>10100.877757069271</v>
      </c>
      <c r="K18" s="75">
        <f t="shared" si="11"/>
        <v>33.044999134589673</v>
      </c>
      <c r="L18" s="4">
        <f t="shared" si="12"/>
        <v>2.4049922115302955</v>
      </c>
      <c r="M18" s="47">
        <f t="shared" si="9"/>
        <v>734.99999999997647</v>
      </c>
      <c r="P18" s="123" t="str">
        <f t="shared" si="0"/>
        <v>A</v>
      </c>
      <c r="Q18" s="4">
        <f t="shared" si="10"/>
        <v>441.27260666251016</v>
      </c>
      <c r="R18" s="4">
        <f t="shared" si="1"/>
        <v>-4.9999999999556746</v>
      </c>
      <c r="S18" s="145" t="str">
        <f t="shared" si="2"/>
        <v>D#</v>
      </c>
      <c r="T18" s="4">
        <f t="shared" si="3"/>
        <v>312.02685252292491</v>
      </c>
      <c r="U18" s="47">
        <f t="shared" si="4"/>
        <v>20.00000000001603</v>
      </c>
    </row>
    <row r="19" spans="2:26" x14ac:dyDescent="0.2">
      <c r="B19" s="85" t="s">
        <v>73</v>
      </c>
      <c r="C19" s="156">
        <v>1004</v>
      </c>
      <c r="D19" s="4">
        <f t="shared" si="5"/>
        <v>468.59347232538488</v>
      </c>
      <c r="E19" s="4">
        <f t="shared" si="6"/>
        <v>109.0000000000056</v>
      </c>
      <c r="F19" s="47">
        <f t="shared" si="7"/>
        <v>2015.768887284107</v>
      </c>
      <c r="G19" s="97"/>
      <c r="H19" s="123" t="s">
        <v>73</v>
      </c>
      <c r="I19" s="97">
        <v>5</v>
      </c>
      <c r="J19" s="4">
        <f t="shared" si="8"/>
        <v>14994.991114412316</v>
      </c>
      <c r="K19" s="75">
        <f t="shared" si="11"/>
        <v>-17.955000865353004</v>
      </c>
      <c r="L19" s="4">
        <f t="shared" si="12"/>
        <v>-15.550008653822708</v>
      </c>
      <c r="M19" s="47">
        <f t="shared" si="9"/>
        <v>684.00000000003467</v>
      </c>
      <c r="P19" s="123" t="str">
        <f t="shared" si="0"/>
        <v>A#</v>
      </c>
      <c r="Q19" s="4">
        <f t="shared" si="10"/>
        <v>467.51204131065521</v>
      </c>
      <c r="R19" s="4">
        <f t="shared" si="1"/>
        <v>4.0000000000501421</v>
      </c>
      <c r="S19" s="145" t="str">
        <f t="shared" si="2"/>
        <v>A#</v>
      </c>
      <c r="T19" s="4">
        <f t="shared" si="3"/>
        <v>467.51204131065521</v>
      </c>
      <c r="U19" s="47">
        <f t="shared" si="4"/>
        <v>4.0000000000501421</v>
      </c>
    </row>
    <row r="20" spans="2:26" x14ac:dyDescent="0.2">
      <c r="B20" s="85" t="s">
        <v>8</v>
      </c>
      <c r="C20" s="156">
        <v>1100</v>
      </c>
      <c r="D20" s="4">
        <f t="shared" si="5"/>
        <v>495.31175393723316</v>
      </c>
      <c r="E20" s="4">
        <f t="shared" si="6"/>
        <v>96.000000000004917</v>
      </c>
      <c r="F20" s="47">
        <f t="shared" si="7"/>
        <v>1907.0335698466697</v>
      </c>
      <c r="G20" s="97"/>
      <c r="H20" s="123" t="s">
        <v>5</v>
      </c>
      <c r="I20" s="97">
        <v>6</v>
      </c>
      <c r="J20" s="4">
        <f t="shared" si="8"/>
        <v>22741.288537088931</v>
      </c>
      <c r="K20" s="75">
        <f t="shared" si="11"/>
        <v>19.044999134588302</v>
      </c>
      <c r="L20" s="4">
        <f t="shared" si="12"/>
        <v>3.494990480765594</v>
      </c>
      <c r="M20" s="47">
        <f t="shared" si="9"/>
        <v>720.99999999997522</v>
      </c>
      <c r="P20" s="123" t="str">
        <f t="shared" si="0"/>
        <v>B</v>
      </c>
      <c r="Q20" s="4">
        <f t="shared" si="10"/>
        <v>495.31175393721747</v>
      </c>
      <c r="R20" s="4">
        <f t="shared" si="1"/>
        <v>5.4970798805463115E-11</v>
      </c>
      <c r="S20" s="145" t="str">
        <f t="shared" si="2"/>
        <v>F</v>
      </c>
      <c r="T20" s="4">
        <f t="shared" si="3"/>
        <v>350.23830001040898</v>
      </c>
      <c r="U20" s="47">
        <f t="shared" si="4"/>
        <v>25.000000000025565</v>
      </c>
    </row>
    <row r="21" spans="2:26" x14ac:dyDescent="0.2">
      <c r="B21" s="87" t="s">
        <v>78</v>
      </c>
      <c r="C21" s="157">
        <v>1200</v>
      </c>
      <c r="D21" s="53">
        <f t="shared" si="5"/>
        <v>524.76452349887245</v>
      </c>
      <c r="E21" s="53">
        <f t="shared" si="6"/>
        <v>100.00000000000516</v>
      </c>
      <c r="F21" s="48">
        <f t="shared" si="7"/>
        <v>1799.9999999999366</v>
      </c>
      <c r="G21" s="97"/>
      <c r="H21" s="108" t="s">
        <v>78</v>
      </c>
      <c r="I21" s="98">
        <v>6</v>
      </c>
      <c r="J21" s="53">
        <f t="shared" si="8"/>
        <v>33584.929503927837</v>
      </c>
      <c r="K21" s="88">
        <f t="shared" si="11"/>
        <v>-26.955000865353114</v>
      </c>
      <c r="L21" s="53">
        <f t="shared" si="12"/>
        <v>-23.46001038458752</v>
      </c>
      <c r="M21" s="48">
        <f t="shared" si="9"/>
        <v>675.0000000000349</v>
      </c>
      <c r="P21" s="108" t="str">
        <f t="shared" si="0"/>
        <v>c oct.</v>
      </c>
      <c r="Q21" s="53">
        <f t="shared" si="10"/>
        <v>524.76452349885426</v>
      </c>
      <c r="R21" s="53">
        <f t="shared" si="1"/>
        <v>5.9968144151414224E-11</v>
      </c>
      <c r="S21" s="151" t="str">
        <f t="shared" si="2"/>
        <v>c oct.</v>
      </c>
      <c r="T21" s="53">
        <f t="shared" si="3"/>
        <v>524.76452349885426</v>
      </c>
      <c r="U21" s="48">
        <f t="shared" si="4"/>
        <v>5.9968144151414224E-11</v>
      </c>
    </row>
    <row r="22" spans="2:26" x14ac:dyDescent="0.2">
      <c r="B22" s="86"/>
      <c r="H22" s="18"/>
      <c r="P22" s="18"/>
      <c r="S22" s="18"/>
    </row>
    <row r="23" spans="2:26" x14ac:dyDescent="0.2">
      <c r="B23" s="86"/>
      <c r="H23" s="18"/>
      <c r="P23" s="18"/>
      <c r="S23" s="18"/>
    </row>
    <row r="24" spans="2:26" ht="18" x14ac:dyDescent="0.2">
      <c r="B24" s="86"/>
      <c r="H24" s="18"/>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x14ac:dyDescent="0.2">
      <c r="B26" s="83" t="s">
        <v>130</v>
      </c>
      <c r="C26" s="84" t="s">
        <v>131</v>
      </c>
      <c r="D26" s="84" t="s">
        <v>132</v>
      </c>
      <c r="E26" s="84" t="str" cm="1">
        <f t="array" aca="1" ref="E26" ca="1">_xlfn.CONCAT(_xlfn.TEXTAFTER(CELL("filename",A2),"]")," Interval in cents")</f>
        <v>Silbermann Freiberg 2 Interval in cents</v>
      </c>
      <c r="F26" s="84" t="s">
        <v>18</v>
      </c>
      <c r="G26" s="52" t="str">
        <f>_xlfn.CONCAT("diff ",$F$2)</f>
        <v>diff 1/1 Cents</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3">LOG(D27*VLOOKUP(C27,Master_Frequencies,2,FALSE)/VLOOKUP(B27,Master_Frequencies,2,FALSE),2)*1200</f>
        <v>388.00000000001967</v>
      </c>
      <c r="F27" s="4">
        <f t="shared" ref="F27" si="14">VLOOKUP(B27,Master_Frequencies,2,FALSE)*5/4</f>
        <v>327.97782718678371</v>
      </c>
      <c r="G27" s="47">
        <f t="shared" ref="G27" si="15">IF($D$2="Cents",LOG(D27*VLOOKUP(C27,Master_Frequencies,2,FALSE)/F27,2)*1200*$D$3,LOG(D27*VLOOKUP(C27,Master_Frequencies,2,FALSE)/F27,$F$3))</f>
        <v>1.6862861351845586</v>
      </c>
      <c r="I27" s="123" t="s">
        <v>2</v>
      </c>
      <c r="J27" s="145" t="s">
        <v>6</v>
      </c>
      <c r="K27" s="97">
        <v>1</v>
      </c>
      <c r="L27" s="191">
        <f t="shared" ref="L27" si="16">K27*VLOOKUP(J27,Master_Frequencies,2,FALSE)/VLOOKUP(I27,Master_Frequencies,2,FALSE)</f>
        <v>1.500038989285849</v>
      </c>
      <c r="M27" s="145" t="s">
        <v>2</v>
      </c>
      <c r="N27" s="145" t="s">
        <v>4</v>
      </c>
      <c r="O27" s="191">
        <f t="shared" ref="O27" si="17">D27*VLOOKUP(N27,Master_Frequencies,2,FALSE)/VLOOKUP(M27,Master_Frequencies,2,FALSE)</f>
        <v>1.251218139493764</v>
      </c>
      <c r="Q27" s="99">
        <v>1</v>
      </c>
      <c r="R27" s="18">
        <f>$D$9*Q27</f>
        <v>262.38226174942696</v>
      </c>
      <c r="S27" s="97">
        <v>0</v>
      </c>
      <c r="T27" s="4">
        <f>R27/POWER(2,S27)</f>
        <v>262.38226174942696</v>
      </c>
      <c r="U27" s="18" t="str" cm="1">
        <f t="array" ref="U27">_xlfn.XLOOKUP(0,ABS($C$43:$C$55-T27),$B$43:$B$55,,1)</f>
        <v>C</v>
      </c>
      <c r="V27" s="47">
        <f>LOG(T27/VLOOKUP(U27,$B$9:$D$21,3,FALSE),2)*1200</f>
        <v>0</v>
      </c>
      <c r="X27" s="85" t="s">
        <v>2</v>
      </c>
      <c r="Y27" s="4">
        <f t="shared" ref="Y27" si="18">VLOOKUP(X27,Master_Frequencies,2,FALSE)/POWER(2,$Z$25)</f>
        <v>131.19113087471348</v>
      </c>
      <c r="Z27" s="47">
        <f t="shared" ref="Z27" si="19">VLOOKUP(X27,Master_Frequencies,2,FALSE)*POWER(2,$Z$25)</f>
        <v>524.76452349885392</v>
      </c>
    </row>
    <row r="28" spans="2:26" x14ac:dyDescent="0.2">
      <c r="B28" s="123" t="s">
        <v>74</v>
      </c>
      <c r="C28" s="145" t="s">
        <v>5</v>
      </c>
      <c r="D28" s="97">
        <v>1</v>
      </c>
      <c r="E28" s="4">
        <f t="shared" ref="E28" si="20">LOG(D28*VLOOKUP(C28,Master_Frequencies,2,FALSE)/VLOOKUP(B28,Master_Frequencies,2,FALSE),2)*1200</f>
        <v>441.00000000002166</v>
      </c>
      <c r="F28" s="4">
        <f t="shared" ref="F28" si="21">VLOOKUP(B28,Master_Frequencies,2,FALSE)*5/4</f>
        <v>344.283797056411</v>
      </c>
      <c r="G28" s="47">
        <f t="shared" ref="G28" si="22">IF($D$2="Cents",LOG(D28*VLOOKUP(C28,Master_Frequencies,2,FALSE)/F28,2)*1200*$D$3,LOG(D28*VLOOKUP(C28,Master_Frequencies,2,FALSE)/F28,$F$3))</f>
        <v>54.686286135186563</v>
      </c>
      <c r="I28" s="123" t="s">
        <v>74</v>
      </c>
      <c r="J28" s="145" t="s">
        <v>72</v>
      </c>
      <c r="K28" s="97">
        <v>1</v>
      </c>
      <c r="L28" s="191">
        <f t="shared" ref="L28" si="23">K28*VLOOKUP(J28,Master_Frequencies,2,FALSE)/VLOOKUP(I28,Master_Frequencies,2,FALSE)</f>
        <v>1.4991727829833281</v>
      </c>
      <c r="M28" s="145" t="s">
        <v>74</v>
      </c>
      <c r="N28" s="145" t="s">
        <v>5</v>
      </c>
      <c r="O28" s="191">
        <f t="shared" ref="O28" si="24">D28*VLOOKUP(N28,Master_Frequencies,2,FALSE)/VLOOKUP(M28,Master_Frequencies,2,FALSE)</f>
        <v>1.2901152930738751</v>
      </c>
      <c r="Q28" s="99">
        <v>2</v>
      </c>
      <c r="R28" s="18">
        <f t="shared" ref="R28:R39" si="25">$D$9*Q28</f>
        <v>524.76452349885392</v>
      </c>
      <c r="S28" s="97">
        <v>0</v>
      </c>
      <c r="T28" s="4">
        <f t="shared" ref="T28:T39" si="26">R28/POWER(2,S28)</f>
        <v>524.76452349885392</v>
      </c>
      <c r="U28" s="18" t="str" cm="1">
        <f t="array" ref="U28">_xlfn.XLOOKUP(0,ABS($C$43:$C$55-T28),$B$43:$B$55,,1)</f>
        <v>c oct.</v>
      </c>
      <c r="V28" s="47">
        <f t="shared" ref="V28:V39" si="27">LOG(T28/VLOOKUP(U28,$B$9:$D$21,3,FALSE),2)*1200</f>
        <v>-6.112137769278972E-11</v>
      </c>
      <c r="X28" s="85" t="s">
        <v>74</v>
      </c>
      <c r="Y28" s="4">
        <f t="shared" ref="Y28" si="28">VLOOKUP(X28,Master_Frequencies,2,FALSE)/POWER(2,$Z$25)</f>
        <v>137.7135188225644</v>
      </c>
      <c r="Z28" s="47">
        <f t="shared" ref="Z28" si="29">VLOOKUP(X28,Master_Frequencies,2,FALSE)*POWER(2,$Z$25)</f>
        <v>550.85407529025758</v>
      </c>
    </row>
    <row r="29" spans="2:26" x14ac:dyDescent="0.2">
      <c r="B29" s="123" t="s">
        <v>3</v>
      </c>
      <c r="C29" s="145" t="s">
        <v>70</v>
      </c>
      <c r="D29" s="97">
        <v>1</v>
      </c>
      <c r="E29" s="4">
        <f t="shared" ref="E29" si="30">LOG(D29*VLOOKUP(C29,Master_Frequencies,2,FALSE)/VLOOKUP(B29,Master_Frequencies,2,FALSE),2)*1200</f>
        <v>389.00000000001978</v>
      </c>
      <c r="F29" s="4">
        <f t="shared" ref="F29" si="31">VLOOKUP(B29,Master_Frequencies,2,FALSE)*5/4</f>
        <v>367.08095989675195</v>
      </c>
      <c r="G29" s="47">
        <f t="shared" ref="G29" si="32">IF($D$2="Cents",LOG(D29*VLOOKUP(C29,Master_Frequencies,2,FALSE)/F29,2)*1200*$D$3,LOG(D29*VLOOKUP(C29,Master_Frequencies,2,FALSE)/F29,$F$3))</f>
        <v>2.6862861351846514</v>
      </c>
      <c r="I29" s="123" t="s">
        <v>3</v>
      </c>
      <c r="J29" s="145" t="s">
        <v>7</v>
      </c>
      <c r="K29" s="97">
        <v>1</v>
      </c>
      <c r="L29" s="191">
        <f t="shared" ref="L29" si="33">K29*VLOOKUP(J29,Master_Frequencies,2,FALSE)/VLOOKUP(I29,Master_Frequencies,2,FALSE)</f>
        <v>1.4983070768767119</v>
      </c>
      <c r="M29" s="145" t="s">
        <v>3</v>
      </c>
      <c r="N29" s="145" t="s">
        <v>70</v>
      </c>
      <c r="O29" s="191">
        <f t="shared" ref="O29" si="34">D29*VLOOKUP(N29,Master_Frequencies,2,FALSE)/VLOOKUP(M29,Master_Frequencies,2,FALSE)</f>
        <v>1.2519410802051747</v>
      </c>
      <c r="Q29" s="99">
        <v>3</v>
      </c>
      <c r="R29" s="18">
        <f t="shared" si="25"/>
        <v>787.14678524828082</v>
      </c>
      <c r="S29" s="97">
        <v>1</v>
      </c>
      <c r="T29" s="4">
        <f t="shared" si="26"/>
        <v>393.57339262414041</v>
      </c>
      <c r="U29" s="18" t="str" cm="1">
        <f t="array" ref="U29">_xlfn.XLOOKUP(0,ABS($C$43:$C$55-T29),$B$43:$B$55,,1)</f>
        <v>G</v>
      </c>
      <c r="V29" s="47">
        <f t="shared" si="27"/>
        <v>-4.499913464837476E-2</v>
      </c>
      <c r="X29" s="85" t="s">
        <v>3</v>
      </c>
      <c r="Y29" s="4">
        <f t="shared" ref="Y29" si="35">VLOOKUP(X29,Master_Frequencies,2,FALSE)/POWER(2,$Z$25)</f>
        <v>146.83238395870077</v>
      </c>
      <c r="Z29" s="47">
        <f t="shared" ref="Z29" si="36">VLOOKUP(X29,Master_Frequencies,2,FALSE)*POWER(2,$Z$25)</f>
        <v>587.3295358348031</v>
      </c>
    </row>
    <row r="30" spans="2:26" x14ac:dyDescent="0.2">
      <c r="B30" s="123" t="s">
        <v>76</v>
      </c>
      <c r="C30" s="145" t="s">
        <v>6</v>
      </c>
      <c r="D30" s="97">
        <v>1</v>
      </c>
      <c r="E30" s="4">
        <f t="shared" ref="E30" si="37">LOG(D30*VLOOKUP(C30,Master_Frequencies,2,FALSE)/VLOOKUP(B30,Master_Frequencies,2,FALSE),2)*1200</f>
        <v>382.00000000001933</v>
      </c>
      <c r="F30" s="4">
        <f t="shared" ref="F30" si="38">VLOOKUP(B30,Master_Frequencies,2,FALSE)*5/4</f>
        <v>394.56553738551838</v>
      </c>
      <c r="G30" s="47">
        <f t="shared" ref="G30" si="39">IF($D$2="Cents",LOG(D30*VLOOKUP(C30,Master_Frequencies,2,FALSE)/F30,2)*1200*$D$3,LOG(D30*VLOOKUP(C30,Master_Frequencies,2,FALSE)/F30,$F$3))</f>
        <v>-4.3137138648154414</v>
      </c>
      <c r="I30" s="123" t="s">
        <v>76</v>
      </c>
      <c r="J30" s="145" t="s">
        <v>73</v>
      </c>
      <c r="K30" s="97">
        <v>1</v>
      </c>
      <c r="L30" s="191">
        <f t="shared" ref="L30" si="40">K30*VLOOKUP(J30,Master_Frequencies,2,FALSE)/VLOOKUP(I30,Master_Frequencies,2,FALSE)</f>
        <v>1.4845235706290789</v>
      </c>
      <c r="M30" s="145" t="s">
        <v>76</v>
      </c>
      <c r="N30" s="145" t="s">
        <v>6</v>
      </c>
      <c r="O30" s="191">
        <f t="shared" ref="O30" si="41">D30*VLOOKUP(N30,Master_Frequencies,2,FALSE)/VLOOKUP(M30,Master_Frequencies,2,FALSE)</f>
        <v>1.2468892535861111</v>
      </c>
      <c r="Q30" s="99">
        <v>4</v>
      </c>
      <c r="R30" s="18">
        <f t="shared" si="25"/>
        <v>1049.5290469977078</v>
      </c>
      <c r="S30" s="97">
        <v>1</v>
      </c>
      <c r="T30" s="4">
        <f t="shared" si="26"/>
        <v>524.76452349885392</v>
      </c>
      <c r="U30" s="18" t="str" cm="1">
        <f t="array" ref="U30">_xlfn.XLOOKUP(0,ABS($C$43:$C$55-T30),$B$43:$B$55,,1)</f>
        <v>c oct.</v>
      </c>
      <c r="V30" s="47">
        <f t="shared" si="27"/>
        <v>-6.112137769278972E-11</v>
      </c>
      <c r="X30" s="85" t="s">
        <v>76</v>
      </c>
      <c r="Y30" s="4">
        <f t="shared" ref="Y30" si="42">VLOOKUP(X30,Master_Frequencies,2,FALSE)/POWER(2,$Z$25)</f>
        <v>157.82621495420736</v>
      </c>
      <c r="Z30" s="47">
        <f t="shared" ref="Z30" si="43">VLOOKUP(X30,Master_Frequencies,2,FALSE)*POWER(2,$Z$25)</f>
        <v>631.30485981682943</v>
      </c>
    </row>
    <row r="31" spans="2:26" x14ac:dyDescent="0.2">
      <c r="B31" s="123" t="s">
        <v>4</v>
      </c>
      <c r="C31" s="145" t="s">
        <v>72</v>
      </c>
      <c r="D31" s="97">
        <v>1</v>
      </c>
      <c r="E31" s="4">
        <f t="shared" ref="E31" si="44">LOG(D31*VLOOKUP(C31,Master_Frequencies,2,FALSE)/VLOOKUP(B31,Master_Frequencies,2,FALSE),2)*1200</f>
        <v>397.00000000002024</v>
      </c>
      <c r="F31" s="4">
        <f t="shared" ref="F31" si="45">VLOOKUP(B31,Master_Frequencies,2,FALSE)*5/4</f>
        <v>410.37180672785473</v>
      </c>
      <c r="G31" s="47">
        <f t="shared" ref="G31" si="46">IF($D$2="Cents",LOG(D31*VLOOKUP(C31,Master_Frequencies,2,FALSE)/F31,2)*1200*$D$3,LOG(D31*VLOOKUP(C31,Master_Frequencies,2,FALSE)/F31,$F$3))</f>
        <v>10.686286135185361</v>
      </c>
      <c r="I31" s="123" t="s">
        <v>4</v>
      </c>
      <c r="J31" s="145" t="s">
        <v>8</v>
      </c>
      <c r="K31" s="97">
        <v>1</v>
      </c>
      <c r="L31" s="191">
        <f t="shared" ref="L31" si="47">K31*VLOOKUP(J31,Master_Frequencies,2,FALSE)/VLOOKUP(I31,Master_Frequencies,2,FALSE)</f>
        <v>1.5087286267502651</v>
      </c>
      <c r="M31" s="145" t="s">
        <v>4</v>
      </c>
      <c r="N31" s="145" t="s">
        <v>72</v>
      </c>
      <c r="O31" s="191">
        <f t="shared" ref="O31" si="48">D31*VLOOKUP(N31,Master_Frequencies,2,FALSE)/VLOOKUP(M31,Master_Frequencies,2,FALSE)</f>
        <v>1.2577396636592408</v>
      </c>
      <c r="Q31" s="99">
        <v>5</v>
      </c>
      <c r="R31" s="18">
        <f t="shared" si="25"/>
        <v>1311.9113087471349</v>
      </c>
      <c r="S31" s="97">
        <v>2</v>
      </c>
      <c r="T31" s="4">
        <f t="shared" si="26"/>
        <v>327.97782718678371</v>
      </c>
      <c r="U31" s="18" t="str" cm="1">
        <f t="array" ref="U31">_xlfn.XLOOKUP(0,ABS($C$43:$C$55-T31),$B$43:$B$55,,1)</f>
        <v>E</v>
      </c>
      <c r="V31" s="47">
        <f t="shared" si="27"/>
        <v>-1.6862861351847611</v>
      </c>
      <c r="X31" s="85" t="s">
        <v>4</v>
      </c>
      <c r="Y31" s="4">
        <f t="shared" ref="Y31" si="49">VLOOKUP(X31,Master_Frequencies,2,FALSE)/POWER(2,$Z$25)</f>
        <v>164.1487226911419</v>
      </c>
      <c r="Z31" s="47">
        <f t="shared" ref="Z31" si="50">VLOOKUP(X31,Master_Frequencies,2,FALSE)*POWER(2,$Z$25)</f>
        <v>656.59489076456759</v>
      </c>
    </row>
    <row r="32" spans="2:26" x14ac:dyDescent="0.2">
      <c r="B32" s="123" t="s">
        <v>5</v>
      </c>
      <c r="C32" s="145" t="s">
        <v>7</v>
      </c>
      <c r="D32" s="97">
        <v>1</v>
      </c>
      <c r="E32" s="4">
        <f t="shared" ref="E32" si="51">LOG(D32*VLOOKUP(C32,Master_Frequencies,2,FALSE)/VLOOKUP(B32,Master_Frequencies,2,FALSE),2)*1200</f>
        <v>370.00000000001916</v>
      </c>
      <c r="F32" s="4">
        <f t="shared" ref="F32" si="52">VLOOKUP(B32,Master_Frequencies,2,FALSE)*5/4</f>
        <v>444.16579174001816</v>
      </c>
      <c r="G32" s="47">
        <f t="shared" ref="G32" si="53">IF($D$2="Cents",LOG(D32*VLOOKUP(C32,Master_Frequencies,2,FALSE)/F32,2)*1200*$D$3,LOG(D32*VLOOKUP(C32,Master_Frequencies,2,FALSE)/F32,$F$3))</f>
        <v>-16.313713864815639</v>
      </c>
      <c r="I32" s="123" t="s">
        <v>5</v>
      </c>
      <c r="J32" s="145" t="s">
        <v>78</v>
      </c>
      <c r="K32" s="97">
        <v>1</v>
      </c>
      <c r="L32" s="191">
        <f t="shared" ref="L32" si="54">K32*VLOOKUP(J32,Master_Frequencies,2,FALSE)/VLOOKUP(I32,Master_Frequencies,2,FALSE)</f>
        <v>1.4768261459395291</v>
      </c>
      <c r="M32" s="145" t="s">
        <v>5</v>
      </c>
      <c r="N32" s="145" t="s">
        <v>7</v>
      </c>
      <c r="O32" s="191">
        <f t="shared" ref="O32" si="55">D32*VLOOKUP(N32,Master_Frequencies,2,FALSE)/VLOOKUP(M32,Master_Frequencies,2,FALSE)</f>
        <v>1.238276360377454</v>
      </c>
      <c r="Q32" s="99">
        <v>6</v>
      </c>
      <c r="R32" s="18">
        <f t="shared" si="25"/>
        <v>1574.2935704965616</v>
      </c>
      <c r="S32" s="97">
        <v>2</v>
      </c>
      <c r="T32" s="4">
        <f t="shared" si="26"/>
        <v>393.57339262414041</v>
      </c>
      <c r="U32" s="18" t="str" cm="1">
        <f t="array" ref="U32">_xlfn.XLOOKUP(0,ABS($C$43:$C$55-T32),$B$43:$B$55,,1)</f>
        <v>G</v>
      </c>
      <c r="V32" s="47">
        <f t="shared" si="27"/>
        <v>-4.499913464837476E-2</v>
      </c>
      <c r="X32" s="85" t="s">
        <v>5</v>
      </c>
      <c r="Y32" s="4">
        <f t="shared" ref="Y32" si="56">VLOOKUP(X32,Master_Frequencies,2,FALSE)/POWER(2,$Z$25)</f>
        <v>177.66631669600727</v>
      </c>
      <c r="Z32" s="47">
        <f t="shared" ref="Z32" si="57">VLOOKUP(X32,Master_Frequencies,2,FALSE)*POWER(2,$Z$25)</f>
        <v>710.66526678402909</v>
      </c>
    </row>
    <row r="33" spans="2:26" x14ac:dyDescent="0.2">
      <c r="B33" s="123" t="s">
        <v>70</v>
      </c>
      <c r="C33" s="145" t="s">
        <v>73</v>
      </c>
      <c r="D33" s="97">
        <v>1</v>
      </c>
      <c r="E33" s="4">
        <f t="shared" ref="E33" si="58">LOG(D33*VLOOKUP(C33,Master_Frequencies,2,FALSE)/VLOOKUP(B33,Master_Frequencies,2,FALSE),2)*1200</f>
        <v>420.00000000002132</v>
      </c>
      <c r="F33" s="4">
        <f t="shared" ref="F33" si="59">VLOOKUP(B33,Master_Frequencies,2,FALSE)*5/4</f>
        <v>459.56373345589202</v>
      </c>
      <c r="G33" s="47">
        <f t="shared" ref="G33" si="60">IF($D$2="Cents",LOG(D33*VLOOKUP(C33,Master_Frequencies,2,FALSE)/F33,2)*1200*$D$3,LOG(D33*VLOOKUP(C33,Master_Frequencies,2,FALSE)/F33,$F$3))</f>
        <v>33.686286135186414</v>
      </c>
      <c r="I33" s="123" t="s">
        <v>70</v>
      </c>
      <c r="J33" s="145" t="s">
        <v>74</v>
      </c>
      <c r="K33" s="97">
        <v>2</v>
      </c>
      <c r="L33" s="191">
        <f t="shared" ref="L33" si="61">K33*VLOOKUP(J33,Master_Frequencies,2,FALSE)/VLOOKUP(I33,Master_Frequencies,2,FALSE)</f>
        <v>1.4983070768766598</v>
      </c>
      <c r="M33" s="145" t="s">
        <v>70</v>
      </c>
      <c r="N33" s="145" t="s">
        <v>73</v>
      </c>
      <c r="O33" s="191">
        <f t="shared" ref="O33" si="62">D33*VLOOKUP(N33,Master_Frequencies,2,FALSE)/VLOOKUP(M33,Master_Frequencies,2,FALSE)</f>
        <v>1.2745606273192778</v>
      </c>
      <c r="Q33" s="99">
        <v>7</v>
      </c>
      <c r="R33" s="18">
        <f t="shared" si="25"/>
        <v>1836.6758322459887</v>
      </c>
      <c r="S33" s="97">
        <v>2</v>
      </c>
      <c r="T33" s="4">
        <f t="shared" si="26"/>
        <v>459.16895806149716</v>
      </c>
      <c r="U33" s="18" t="str" cm="1">
        <f t="array" ref="U33">_xlfn.XLOOKUP(0,ABS($C$43:$C$55-T33),$B$43:$B$55,,1)</f>
        <v>A#</v>
      </c>
      <c r="V33" s="47">
        <f t="shared" si="27"/>
        <v>-35.174093530926285</v>
      </c>
      <c r="X33" s="85" t="s">
        <v>70</v>
      </c>
      <c r="Y33" s="4">
        <f t="shared" ref="Y33" si="63">VLOOKUP(X33,Master_Frequencies,2,FALSE)/POWER(2,$Z$25)</f>
        <v>183.8254933823568</v>
      </c>
      <c r="Z33" s="47">
        <f t="shared" ref="Z33" si="64">VLOOKUP(X33,Master_Frequencies,2,FALSE)*POWER(2,$Z$25)</f>
        <v>735.30197352942719</v>
      </c>
    </row>
    <row r="34" spans="2:26" x14ac:dyDescent="0.2">
      <c r="B34" s="123" t="s">
        <v>6</v>
      </c>
      <c r="C34" s="145" t="s">
        <v>8</v>
      </c>
      <c r="D34" s="97">
        <v>1</v>
      </c>
      <c r="E34" s="4">
        <f t="shared" ref="E34" si="65">LOG(D34*VLOOKUP(C34,Master_Frequencies,2,FALSE)/VLOOKUP(B34,Master_Frequencies,2,FALSE),2)*1200</f>
        <v>398.00000000002046</v>
      </c>
      <c r="F34" s="4">
        <f t="shared" ref="F34" si="66">VLOOKUP(B34,Master_Frequencies,2,FALSE)*5/4</f>
        <v>491.97952840143188</v>
      </c>
      <c r="G34" s="47">
        <f t="shared" ref="G34" si="67">IF($D$2="Cents",LOG(D34*VLOOKUP(C34,Master_Frequencies,2,FALSE)/F34,2)*1200*$D$3,LOG(D34*VLOOKUP(C34,Master_Frequencies,2,FALSE)/F34,$F$3))</f>
        <v>11.686286135185593</v>
      </c>
      <c r="I34" s="123" t="s">
        <v>6</v>
      </c>
      <c r="J34" s="145" t="s">
        <v>3</v>
      </c>
      <c r="K34" s="97">
        <v>2</v>
      </c>
      <c r="L34" s="191">
        <f t="shared" ref="L34" si="68">K34*VLOOKUP(J34,Master_Frequencies,2,FALSE)/VLOOKUP(I34,Master_Frequencies,2,FALSE)</f>
        <v>1.4922611153740175</v>
      </c>
      <c r="M34" s="145" t="s">
        <v>6</v>
      </c>
      <c r="N34" s="145" t="s">
        <v>8</v>
      </c>
      <c r="O34" s="191">
        <f t="shared" ref="O34" si="69">D34*VLOOKUP(N34,Master_Frequencies,2,FALSE)/VLOOKUP(M34,Master_Frequencies,2,FALSE)</f>
        <v>1.2584663724388812</v>
      </c>
      <c r="Q34" s="99">
        <v>8</v>
      </c>
      <c r="R34" s="18">
        <f t="shared" si="25"/>
        <v>2099.0580939954157</v>
      </c>
      <c r="S34" s="97">
        <v>3</v>
      </c>
      <c r="T34" s="4">
        <f t="shared" si="26"/>
        <v>262.38226174942696</v>
      </c>
      <c r="U34" s="18" t="str" cm="1">
        <f t="array" ref="U34">_xlfn.XLOOKUP(0,ABS($C$43:$C$55-T34),$B$43:$B$55,,1)</f>
        <v>C</v>
      </c>
      <c r="V34" s="47">
        <f t="shared" si="27"/>
        <v>0</v>
      </c>
      <c r="X34" s="85" t="s">
        <v>6</v>
      </c>
      <c r="Y34" s="4">
        <f t="shared" ref="Y34" si="70">VLOOKUP(X34,Master_Frequencies,2,FALSE)/POWER(2,$Z$25)</f>
        <v>196.79181136057275</v>
      </c>
      <c r="Z34" s="47">
        <f t="shared" ref="Z34" si="71">VLOOKUP(X34,Master_Frequencies,2,FALSE)*POWER(2,$Z$25)</f>
        <v>787.16724544229101</v>
      </c>
    </row>
    <row r="35" spans="2:26" x14ac:dyDescent="0.2">
      <c r="B35" s="123" t="s">
        <v>72</v>
      </c>
      <c r="C35" s="145" t="s">
        <v>78</v>
      </c>
      <c r="D35" s="97">
        <v>1</v>
      </c>
      <c r="E35" s="4">
        <f t="shared" ref="E35" si="72">LOG(D35*VLOOKUP(C35,Master_Frequencies,2,FALSE)/VLOOKUP(B35,Master_Frequencies,2,FALSE),2)*1200</f>
        <v>415.00000000002132</v>
      </c>
      <c r="F35" s="4">
        <f t="shared" ref="F35" si="73">VLOOKUP(B35,Master_Frequencies,2,FALSE)*5/4</f>
        <v>516.14089816912701</v>
      </c>
      <c r="G35" s="47">
        <f t="shared" ref="G35" si="74">IF($D$2="Cents",LOG(D35*VLOOKUP(C35,Master_Frequencies,2,FALSE)/F35,2)*1200*$D$3,LOG(D35*VLOOKUP(C35,Master_Frequencies,2,FALSE)/F35,$F$3))</f>
        <v>28.686286135186631</v>
      </c>
      <c r="I35" s="123" t="s">
        <v>72</v>
      </c>
      <c r="J35" s="145" t="s">
        <v>76</v>
      </c>
      <c r="K35" s="97">
        <v>2</v>
      </c>
      <c r="L35" s="191">
        <f t="shared" ref="L35" si="75">K35*VLOOKUP(J35,Master_Frequencies,2,FALSE)/VLOOKUP(I35,Master_Frequencies,2,FALSE)</f>
        <v>1.5289063075029901</v>
      </c>
      <c r="M35" s="145" t="s">
        <v>72</v>
      </c>
      <c r="N35" s="145" t="s">
        <v>78</v>
      </c>
      <c r="O35" s="191">
        <f t="shared" ref="O35" si="76">D35*VLOOKUP(N35,Master_Frequencies,2,FALSE)/VLOOKUP(M35,Master_Frequencies,2,FALSE)</f>
        <v>1.2708848624482565</v>
      </c>
      <c r="Q35" s="99">
        <v>9</v>
      </c>
      <c r="R35" s="18">
        <f t="shared" si="25"/>
        <v>2361.4403557448427</v>
      </c>
      <c r="S35" s="97">
        <v>3</v>
      </c>
      <c r="T35" s="4">
        <f t="shared" si="26"/>
        <v>295.18004446810534</v>
      </c>
      <c r="U35" s="18" t="str" cm="1">
        <f t="array" ref="U35">_xlfn.XLOOKUP(0,ABS($C$43:$C$55-T35),$B$43:$B$55,,1)</f>
        <v>D</v>
      </c>
      <c r="V35" s="47">
        <f t="shared" si="27"/>
        <v>8.9100017307647157</v>
      </c>
      <c r="X35" s="85" t="s">
        <v>72</v>
      </c>
      <c r="Y35" s="4">
        <f t="shared" ref="Y35" si="77">VLOOKUP(X35,Master_Frequencies,2,FALSE)/POWER(2,$Z$25)</f>
        <v>206.45635926765081</v>
      </c>
      <c r="Z35" s="47">
        <f t="shared" ref="Z35" si="78">VLOOKUP(X35,Master_Frequencies,2,FALSE)*POWER(2,$Z$25)</f>
        <v>825.82543707060324</v>
      </c>
    </row>
    <row r="36" spans="2:26" x14ac:dyDescent="0.2">
      <c r="B36" s="123" t="s">
        <v>7</v>
      </c>
      <c r="C36" s="145" t="s">
        <v>74</v>
      </c>
      <c r="D36" s="97">
        <v>2</v>
      </c>
      <c r="E36" s="4">
        <f t="shared" ref="E36" si="79">LOG(D36*VLOOKUP(C36,Master_Frequencies,2,FALSE)/VLOOKUP(B36,Master_Frequencies,2,FALSE),2)*1200</f>
        <v>388.9999999999593</v>
      </c>
      <c r="F36" s="4">
        <f t="shared" ref="F36" si="80">VLOOKUP(B36,Master_Frequencies,2,FALSE)*5/4</f>
        <v>549.99999999999989</v>
      </c>
      <c r="G36" s="47">
        <f t="shared" ref="G36" si="81">IF($D$2="Cents",LOG(D36*VLOOKUP(C36,Master_Frequencies,2,FALSE)/F36,2)*1200*$D$3,LOG(D36*VLOOKUP(C36,Master_Frequencies,2,FALSE)/F36,$F$3))</f>
        <v>2.6862861351247767</v>
      </c>
      <c r="I36" s="123" t="s">
        <v>7</v>
      </c>
      <c r="J36" s="145" t="s">
        <v>4</v>
      </c>
      <c r="K36" s="97">
        <v>2</v>
      </c>
      <c r="L36" s="191">
        <f t="shared" ref="L36" si="82">K36*VLOOKUP(J36,Master_Frequencies,2,FALSE)/VLOOKUP(I36,Master_Frequencies,2,FALSE)</f>
        <v>1.4922611153740175</v>
      </c>
      <c r="M36" s="145" t="s">
        <v>7</v>
      </c>
      <c r="N36" s="145" t="s">
        <v>74</v>
      </c>
      <c r="O36" s="191">
        <f t="shared" ref="O36" si="83">D36*VLOOKUP(N36,Master_Frequencies,2,FALSE)/VLOOKUP(M36,Master_Frequencies,2,FALSE)</f>
        <v>1.251941080205131</v>
      </c>
      <c r="Q36" s="99">
        <v>10</v>
      </c>
      <c r="R36" s="18">
        <f t="shared" si="25"/>
        <v>2623.8226174942697</v>
      </c>
      <c r="S36" s="97">
        <v>3</v>
      </c>
      <c r="T36" s="4">
        <f t="shared" si="26"/>
        <v>327.97782718678371</v>
      </c>
      <c r="U36" s="18" t="str" cm="1">
        <f t="array" ref="U36">_xlfn.XLOOKUP(0,ABS($C$43:$C$55-T36),$B$43:$B$55,,1)</f>
        <v>E</v>
      </c>
      <c r="V36" s="47">
        <f t="shared" si="27"/>
        <v>-1.6862861351847611</v>
      </c>
      <c r="X36" s="85" t="s">
        <v>7</v>
      </c>
      <c r="Y36" s="4">
        <f t="shared" ref="Y36" si="84">VLOOKUP(X36,Master_Frequencies,2,FALSE)/POWER(2,$Z$25)</f>
        <v>219.99999999999997</v>
      </c>
      <c r="Z36" s="47">
        <f t="shared" ref="Z36" si="85">VLOOKUP(X36,Master_Frequencies,2,FALSE)*POWER(2,$Z$25)</f>
        <v>879.99999999999989</v>
      </c>
    </row>
    <row r="37" spans="2:26" x14ac:dyDescent="0.2">
      <c r="B37" s="123" t="s">
        <v>73</v>
      </c>
      <c r="C37" s="145" t="s">
        <v>3</v>
      </c>
      <c r="D37" s="97">
        <v>2</v>
      </c>
      <c r="E37" s="4">
        <f t="shared" ref="E37" si="86">LOG(D37*VLOOKUP(C37,Master_Frequencies,2,FALSE)/VLOOKUP(B37,Master_Frequencies,2,FALSE),2)*1200</f>
        <v>390.99999999995913</v>
      </c>
      <c r="F37" s="4">
        <f t="shared" ref="F37" si="87">VLOOKUP(B37,Master_Frequencies,2,FALSE)*5/4</f>
        <v>585.74184040673106</v>
      </c>
      <c r="G37" s="47">
        <f t="shared" ref="G37" si="88">IF($D$2="Cents",LOG(D37*VLOOKUP(C37,Master_Frequencies,2,FALSE)/F37,2)*1200*$D$3,LOG(D37*VLOOKUP(C37,Master_Frequencies,2,FALSE)/F37,$F$3))</f>
        <v>4.6862861351243525</v>
      </c>
      <c r="I37" s="123" t="s">
        <v>73</v>
      </c>
      <c r="J37" s="145" t="s">
        <v>5</v>
      </c>
      <c r="K37" s="97">
        <v>2</v>
      </c>
      <c r="L37" s="191">
        <f t="shared" ref="L37" si="89">K37*VLOOKUP(J37,Master_Frequencies,2,FALSE)/VLOOKUP(I37,Master_Frequencies,2,FALSE)</f>
        <v>1.5165923316374175</v>
      </c>
      <c r="M37" s="145" t="s">
        <v>73</v>
      </c>
      <c r="N37" s="145" t="s">
        <v>3</v>
      </c>
      <c r="O37" s="191">
        <f t="shared" ref="O37" si="90">D37*VLOOKUP(N37,Master_Frequencies,2,FALSE)/VLOOKUP(M37,Master_Frequencies,2,FALSE)</f>
        <v>1.2533882149919697</v>
      </c>
      <c r="Q37" s="99">
        <v>11</v>
      </c>
      <c r="R37" s="18">
        <f t="shared" si="25"/>
        <v>2886.2048792436967</v>
      </c>
      <c r="S37" s="97">
        <v>3</v>
      </c>
      <c r="T37" s="4">
        <f t="shared" si="26"/>
        <v>360.77560990546209</v>
      </c>
      <c r="U37" s="18" t="str" cm="1">
        <f t="array" ref="U37">_xlfn.XLOOKUP(0,ABS($C$43:$C$55-T37),$B$43:$B$55,,1)</f>
        <v>F</v>
      </c>
      <c r="V37" s="47">
        <f t="shared" si="27"/>
        <v>26.317942364730694</v>
      </c>
      <c r="X37" s="85" t="s">
        <v>73</v>
      </c>
      <c r="Y37" s="4">
        <f t="shared" ref="Y37" si="91">VLOOKUP(X37,Master_Frequencies,2,FALSE)/POWER(2,$Z$25)</f>
        <v>234.29673616269244</v>
      </c>
      <c r="Z37" s="47">
        <f t="shared" ref="Z37" si="92">VLOOKUP(X37,Master_Frequencies,2,FALSE)*POWER(2,$Z$25)</f>
        <v>937.18694465076976</v>
      </c>
    </row>
    <row r="38" spans="2:26" x14ac:dyDescent="0.2">
      <c r="B38" s="124" t="s">
        <v>8</v>
      </c>
      <c r="C38" s="153" t="s">
        <v>76</v>
      </c>
      <c r="D38" s="98">
        <v>2</v>
      </c>
      <c r="E38" s="53">
        <f t="shared" ref="E38" si="93">LOG(D38*VLOOKUP(C38,Master_Frequencies,2,FALSE)/VLOOKUP(B38,Master_Frequencies,2,FALSE),2)*1200</f>
        <v>419.99999999996032</v>
      </c>
      <c r="F38" s="53">
        <f t="shared" ref="F38" si="94">VLOOKUP(B38,Master_Frequencies,2,FALSE)*5/4</f>
        <v>619.13969242154144</v>
      </c>
      <c r="G38" s="48">
        <f t="shared" ref="G38" si="95">IF($D$2="Cents",LOG(D38*VLOOKUP(C38,Master_Frequencies,2,FALSE)/F38,2)*1200*$D$3,LOG(D38*VLOOKUP(C38,Master_Frequencies,2,FALSE)/F38,$F$3))</f>
        <v>33.686286135125336</v>
      </c>
      <c r="I38" s="124" t="s">
        <v>8</v>
      </c>
      <c r="J38" s="153" t="s">
        <v>70</v>
      </c>
      <c r="K38" s="98">
        <v>2</v>
      </c>
      <c r="L38" s="192">
        <f t="shared" ref="L38" si="96">K38*VLOOKUP(J38,Master_Frequencies,2,FALSE)/VLOOKUP(I38,Master_Frequencies,2,FALSE)</f>
        <v>1.4845235706290265</v>
      </c>
      <c r="M38" s="153" t="s">
        <v>8</v>
      </c>
      <c r="N38" s="153" t="s">
        <v>76</v>
      </c>
      <c r="O38" s="192">
        <f t="shared" ref="O38" si="97">D38*VLOOKUP(N38,Master_Frequencies,2,FALSE)/VLOOKUP(M38,Master_Frequencies,2,FALSE)</f>
        <v>1.2745606273192329</v>
      </c>
      <c r="Q38" s="99">
        <v>12</v>
      </c>
      <c r="R38" s="18">
        <f t="shared" si="25"/>
        <v>3148.5871409931233</v>
      </c>
      <c r="S38" s="97">
        <v>3</v>
      </c>
      <c r="T38" s="4">
        <f t="shared" si="26"/>
        <v>393.57339262414041</v>
      </c>
      <c r="U38" s="18" t="str" cm="1">
        <f t="array" ref="U38">_xlfn.XLOOKUP(0,ABS($C$43:$C$55-T38),$B$43:$B$55,,1)</f>
        <v>G</v>
      </c>
      <c r="V38" s="47">
        <f t="shared" si="27"/>
        <v>-4.499913464837476E-2</v>
      </c>
      <c r="X38" s="85" t="s">
        <v>8</v>
      </c>
      <c r="Y38" s="4">
        <f t="shared" ref="Y38" si="98">VLOOKUP(X38,Master_Frequencies,2,FALSE)/POWER(2,$Z$25)</f>
        <v>247.65587696861658</v>
      </c>
      <c r="Z38" s="47">
        <f t="shared" ref="Z38" si="99">VLOOKUP(X38,Master_Frequencies,2,FALSE)*POWER(2,$Z$25)</f>
        <v>990.62350787446633</v>
      </c>
    </row>
    <row r="39" spans="2:26" x14ac:dyDescent="0.2">
      <c r="Q39" s="100">
        <v>13</v>
      </c>
      <c r="R39" s="50">
        <f t="shared" si="25"/>
        <v>3410.9694027425503</v>
      </c>
      <c r="S39" s="98">
        <v>3</v>
      </c>
      <c r="T39" s="53">
        <f t="shared" si="26"/>
        <v>426.37117534281879</v>
      </c>
      <c r="U39" s="50" t="str" cm="1">
        <f t="array" ref="U39">_xlfn.XLOOKUP(0,ABS($C$43:$C$55-T39),$B$43:$B$55,,1)</f>
        <v>G#</v>
      </c>
      <c r="V39" s="48">
        <f t="shared" si="27"/>
        <v>55.527661769270743</v>
      </c>
      <c r="X39" s="87" t="s">
        <v>78</v>
      </c>
      <c r="Y39" s="53">
        <f t="shared" ref="Y39" si="100">VLOOKUP(X39,Master_Frequencies,2,FALSE)/POWER(2,$Z$25)</f>
        <v>262.38226174943622</v>
      </c>
      <c r="Z39" s="48">
        <f t="shared" ref="Z39" si="101">VLOOKUP(X39,Master_Frequencies,2,FALSE)*POWER(2,$Z$25)</f>
        <v>1049.5290469977449</v>
      </c>
    </row>
    <row r="40" spans="2:26" ht="16" thickBot="1" x14ac:dyDescent="0.25"/>
    <row r="41" spans="2:26" ht="17" customHeight="1" thickTop="1" x14ac:dyDescent="0.2">
      <c r="B41" s="308" t="s">
        <v>138</v>
      </c>
      <c r="C41" s="309"/>
    </row>
    <row r="42" spans="2:26" ht="32" x14ac:dyDescent="0.2">
      <c r="B42" s="90" t="s">
        <v>14</v>
      </c>
      <c r="C42" s="91" t="s">
        <v>15</v>
      </c>
    </row>
    <row r="43" spans="2:26" x14ac:dyDescent="0.2">
      <c r="B43" s="92" t="s">
        <v>2</v>
      </c>
      <c r="C43" s="93">
        <f>VLOOKUP(B43,$B$9:$H$21,3,FALSE)</f>
        <v>262.38226174942696</v>
      </c>
    </row>
    <row r="44" spans="2:26" x14ac:dyDescent="0.2">
      <c r="B44" s="92" t="s">
        <v>74</v>
      </c>
      <c r="C44" s="93">
        <f t="shared" ref="C44:C55" si="102">VLOOKUP(B44,$B$9:$H$21,3,FALSE)</f>
        <v>275.42703764512879</v>
      </c>
    </row>
    <row r="45" spans="2:26" x14ac:dyDescent="0.2">
      <c r="B45" s="92" t="s">
        <v>3</v>
      </c>
      <c r="C45" s="93">
        <f t="shared" si="102"/>
        <v>293.66476791740155</v>
      </c>
    </row>
    <row r="46" spans="2:26" x14ac:dyDescent="0.2">
      <c r="B46" s="92" t="s">
        <v>76</v>
      </c>
      <c r="C46" s="93">
        <f t="shared" si="102"/>
        <v>315.65242990841472</v>
      </c>
    </row>
    <row r="47" spans="2:26" x14ac:dyDescent="0.2">
      <c r="B47" s="92" t="s">
        <v>4</v>
      </c>
      <c r="C47" s="93">
        <f t="shared" si="102"/>
        <v>328.2974453822838</v>
      </c>
    </row>
    <row r="48" spans="2:26" x14ac:dyDescent="0.2">
      <c r="B48" s="92" t="s">
        <v>5</v>
      </c>
      <c r="C48" s="93">
        <f t="shared" si="102"/>
        <v>355.33263339201454</v>
      </c>
    </row>
    <row r="49" spans="2:3" x14ac:dyDescent="0.2">
      <c r="B49" s="92" t="s">
        <v>70</v>
      </c>
      <c r="C49" s="93">
        <f t="shared" si="102"/>
        <v>367.65098676471359</v>
      </c>
    </row>
    <row r="50" spans="2:3" x14ac:dyDescent="0.2">
      <c r="B50" s="92" t="s">
        <v>6</v>
      </c>
      <c r="C50" s="93">
        <f t="shared" si="102"/>
        <v>393.5836227211455</v>
      </c>
    </row>
    <row r="51" spans="2:3" x14ac:dyDescent="0.2">
      <c r="B51" s="92" t="s">
        <v>72</v>
      </c>
      <c r="C51" s="93">
        <f t="shared" si="102"/>
        <v>412.91271853530162</v>
      </c>
    </row>
    <row r="52" spans="2:3" x14ac:dyDescent="0.2">
      <c r="B52" s="92" t="s">
        <v>7</v>
      </c>
      <c r="C52" s="93">
        <f t="shared" si="102"/>
        <v>439.99999999999994</v>
      </c>
    </row>
    <row r="53" spans="2:3" x14ac:dyDescent="0.2">
      <c r="B53" s="92" t="s">
        <v>73</v>
      </c>
      <c r="C53" s="93">
        <f t="shared" si="102"/>
        <v>468.59347232538488</v>
      </c>
    </row>
    <row r="54" spans="2:3" x14ac:dyDescent="0.2">
      <c r="B54" s="92" t="s">
        <v>8</v>
      </c>
      <c r="C54" s="93">
        <f t="shared" si="102"/>
        <v>495.31175393723316</v>
      </c>
    </row>
    <row r="55" spans="2:3" ht="16" thickBot="1" x14ac:dyDescent="0.25">
      <c r="B55" s="94" t="s">
        <v>78</v>
      </c>
      <c r="C55" s="95">
        <f t="shared" si="102"/>
        <v>524.76452349887245</v>
      </c>
    </row>
    <row r="56" spans="2:3" ht="16" thickTop="1" x14ac:dyDescent="0.2"/>
  </sheetData>
  <sheetProtection sheet="1" scenarios="1" formatCells="0"/>
  <mergeCells count="9">
    <mergeCell ref="X24:Z24"/>
    <mergeCell ref="B25:D25"/>
    <mergeCell ref="I25:O25"/>
    <mergeCell ref="Q25:V25"/>
    <mergeCell ref="B41:C41"/>
    <mergeCell ref="B1:H1"/>
    <mergeCell ref="B7:F7"/>
    <mergeCell ref="H7:M7"/>
    <mergeCell ref="P7:U7"/>
  </mergeCells>
  <conditionalFormatting sqref="A1 I1:XFD1 A2:XFD1048576">
    <cfRule type="expression" dxfId="27" priority="3">
      <formula>_xlfn.ISFORMULA(A1)</formula>
    </cfRule>
  </conditionalFormatting>
  <conditionalFormatting sqref="A1:XFD1048576">
    <cfRule type="expression" dxfId="26"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E7C458E3-01C2-CB47-8768-4CA9C702AB6E}">
      <formula1>Units</formula1>
    </dataValidation>
  </dataValidations>
  <hyperlinks>
    <hyperlink ref="B4" location="Overview!A1" display="Back to Overview" xr:uid="{993AE800-E571-8F4B-9FC3-5EFF416E56A4}"/>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5095-AAAE-A84E-8925-B7D8EA78FF39}">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539</v>
      </c>
      <c r="C1" s="289"/>
      <c r="D1" s="289"/>
      <c r="E1" s="289"/>
      <c r="F1" s="289"/>
      <c r="G1" s="289"/>
      <c r="P1" s="4" t="s">
        <v>478</v>
      </c>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I2*2*8/27*POWER($F$3,$D$12-$D$9)</f>
        <v>262.81000393730903</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262.81000393730903</v>
      </c>
      <c r="G9" s="97">
        <v>0</v>
      </c>
      <c r="H9" s="188">
        <f t="shared" ref="H9:H21" si="0">E9/POWER(2,G9)</f>
        <v>262.81000393730903</v>
      </c>
      <c r="J9" s="85" t="s">
        <v>2</v>
      </c>
      <c r="K9" s="4">
        <f t="shared" ref="K9:K21" si="1">VLOOKUP(J9,Master_Frequencies,2,FALSE)</f>
        <v>262.81000393730903</v>
      </c>
      <c r="L9" s="4">
        <f t="shared" ref="L9:L21" si="2">LOG(K9/K$9,2)*1200</f>
        <v>0</v>
      </c>
      <c r="N9" s="158">
        <v>3600</v>
      </c>
      <c r="P9" s="123" t="str">
        <f>J9</f>
        <v>C</v>
      </c>
      <c r="Q9" s="4">
        <f>E9</f>
        <v>262.81000393730903</v>
      </c>
      <c r="R9" s="4">
        <f>LOG(K9/Q9,2)*1200</f>
        <v>0</v>
      </c>
      <c r="S9" s="145" t="str">
        <f t="shared" ref="S9:S21" si="3">B9</f>
        <v>C</v>
      </c>
      <c r="T9" s="4">
        <f t="shared" ref="T9:T21" si="4">VLOOKUP(S9,Master_Frequencies,2,FALSE)</f>
        <v>262.81000393730903</v>
      </c>
      <c r="U9" s="47">
        <f t="shared" ref="U9:U21" si="5">VLOOKUP(S9,$P$9:$R$21,3,FALSE)</f>
        <v>0</v>
      </c>
    </row>
    <row r="10" spans="2:23" x14ac:dyDescent="0.2">
      <c r="B10" s="107" t="s">
        <v>6</v>
      </c>
      <c r="C10" s="185">
        <v>-2</v>
      </c>
      <c r="D10" s="4">
        <f>D9+C10</f>
        <v>-2</v>
      </c>
      <c r="E10" s="4">
        <f t="shared" ref="E10:E21" si="6">IF(C10&lt;0,(E9*3/2)*POWER($F$3,ABS(C10)),(E9*3/2)*POWER(1/$F$3,ABS(C10)))</f>
        <v>393.32567378088834</v>
      </c>
      <c r="F10" s="4">
        <f t="shared" ref="F10:F21" si="7">LOG(E10/E9,2)*1200</f>
        <v>698.04499913461268</v>
      </c>
      <c r="G10" s="97">
        <v>0</v>
      </c>
      <c r="H10" s="188">
        <f t="shared" si="0"/>
        <v>393.32567378088834</v>
      </c>
      <c r="J10" s="85" t="s">
        <v>74</v>
      </c>
      <c r="K10" s="4">
        <f t="shared" si="1"/>
        <v>276.24519201071979</v>
      </c>
      <c r="L10" s="4">
        <f t="shared" si="2"/>
        <v>86.314993942287188</v>
      </c>
      <c r="M10" s="4">
        <f t="shared" ref="M10:M21" si="8">LOG(K10/K9,2)*1200</f>
        <v>86.314993942287188</v>
      </c>
      <c r="N10" s="47">
        <f t="shared" ref="N10:N21" si="9">N$9*K$9/K10</f>
        <v>3424.9139588195912</v>
      </c>
      <c r="P10" s="123" t="str">
        <f t="shared" ref="P10:P21" si="10">J10</f>
        <v>C#</v>
      </c>
      <c r="Q10" s="4">
        <f t="shared" ref="Q10:Q21" si="11">Q9*POWER($Q$9*2/$Q$9,1/12)</f>
        <v>278.4375</v>
      </c>
      <c r="R10" s="4">
        <f t="shared" ref="R10:R21" si="12">LOG(K10/Q10,2)*1200</f>
        <v>-13.685006057712965</v>
      </c>
      <c r="S10" s="145" t="str">
        <f t="shared" si="3"/>
        <v>G</v>
      </c>
      <c r="T10" s="4">
        <f t="shared" si="4"/>
        <v>393.32567378088834</v>
      </c>
      <c r="U10" s="47">
        <f t="shared" si="5"/>
        <v>-1.9550008653879698</v>
      </c>
    </row>
    <row r="11" spans="2:23" x14ac:dyDescent="0.2">
      <c r="B11" s="107" t="s">
        <v>3</v>
      </c>
      <c r="C11" s="185">
        <v>-3</v>
      </c>
      <c r="D11" s="4">
        <f t="shared" ref="D11:D21" si="13">D10+C11</f>
        <v>-5</v>
      </c>
      <c r="E11" s="4">
        <f t="shared" si="6"/>
        <v>587.99315397262387</v>
      </c>
      <c r="F11" s="4">
        <f t="shared" si="7"/>
        <v>696.08999826922502</v>
      </c>
      <c r="G11" s="97">
        <v>1</v>
      </c>
      <c r="H11" s="188">
        <f t="shared" si="0"/>
        <v>293.99657698631194</v>
      </c>
      <c r="J11" s="85" t="s">
        <v>3</v>
      </c>
      <c r="K11" s="4">
        <f t="shared" si="1"/>
        <v>293.99657698631194</v>
      </c>
      <c r="L11" s="4">
        <f t="shared" si="2"/>
        <v>194.13499740383753</v>
      </c>
      <c r="M11" s="4">
        <f t="shared" si="8"/>
        <v>107.82000346155051</v>
      </c>
      <c r="N11" s="47">
        <f t="shared" si="9"/>
        <v>3218.1191491163595</v>
      </c>
      <c r="P11" s="123" t="str">
        <f t="shared" si="10"/>
        <v>D</v>
      </c>
      <c r="Q11" s="4">
        <f t="shared" si="11"/>
        <v>294.99425533566631</v>
      </c>
      <c r="R11" s="4">
        <f t="shared" si="12"/>
        <v>-5.8650025961626593</v>
      </c>
      <c r="S11" s="145" t="str">
        <f t="shared" si="3"/>
        <v>D</v>
      </c>
      <c r="T11" s="4">
        <f t="shared" si="4"/>
        <v>293.99657698631194</v>
      </c>
      <c r="U11" s="47">
        <f t="shared" si="5"/>
        <v>-5.8650025961626593</v>
      </c>
    </row>
    <row r="12" spans="2:23" x14ac:dyDescent="0.2">
      <c r="B12" s="107" t="s">
        <v>7</v>
      </c>
      <c r="C12" s="185">
        <v>-2</v>
      </c>
      <c r="D12" s="4">
        <f t="shared" si="13"/>
        <v>-7</v>
      </c>
      <c r="E12" s="4">
        <f t="shared" si="6"/>
        <v>879.99999999999977</v>
      </c>
      <c r="F12" s="4">
        <f t="shared" si="7"/>
        <v>698.04499913461223</v>
      </c>
      <c r="G12" s="97">
        <v>1</v>
      </c>
      <c r="H12" s="188">
        <f t="shared" si="0"/>
        <v>439.99999999999989</v>
      </c>
      <c r="J12" s="85" t="s">
        <v>76</v>
      </c>
      <c r="K12" s="4">
        <f t="shared" si="1"/>
        <v>312.53552657614063</v>
      </c>
      <c r="L12" s="4">
        <f t="shared" si="2"/>
        <v>299.99999999999773</v>
      </c>
      <c r="M12" s="4">
        <f t="shared" si="8"/>
        <v>105.86500259616002</v>
      </c>
      <c r="N12" s="47">
        <f t="shared" si="9"/>
        <v>3027.2270949133763</v>
      </c>
      <c r="P12" s="123" t="str">
        <f t="shared" si="10"/>
        <v>D#</v>
      </c>
      <c r="Q12" s="4">
        <f t="shared" si="11"/>
        <v>312.53552657614108</v>
      </c>
      <c r="R12" s="4">
        <f t="shared" si="12"/>
        <v>-2.4986726729756376E-12</v>
      </c>
      <c r="S12" s="145" t="str">
        <f t="shared" si="3"/>
        <v>A</v>
      </c>
      <c r="T12" s="4">
        <f t="shared" si="4"/>
        <v>439.99999999999989</v>
      </c>
      <c r="U12" s="47">
        <f t="shared" si="5"/>
        <v>-7.8200034615508489</v>
      </c>
    </row>
    <row r="13" spans="2:23" x14ac:dyDescent="0.2">
      <c r="B13" s="107" t="s">
        <v>4</v>
      </c>
      <c r="C13" s="185">
        <v>-2</v>
      </c>
      <c r="D13" s="4">
        <f t="shared" si="13"/>
        <v>-9</v>
      </c>
      <c r="E13" s="4">
        <f t="shared" si="6"/>
        <v>1317.0221366829971</v>
      </c>
      <c r="F13" s="4">
        <f t="shared" si="7"/>
        <v>698.04499913461223</v>
      </c>
      <c r="G13" s="97">
        <v>2</v>
      </c>
      <c r="H13" s="188">
        <f t="shared" si="0"/>
        <v>329.25553417074929</v>
      </c>
      <c r="J13" s="85" t="s">
        <v>4</v>
      </c>
      <c r="K13" s="4">
        <f t="shared" si="1"/>
        <v>329.25553417074929</v>
      </c>
      <c r="L13" s="4">
        <f t="shared" si="2"/>
        <v>390.22499567306215</v>
      </c>
      <c r="M13" s="4">
        <f t="shared" si="8"/>
        <v>90.224995673064527</v>
      </c>
      <c r="N13" s="47">
        <f t="shared" si="9"/>
        <v>2873.5007189998037</v>
      </c>
      <c r="P13" s="123" t="str">
        <f t="shared" si="10"/>
        <v>E</v>
      </c>
      <c r="Q13" s="4">
        <f t="shared" si="11"/>
        <v>331.1198560835702</v>
      </c>
      <c r="R13" s="4">
        <f t="shared" si="12"/>
        <v>-9.7750043269380935</v>
      </c>
      <c r="S13" s="145" t="str">
        <f t="shared" si="3"/>
        <v>E</v>
      </c>
      <c r="T13" s="4">
        <f t="shared" si="4"/>
        <v>329.25553417074929</v>
      </c>
      <c r="U13" s="47">
        <f t="shared" si="5"/>
        <v>-9.7750043269380935</v>
      </c>
    </row>
    <row r="14" spans="2:23" x14ac:dyDescent="0.2">
      <c r="B14" s="107" t="s">
        <v>8</v>
      </c>
      <c r="C14" s="185">
        <v>-2</v>
      </c>
      <c r="D14" s="4">
        <f t="shared" si="13"/>
        <v>-11</v>
      </c>
      <c r="E14" s="4">
        <f t="shared" si="6"/>
        <v>1971.0764869466452</v>
      </c>
      <c r="F14" s="4">
        <f t="shared" si="7"/>
        <v>698.04499913461268</v>
      </c>
      <c r="G14" s="97">
        <v>2</v>
      </c>
      <c r="H14" s="188">
        <f t="shared" si="0"/>
        <v>492.7691217366613</v>
      </c>
      <c r="J14" s="85" t="s">
        <v>5</v>
      </c>
      <c r="K14" s="4">
        <f t="shared" si="1"/>
        <v>350.8092673301033</v>
      </c>
      <c r="L14" s="4">
        <f t="shared" si="2"/>
        <v>499.99999999999767</v>
      </c>
      <c r="M14" s="4">
        <f t="shared" si="8"/>
        <v>109.77500432693562</v>
      </c>
      <c r="N14" s="47">
        <f t="shared" si="9"/>
        <v>2696.9527383780301</v>
      </c>
      <c r="P14" s="123" t="str">
        <f t="shared" si="10"/>
        <v>F</v>
      </c>
      <c r="Q14" s="4">
        <f t="shared" si="11"/>
        <v>350.80926733010381</v>
      </c>
      <c r="R14" s="4">
        <f t="shared" si="12"/>
        <v>-2.4986726729756376E-12</v>
      </c>
      <c r="S14" s="145" t="str">
        <f t="shared" si="3"/>
        <v>B</v>
      </c>
      <c r="T14" s="4">
        <f t="shared" si="4"/>
        <v>492.7691217366613</v>
      </c>
      <c r="U14" s="47">
        <f t="shared" si="5"/>
        <v>-11.730005192325985</v>
      </c>
    </row>
    <row r="15" spans="2:23" x14ac:dyDescent="0.2">
      <c r="B15" s="107" t="s">
        <v>70</v>
      </c>
      <c r="C15" s="185">
        <v>-2</v>
      </c>
      <c r="D15" s="4">
        <f t="shared" si="13"/>
        <v>-13</v>
      </c>
      <c r="E15" s="4">
        <f t="shared" si="6"/>
        <v>2949.9447345500989</v>
      </c>
      <c r="F15" s="4">
        <f t="shared" si="7"/>
        <v>698.04499913461223</v>
      </c>
      <c r="G15" s="97">
        <v>3</v>
      </c>
      <c r="H15" s="188">
        <f t="shared" si="0"/>
        <v>368.74309181876237</v>
      </c>
      <c r="J15" s="85" t="s">
        <v>70</v>
      </c>
      <c r="K15" s="4">
        <f t="shared" si="1"/>
        <v>368.74309181876237</v>
      </c>
      <c r="L15" s="4">
        <f t="shared" si="2"/>
        <v>586.31499394228717</v>
      </c>
      <c r="M15" s="4">
        <f t="shared" si="8"/>
        <v>86.314993942289391</v>
      </c>
      <c r="N15" s="47">
        <f t="shared" si="9"/>
        <v>2565.7864110965625</v>
      </c>
      <c r="P15" s="123" t="str">
        <f t="shared" si="10"/>
        <v>F#</v>
      </c>
      <c r="Q15" s="4">
        <f t="shared" si="11"/>
        <v>371.66947189546903</v>
      </c>
      <c r="R15" s="4">
        <f t="shared" si="12"/>
        <v>-13.685006057713158</v>
      </c>
      <c r="S15" s="145" t="str">
        <f t="shared" si="3"/>
        <v>F#</v>
      </c>
      <c r="T15" s="4">
        <f t="shared" si="4"/>
        <v>368.74309181876237</v>
      </c>
      <c r="U15" s="47">
        <f t="shared" si="5"/>
        <v>-13.685006057713158</v>
      </c>
    </row>
    <row r="16" spans="2:23" x14ac:dyDescent="0.2">
      <c r="B16" s="107" t="s">
        <v>74</v>
      </c>
      <c r="C16" s="185">
        <v>-1</v>
      </c>
      <c r="D16" s="4">
        <f t="shared" si="13"/>
        <v>-14</v>
      </c>
      <c r="E16" s="4">
        <f t="shared" si="6"/>
        <v>4419.9230721715167</v>
      </c>
      <c r="F16" s="4">
        <f t="shared" si="7"/>
        <v>700</v>
      </c>
      <c r="G16" s="97">
        <v>4</v>
      </c>
      <c r="H16" s="188">
        <f t="shared" si="0"/>
        <v>276.24519201071979</v>
      </c>
      <c r="J16" s="85" t="s">
        <v>6</v>
      </c>
      <c r="K16" s="4">
        <f t="shared" si="1"/>
        <v>393.32567378088834</v>
      </c>
      <c r="L16" s="4">
        <f t="shared" si="2"/>
        <v>698.04499913461268</v>
      </c>
      <c r="M16" s="4">
        <f t="shared" si="8"/>
        <v>111.73000519232524</v>
      </c>
      <c r="N16" s="47">
        <f t="shared" si="9"/>
        <v>2405.4265389789161</v>
      </c>
      <c r="P16" s="123" t="str">
        <f t="shared" si="10"/>
        <v>G</v>
      </c>
      <c r="Q16" s="4">
        <f t="shared" si="11"/>
        <v>393.77008877325875</v>
      </c>
      <c r="R16" s="4">
        <f t="shared" si="12"/>
        <v>-1.9550008653879698</v>
      </c>
      <c r="S16" s="145" t="str">
        <f t="shared" si="3"/>
        <v>C#</v>
      </c>
      <c r="T16" s="4">
        <f t="shared" si="4"/>
        <v>276.24519201071979</v>
      </c>
      <c r="U16" s="47">
        <f t="shared" si="5"/>
        <v>-13.685006057712965</v>
      </c>
    </row>
    <row r="17" spans="2:26" x14ac:dyDescent="0.2">
      <c r="B17" s="107" t="s">
        <v>72</v>
      </c>
      <c r="C17" s="185">
        <v>-1</v>
      </c>
      <c r="D17" s="4">
        <f t="shared" si="13"/>
        <v>-15</v>
      </c>
      <c r="E17" s="4">
        <f t="shared" si="6"/>
        <v>6622.4020182851064</v>
      </c>
      <c r="F17" s="4">
        <f t="shared" si="7"/>
        <v>699.99999999999977</v>
      </c>
      <c r="G17" s="97">
        <v>4</v>
      </c>
      <c r="H17" s="188">
        <f t="shared" si="0"/>
        <v>413.90012614281915</v>
      </c>
      <c r="J17" s="85" t="s">
        <v>72</v>
      </c>
      <c r="K17" s="4">
        <f t="shared" si="1"/>
        <v>413.90012614281915</v>
      </c>
      <c r="L17" s="4">
        <f t="shared" si="2"/>
        <v>786.31499394228695</v>
      </c>
      <c r="M17" s="4">
        <f t="shared" si="8"/>
        <v>88.26999480767455</v>
      </c>
      <c r="N17" s="47">
        <f t="shared" si="9"/>
        <v>2285.8558246678294</v>
      </c>
      <c r="P17" s="123" t="str">
        <f t="shared" si="10"/>
        <v>G#</v>
      </c>
      <c r="Q17" s="4">
        <f t="shared" si="11"/>
        <v>417.18487671785113</v>
      </c>
      <c r="R17" s="4">
        <f t="shared" si="12"/>
        <v>-13.685006057713546</v>
      </c>
      <c r="S17" s="145" t="str">
        <f t="shared" si="3"/>
        <v>G#</v>
      </c>
      <c r="T17" s="4">
        <f t="shared" si="4"/>
        <v>413.90012614281915</v>
      </c>
      <c r="U17" s="47">
        <f t="shared" si="5"/>
        <v>-13.685006057713546</v>
      </c>
    </row>
    <row r="18" spans="2:26" x14ac:dyDescent="0.2">
      <c r="B18" s="107" t="s">
        <v>76</v>
      </c>
      <c r="C18" s="185">
        <v>6</v>
      </c>
      <c r="D18" s="4">
        <f t="shared" si="13"/>
        <v>-9</v>
      </c>
      <c r="E18" s="4">
        <f t="shared" si="6"/>
        <v>10001.1368504365</v>
      </c>
      <c r="F18" s="4">
        <f t="shared" si="7"/>
        <v>713.68500605771078</v>
      </c>
      <c r="G18" s="97">
        <v>5</v>
      </c>
      <c r="H18" s="188">
        <f t="shared" si="0"/>
        <v>312.53552657614063</v>
      </c>
      <c r="J18" s="85" t="s">
        <v>7</v>
      </c>
      <c r="K18" s="4">
        <f t="shared" si="1"/>
        <v>439.99999999999989</v>
      </c>
      <c r="L18" s="4">
        <f t="shared" si="2"/>
        <v>892.17999653844993</v>
      </c>
      <c r="M18" s="4">
        <f t="shared" si="8"/>
        <v>105.86500259616291</v>
      </c>
      <c r="N18" s="47">
        <f t="shared" si="9"/>
        <v>2150.2636685779835</v>
      </c>
      <c r="P18" s="123" t="str">
        <f t="shared" si="10"/>
        <v>A</v>
      </c>
      <c r="Q18" s="4">
        <f t="shared" si="11"/>
        <v>441.99198040739572</v>
      </c>
      <c r="R18" s="4">
        <f t="shared" si="12"/>
        <v>-7.8200034615508489</v>
      </c>
      <c r="S18" s="145" t="str">
        <f t="shared" si="3"/>
        <v>D#</v>
      </c>
      <c r="T18" s="4">
        <f t="shared" si="4"/>
        <v>312.53552657614063</v>
      </c>
      <c r="U18" s="47">
        <f t="shared" si="5"/>
        <v>-2.4986726729756376E-12</v>
      </c>
    </row>
    <row r="19" spans="2:26" x14ac:dyDescent="0.2">
      <c r="B19" s="107" t="s">
        <v>73</v>
      </c>
      <c r="C19" s="185">
        <v>-1</v>
      </c>
      <c r="D19" s="4">
        <f t="shared" si="13"/>
        <v>-10</v>
      </c>
      <c r="E19" s="4">
        <f t="shared" si="6"/>
        <v>14984.774119821173</v>
      </c>
      <c r="F19" s="4">
        <f t="shared" si="7"/>
        <v>700</v>
      </c>
      <c r="G19" s="97">
        <v>5</v>
      </c>
      <c r="H19" s="188">
        <f t="shared" si="0"/>
        <v>468.27419124441167</v>
      </c>
      <c r="J19" s="85" t="s">
        <v>73</v>
      </c>
      <c r="K19" s="4">
        <f t="shared" si="1"/>
        <v>468.27419124441167</v>
      </c>
      <c r="L19" s="4">
        <f t="shared" si="2"/>
        <v>999.99999999999773</v>
      </c>
      <c r="M19" s="4">
        <f t="shared" si="8"/>
        <v>107.82000346154797</v>
      </c>
      <c r="N19" s="47">
        <f t="shared" si="9"/>
        <v>2020.4316869568738</v>
      </c>
      <c r="P19" s="123" t="str">
        <f t="shared" si="10"/>
        <v>A#</v>
      </c>
      <c r="Q19" s="4">
        <f t="shared" si="11"/>
        <v>468.27419124441246</v>
      </c>
      <c r="R19" s="4">
        <f t="shared" si="12"/>
        <v>-2.8830838534334281E-12</v>
      </c>
      <c r="S19" s="145" t="str">
        <f t="shared" si="3"/>
        <v>A#</v>
      </c>
      <c r="T19" s="4">
        <f t="shared" si="4"/>
        <v>468.27419124441167</v>
      </c>
      <c r="U19" s="47">
        <f t="shared" si="5"/>
        <v>-2.8830838534334281E-12</v>
      </c>
    </row>
    <row r="20" spans="2:26" x14ac:dyDescent="0.2">
      <c r="B20" s="107" t="s">
        <v>5</v>
      </c>
      <c r="C20" s="185">
        <v>-1</v>
      </c>
      <c r="D20" s="4">
        <f t="shared" si="13"/>
        <v>-11</v>
      </c>
      <c r="E20" s="4">
        <f t="shared" si="6"/>
        <v>22451.793109126611</v>
      </c>
      <c r="F20" s="4">
        <f t="shared" si="7"/>
        <v>700</v>
      </c>
      <c r="G20" s="97">
        <v>6</v>
      </c>
      <c r="H20" s="188">
        <f t="shared" si="0"/>
        <v>350.8092673301033</v>
      </c>
      <c r="J20" s="85" t="s">
        <v>8</v>
      </c>
      <c r="K20" s="4">
        <f t="shared" si="1"/>
        <v>492.7691217366613</v>
      </c>
      <c r="L20" s="4">
        <f t="shared" si="2"/>
        <v>1088.2699948076747</v>
      </c>
      <c r="M20" s="4">
        <f t="shared" si="8"/>
        <v>88.269994807677122</v>
      </c>
      <c r="N20" s="47">
        <f t="shared" si="9"/>
        <v>1919.9985803492013</v>
      </c>
      <c r="P20" s="123" t="str">
        <f t="shared" si="10"/>
        <v>B</v>
      </c>
      <c r="Q20" s="4">
        <f t="shared" si="11"/>
        <v>496.11922366440166</v>
      </c>
      <c r="R20" s="4">
        <f t="shared" si="12"/>
        <v>-11.730005192325985</v>
      </c>
      <c r="S20" s="145" t="str">
        <f t="shared" si="3"/>
        <v>F</v>
      </c>
      <c r="T20" s="4">
        <f t="shared" si="4"/>
        <v>350.8092673301033</v>
      </c>
      <c r="U20" s="47">
        <f t="shared" si="5"/>
        <v>-2.4986726729756376E-12</v>
      </c>
    </row>
    <row r="21" spans="2:26" x14ac:dyDescent="0.2">
      <c r="B21" s="108" t="s">
        <v>78</v>
      </c>
      <c r="C21" s="186">
        <v>-1</v>
      </c>
      <c r="D21" s="53">
        <f t="shared" si="13"/>
        <v>-12</v>
      </c>
      <c r="E21" s="53">
        <f t="shared" si="6"/>
        <v>33639.680503975513</v>
      </c>
      <c r="F21" s="53">
        <f t="shared" si="7"/>
        <v>700</v>
      </c>
      <c r="G21" s="98">
        <v>6</v>
      </c>
      <c r="H21" s="48">
        <f t="shared" si="0"/>
        <v>525.62000787461739</v>
      </c>
      <c r="J21" s="87" t="s">
        <v>78</v>
      </c>
      <c r="K21" s="53">
        <f t="shared" si="1"/>
        <v>525.62000787461739</v>
      </c>
      <c r="L21" s="53">
        <f t="shared" si="2"/>
        <v>1199.9999999999977</v>
      </c>
      <c r="M21" s="53">
        <f t="shared" si="8"/>
        <v>111.73000519232308</v>
      </c>
      <c r="N21" s="48">
        <f t="shared" si="9"/>
        <v>1800.0000000000023</v>
      </c>
      <c r="P21" s="108" t="str">
        <f t="shared" si="10"/>
        <v>c oct.</v>
      </c>
      <c r="Q21" s="53">
        <f t="shared" si="11"/>
        <v>525.6200078746183</v>
      </c>
      <c r="R21" s="53">
        <f t="shared" si="12"/>
        <v>-3.0752894436623239E-12</v>
      </c>
      <c r="S21" s="151" t="str">
        <f t="shared" si="3"/>
        <v>c oct.</v>
      </c>
      <c r="T21" s="53">
        <f t="shared" si="4"/>
        <v>525.62000787461739</v>
      </c>
      <c r="U21" s="48">
        <f t="shared" si="5"/>
        <v>-3.0752894436623239E-12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Silbermann Freiberg 3 Interval in cents</v>
      </c>
      <c r="F26" s="84" t="s">
        <v>18</v>
      </c>
      <c r="G26" s="52" t="str">
        <f>_xlfn.CONCAT("diff ",$F$2)</f>
        <v>diff 1/12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390.22499567306215</v>
      </c>
      <c r="F27" s="4">
        <f t="shared" ref="F27" si="15">VLOOKUP(B27,Master_Frequencies,2,FALSE)*5/4</f>
        <v>328.51250492163626</v>
      </c>
      <c r="G27" s="47">
        <f t="shared" ref="G27" si="16">IF($D$2="Cents",LOG(VLOOKUP(C27,Master_Frequencies,2,FALSE)/F27,2)*1200*$F$3,LOG(D27*VLOOKUP(C27,Master_Frequencies,2,FALSE)/F27,$F$3))</f>
        <v>-2.0006547707857392</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1.2528272487271459</v>
      </c>
      <c r="Q27" s="99">
        <v>1</v>
      </c>
      <c r="R27" s="18">
        <f>$E$9*Q27</f>
        <v>262.81000393730903</v>
      </c>
      <c r="S27" s="97">
        <v>0</v>
      </c>
      <c r="T27" s="4">
        <f>R27/POWER(2,S27)</f>
        <v>262.81000393730903</v>
      </c>
      <c r="U27" s="18" t="str" cm="1">
        <f t="array" ref="U27">_xlfn.XLOOKUP(0,ABS($C$44:$C$56-T27),$B$44:$B$56,,1)</f>
        <v>C</v>
      </c>
      <c r="V27" s="47">
        <f t="shared" ref="V27" si="19">LOG(T27/VLOOKUP(U27,Master_Frequencies,2,FALSE),2)*1200</f>
        <v>0</v>
      </c>
      <c r="X27" s="85" t="s">
        <v>2</v>
      </c>
      <c r="Y27" s="4">
        <f t="shared" ref="Y27" si="20">VLOOKUP(X27,Master_Frequencies,2,FALSE)/POWER(2,$Z$25)</f>
        <v>131.40500196865452</v>
      </c>
      <c r="Z27" s="47">
        <f t="shared" ref="Z27" si="21">VLOOKUP(X27,Master_Frequencies,2,FALSE)*POWER(2,$Z$25)</f>
        <v>525.62000787461807</v>
      </c>
    </row>
    <row r="28" spans="2:26" x14ac:dyDescent="0.2">
      <c r="B28" s="123" t="s">
        <v>74</v>
      </c>
      <c r="C28" s="145" t="s">
        <v>5</v>
      </c>
      <c r="D28" s="97">
        <v>1</v>
      </c>
      <c r="E28" s="4">
        <f t="shared" ref="E28" si="22">LOG(D28*VLOOKUP(C28,Master_Frequencies,2,FALSE)/VLOOKUP(B28,Master_Frequencies,2,FALSE),2)*1200</f>
        <v>413.68500605771061</v>
      </c>
      <c r="F28" s="4">
        <f t="shared" ref="F28" si="23">VLOOKUP(B28,Master_Frequencies,2,FALSE)*5/4</f>
        <v>345.30649001339975</v>
      </c>
      <c r="G28" s="47">
        <f t="shared" ref="G28" si="24">IF($D$2="Cents",LOG(VLOOKUP(C28,Master_Frequencies,2,FALSE)/F28,2)*1200*$F$3,LOG(D28*VLOOKUP(C28,Master_Frequencies,2,FALSE)/F28,$F$3))</f>
        <v>-14.000654770785445</v>
      </c>
      <c r="I28" s="123" t="s">
        <v>74</v>
      </c>
      <c r="J28" s="145" t="s">
        <v>72</v>
      </c>
      <c r="K28" s="97">
        <v>1</v>
      </c>
      <c r="L28" s="191">
        <f t="shared" ref="L28" si="25">K28*VLOOKUP(J28,Master_Frequencies,2,FALSE)/VLOOKUP(I28,Master_Frequencies,2,FALSE)</f>
        <v>1.4983070768766813</v>
      </c>
      <c r="M28" s="145" t="s">
        <v>74</v>
      </c>
      <c r="N28" s="145" t="s">
        <v>5</v>
      </c>
      <c r="O28" s="191">
        <f t="shared" ref="O28" si="26">D28*VLOOKUP(N28,Master_Frequencies,2,FALSE)/VLOOKUP(M28,Master_Frequencies,2,FALSE)</f>
        <v>1.2699199025932368</v>
      </c>
      <c r="Q28" s="99">
        <v>2</v>
      </c>
      <c r="R28" s="18">
        <f t="shared" ref="R28:R39" si="27">$E$9*Q28</f>
        <v>525.62000787461807</v>
      </c>
      <c r="S28" s="97">
        <v>0</v>
      </c>
      <c r="T28" s="4">
        <f t="shared" ref="T28:T39" si="28">R28/POWER(2,S28)</f>
        <v>525.62000787461807</v>
      </c>
      <c r="U28" s="18" t="str" cm="1">
        <f t="array" ref="U28">_xlfn.XLOOKUP(0,ABS($C$44:$C$56-T28),$B$44:$B$56,,1)</f>
        <v>c oct.</v>
      </c>
      <c r="V28" s="47">
        <f t="shared" ref="V28" si="29">LOG(T28/VLOOKUP(U28,Master_Frequencies,2,FALSE),2)*1200</f>
        <v>2.3064670827467394E-12</v>
      </c>
      <c r="X28" s="85" t="s">
        <v>74</v>
      </c>
      <c r="Y28" s="4">
        <f t="shared" ref="Y28" si="30">VLOOKUP(X28,Master_Frequencies,2,FALSE)/POWER(2,$Z$25)</f>
        <v>138.1225960053599</v>
      </c>
      <c r="Z28" s="47">
        <f t="shared" ref="Z28" si="31">VLOOKUP(X28,Master_Frequencies,2,FALSE)*POWER(2,$Z$25)</f>
        <v>552.49038402143958</v>
      </c>
    </row>
    <row r="29" spans="2:26" x14ac:dyDescent="0.2">
      <c r="B29" s="123" t="s">
        <v>3</v>
      </c>
      <c r="C29" s="145" t="s">
        <v>70</v>
      </c>
      <c r="D29" s="97">
        <v>1</v>
      </c>
      <c r="E29" s="4">
        <f t="shared" ref="E29" si="32">LOG(D29*VLOOKUP(C29,Master_Frequencies,2,FALSE)/VLOOKUP(B29,Master_Frequencies,2,FALSE),2)*1200</f>
        <v>392.1799965384497</v>
      </c>
      <c r="F29" s="4">
        <f t="shared" ref="F29" si="33">VLOOKUP(B29,Master_Frequencies,2,FALSE)*5/4</f>
        <v>367.49572123288993</v>
      </c>
      <c r="G29" s="47">
        <f t="shared" ref="G29" si="34">IF($D$2="Cents",LOG(VLOOKUP(C29,Master_Frequencies,2,FALSE)/F29,2)*1200*$F$3,LOG(D29*VLOOKUP(C29,Master_Frequencies,2,FALSE)/F29,$F$3))</f>
        <v>-3.0006547707856641</v>
      </c>
      <c r="I29" s="123" t="s">
        <v>3</v>
      </c>
      <c r="J29" s="145" t="s">
        <v>7</v>
      </c>
      <c r="K29" s="97">
        <v>1</v>
      </c>
      <c r="L29" s="191">
        <f t="shared" ref="L29" si="35">K29*VLOOKUP(J29,Master_Frequencies,2,FALSE)/VLOOKUP(I29,Master_Frequencies,2,FALSE)</f>
        <v>1.4966160644124971</v>
      </c>
      <c r="M29" s="145" t="s">
        <v>3</v>
      </c>
      <c r="N29" s="145" t="s">
        <v>70</v>
      </c>
      <c r="O29" s="191">
        <f t="shared" ref="O29" si="36">D29*VLOOKUP(N29,Master_Frequencies,2,FALSE)/VLOOKUP(M29,Master_Frequencies,2,FALSE)</f>
        <v>1.2542428064933917</v>
      </c>
      <c r="Q29" s="99">
        <v>3</v>
      </c>
      <c r="R29" s="18">
        <f t="shared" si="27"/>
        <v>788.4300118119271</v>
      </c>
      <c r="S29" s="97">
        <v>1</v>
      </c>
      <c r="T29" s="4">
        <f t="shared" si="28"/>
        <v>394.21500590596355</v>
      </c>
      <c r="U29" s="18" t="str" cm="1">
        <f t="array" ref="U29">_xlfn.XLOOKUP(0,ABS($C$44:$C$56-T29),$B$44:$B$56,,1)</f>
        <v>G</v>
      </c>
      <c r="V29" s="47">
        <f t="shared" ref="V29" si="37">LOG(T29/VLOOKUP(U29,Master_Frequencies,2,FALSE),2)*1200</f>
        <v>3.9100017307751354</v>
      </c>
      <c r="X29" s="85" t="s">
        <v>3</v>
      </c>
      <c r="Y29" s="4">
        <f t="shared" ref="Y29" si="38">VLOOKUP(X29,Master_Frequencies,2,FALSE)/POWER(2,$Z$25)</f>
        <v>146.99828849315597</v>
      </c>
      <c r="Z29" s="47">
        <f t="shared" ref="Z29" si="39">VLOOKUP(X29,Master_Frequencies,2,FALSE)*POWER(2,$Z$25)</f>
        <v>587.99315397262387</v>
      </c>
    </row>
    <row r="30" spans="2:26" x14ac:dyDescent="0.2">
      <c r="B30" s="123" t="s">
        <v>76</v>
      </c>
      <c r="C30" s="145" t="s">
        <v>6</v>
      </c>
      <c r="D30" s="97">
        <v>1</v>
      </c>
      <c r="E30" s="4">
        <f t="shared" ref="E30" si="40">LOG(D30*VLOOKUP(C30,Master_Frequencies,2,FALSE)/VLOOKUP(B30,Master_Frequencies,2,FALSE),2)*1200</f>
        <v>398.04499913461478</v>
      </c>
      <c r="F30" s="4">
        <f t="shared" ref="F30" si="41">VLOOKUP(B30,Master_Frequencies,2,FALSE)*5/4</f>
        <v>390.6694082201758</v>
      </c>
      <c r="G30" s="47">
        <f t="shared" ref="G30" si="42">IF($D$2="Cents",LOG(VLOOKUP(C30,Master_Frequencies,2,FALSE)/F30,2)*1200*$F$3,LOG(D30*VLOOKUP(C30,Master_Frequencies,2,FALSE)/F30,$F$3))</f>
        <v>-6.0006547707872384</v>
      </c>
      <c r="I30" s="123" t="s">
        <v>76</v>
      </c>
      <c r="J30" s="145" t="s">
        <v>73</v>
      </c>
      <c r="K30" s="97">
        <v>1</v>
      </c>
      <c r="L30" s="191">
        <f t="shared" ref="L30" si="43">K30*VLOOKUP(J30,Master_Frequencies,2,FALSE)/VLOOKUP(I30,Master_Frequencies,2,FALSE)</f>
        <v>1.4983070768766815</v>
      </c>
      <c r="M30" s="145" t="s">
        <v>76</v>
      </c>
      <c r="N30" s="145" t="s">
        <v>6</v>
      </c>
      <c r="O30" s="191">
        <f t="shared" ref="O30" si="44">D30*VLOOKUP(N30,Master_Frequencies,2,FALSE)/VLOOKUP(M30,Master_Frequencies,2,FALSE)</f>
        <v>1.2584990835755929</v>
      </c>
      <c r="Q30" s="99">
        <v>4</v>
      </c>
      <c r="R30" s="18">
        <f t="shared" si="27"/>
        <v>1051.2400157492361</v>
      </c>
      <c r="S30" s="97">
        <v>1</v>
      </c>
      <c r="T30" s="4">
        <f t="shared" si="28"/>
        <v>525.62000787461807</v>
      </c>
      <c r="U30" s="18" t="str" cm="1">
        <f t="array" ref="U30">_xlfn.XLOOKUP(0,ABS($C$44:$C$56-T30),$B$44:$B$56,,1)</f>
        <v>c oct.</v>
      </c>
      <c r="V30" s="47">
        <f t="shared" ref="V30" si="45">LOG(T30/VLOOKUP(U30,Master_Frequencies,2,FALSE),2)*1200</f>
        <v>2.3064670827467394E-12</v>
      </c>
      <c r="X30" s="85" t="s">
        <v>76</v>
      </c>
      <c r="Y30" s="4">
        <f t="shared" ref="Y30" si="46">VLOOKUP(X30,Master_Frequencies,2,FALSE)/POWER(2,$Z$25)</f>
        <v>156.26776328807031</v>
      </c>
      <c r="Z30" s="47">
        <f t="shared" ref="Z30" si="47">VLOOKUP(X30,Master_Frequencies,2,FALSE)*POWER(2,$Z$25)</f>
        <v>625.07105315228125</v>
      </c>
    </row>
    <row r="31" spans="2:26" x14ac:dyDescent="0.2">
      <c r="B31" s="123" t="s">
        <v>4</v>
      </c>
      <c r="C31" s="145" t="s">
        <v>72</v>
      </c>
      <c r="D31" s="97">
        <v>1</v>
      </c>
      <c r="E31" s="4">
        <f t="shared" ref="E31" si="48">LOG(D31*VLOOKUP(C31,Master_Frequencies,2,FALSE)/VLOOKUP(B31,Master_Frequencies,2,FALSE),2)*1200</f>
        <v>396.08999826922474</v>
      </c>
      <c r="F31" s="4">
        <f t="shared" ref="F31" si="49">VLOOKUP(B31,Master_Frequencies,2,FALSE)*5/4</f>
        <v>411.56941771343662</v>
      </c>
      <c r="G31" s="47">
        <f t="shared" ref="G31" si="50">IF($D$2="Cents",LOG(VLOOKUP(C31,Master_Frequencies,2,FALSE)/F31,2)*1200*$F$3,LOG(D31*VLOOKUP(C31,Master_Frequencies,2,FALSE)/F31,$F$3))</f>
        <v>-5.0006547707857276</v>
      </c>
      <c r="I31" s="123" t="s">
        <v>4</v>
      </c>
      <c r="J31" s="145" t="s">
        <v>8</v>
      </c>
      <c r="K31" s="97">
        <v>1</v>
      </c>
      <c r="L31" s="191">
        <f t="shared" ref="L31" si="51">K31*VLOOKUP(J31,Master_Frequencies,2,FALSE)/VLOOKUP(I31,Master_Frequencies,2,FALSE)</f>
        <v>1.4966160644124973</v>
      </c>
      <c r="M31" s="145" t="s">
        <v>4</v>
      </c>
      <c r="N31" s="145" t="s">
        <v>72</v>
      </c>
      <c r="O31" s="191">
        <f t="shared" ref="O31" si="52">D31*VLOOKUP(N31,Master_Frequencies,2,FALSE)/VLOOKUP(M31,Master_Frequencies,2,FALSE)</f>
        <v>1.2570787221094175</v>
      </c>
      <c r="Q31" s="99">
        <v>5</v>
      </c>
      <c r="R31" s="18">
        <f t="shared" si="27"/>
        <v>1314.0500196865451</v>
      </c>
      <c r="S31" s="97">
        <v>2</v>
      </c>
      <c r="T31" s="4">
        <f t="shared" si="28"/>
        <v>328.51250492163626</v>
      </c>
      <c r="U31" s="18" t="str" cm="1">
        <f t="array" ref="U31">_xlfn.XLOOKUP(0,ABS($C$44:$C$56-T31),$B$44:$B$56,,1)</f>
        <v>E</v>
      </c>
      <c r="V31" s="47">
        <f t="shared" ref="V31" si="53">LOG(T31/VLOOKUP(U31,Master_Frequencies,2,FALSE),2)*1200</f>
        <v>-3.9112818082275078</v>
      </c>
      <c r="X31" s="85" t="s">
        <v>4</v>
      </c>
      <c r="Y31" s="4">
        <f t="shared" ref="Y31" si="54">VLOOKUP(X31,Master_Frequencies,2,FALSE)/POWER(2,$Z$25)</f>
        <v>164.62776708537464</v>
      </c>
      <c r="Z31" s="47">
        <f t="shared" ref="Z31" si="55">VLOOKUP(X31,Master_Frequencies,2,FALSE)*POWER(2,$Z$25)</f>
        <v>658.51106834149857</v>
      </c>
    </row>
    <row r="32" spans="2:26" x14ac:dyDescent="0.2">
      <c r="B32" s="123" t="s">
        <v>5</v>
      </c>
      <c r="C32" s="145" t="s">
        <v>7</v>
      </c>
      <c r="D32" s="97">
        <v>1</v>
      </c>
      <c r="E32" s="4">
        <f t="shared" ref="E32" si="56">LOG(D32*VLOOKUP(C32,Master_Frequencies,2,FALSE)/VLOOKUP(B32,Master_Frequencies,2,FALSE),2)*1200</f>
        <v>392.17999653845214</v>
      </c>
      <c r="F32" s="4">
        <f t="shared" ref="F32" si="57">VLOOKUP(B32,Master_Frequencies,2,FALSE)*5/4</f>
        <v>438.51158416262911</v>
      </c>
      <c r="G32" s="47">
        <f t="shared" ref="G32" si="58">IF($D$2="Cents",LOG(VLOOKUP(C32,Master_Frequencies,2,FALSE)/F32,2)*1200*$F$3,LOG(D32*VLOOKUP(C32,Master_Frequencies,2,FALSE)/F32,$F$3))</f>
        <v>-3.0006547707870355</v>
      </c>
      <c r="I32" s="123" t="s">
        <v>5</v>
      </c>
      <c r="J32" s="145" t="s">
        <v>78</v>
      </c>
      <c r="K32" s="97">
        <v>1</v>
      </c>
      <c r="L32" s="191">
        <f t="shared" ref="L32" si="59">K32*VLOOKUP(J32,Master_Frequencies,2,FALSE)/VLOOKUP(I32,Master_Frequencies,2,FALSE)</f>
        <v>1.4983070768766815</v>
      </c>
      <c r="M32" s="145" t="s">
        <v>5</v>
      </c>
      <c r="N32" s="145" t="s">
        <v>7</v>
      </c>
      <c r="O32" s="191">
        <f t="shared" ref="O32" si="60">D32*VLOOKUP(N32,Master_Frequencies,2,FALSE)/VLOOKUP(M32,Master_Frequencies,2,FALSE)</f>
        <v>1.2542428064933935</v>
      </c>
      <c r="Q32" s="99">
        <v>6</v>
      </c>
      <c r="R32" s="18">
        <f t="shared" si="27"/>
        <v>1576.8600236238542</v>
      </c>
      <c r="S32" s="97">
        <v>2</v>
      </c>
      <c r="T32" s="4">
        <f t="shared" si="28"/>
        <v>394.21500590596355</v>
      </c>
      <c r="U32" s="18" t="str" cm="1">
        <f t="array" ref="U32">_xlfn.XLOOKUP(0,ABS($C$44:$C$56-T32),$B$44:$B$56,,1)</f>
        <v>G</v>
      </c>
      <c r="V32" s="47">
        <f t="shared" ref="V32" si="61">LOG(T32/VLOOKUP(U32,Master_Frequencies,2,FALSE),2)*1200</f>
        <v>3.9100017307751354</v>
      </c>
      <c r="X32" s="85" t="s">
        <v>5</v>
      </c>
      <c r="Y32" s="4">
        <f t="shared" ref="Y32" si="62">VLOOKUP(X32,Master_Frequencies,2,FALSE)/POWER(2,$Z$25)</f>
        <v>175.40463366505165</v>
      </c>
      <c r="Z32" s="47">
        <f t="shared" ref="Z32" si="63">VLOOKUP(X32,Master_Frequencies,2,FALSE)*POWER(2,$Z$25)</f>
        <v>701.61853466020659</v>
      </c>
    </row>
    <row r="33" spans="2:26" x14ac:dyDescent="0.2">
      <c r="B33" s="123" t="s">
        <v>70</v>
      </c>
      <c r="C33" s="145" t="s">
        <v>73</v>
      </c>
      <c r="D33" s="97">
        <v>1</v>
      </c>
      <c r="E33" s="4">
        <f t="shared" ref="E33" si="64">LOG(D33*VLOOKUP(C33,Master_Frequencies,2,FALSE)/VLOOKUP(B33,Master_Frequencies,2,FALSE),2)*1200</f>
        <v>413.68500605771061</v>
      </c>
      <c r="F33" s="4">
        <f t="shared" ref="F33" si="65">VLOOKUP(B33,Master_Frequencies,2,FALSE)*5/4</f>
        <v>460.92886477345297</v>
      </c>
      <c r="G33" s="47">
        <f t="shared" ref="G33" si="66">IF($D$2="Cents",LOG(VLOOKUP(C33,Master_Frequencies,2,FALSE)/F33,2)*1200*$F$3,LOG(D33*VLOOKUP(C33,Master_Frequencies,2,FALSE)/F33,$F$3))</f>
        <v>-14.000654770785445</v>
      </c>
      <c r="I33" s="123" t="s">
        <v>70</v>
      </c>
      <c r="J33" s="145" t="s">
        <v>74</v>
      </c>
      <c r="K33" s="97">
        <v>2</v>
      </c>
      <c r="L33" s="191">
        <f t="shared" ref="L33" si="67">K33*VLOOKUP(J33,Master_Frequencies,2,FALSE)/VLOOKUP(I33,Master_Frequencies,2,FALSE)</f>
        <v>1.4983070768766815</v>
      </c>
      <c r="M33" s="145" t="s">
        <v>70</v>
      </c>
      <c r="N33" s="145" t="s">
        <v>73</v>
      </c>
      <c r="O33" s="191">
        <f t="shared" ref="O33" si="68">D33*VLOOKUP(N33,Master_Frequencies,2,FALSE)/VLOOKUP(M33,Master_Frequencies,2,FALSE)</f>
        <v>1.2699199025932368</v>
      </c>
      <c r="Q33" s="99">
        <v>7</v>
      </c>
      <c r="R33" s="18">
        <f t="shared" si="27"/>
        <v>1839.6700275611634</v>
      </c>
      <c r="S33" s="97">
        <v>2</v>
      </c>
      <c r="T33" s="4">
        <f t="shared" si="28"/>
        <v>459.91750689029084</v>
      </c>
      <c r="U33" s="18" t="str" cm="1">
        <f t="array" ref="U33">_xlfn.XLOOKUP(0,ABS($C$44:$C$56-T33),$B$44:$B$56,,1)</f>
        <v>A#</v>
      </c>
      <c r="V33" s="47">
        <f t="shared" ref="V33" si="69">LOG(T33/VLOOKUP(U33,Master_Frequencies,2,FALSE),2)*1200</f>
        <v>-31.174093530872668</v>
      </c>
      <c r="X33" s="85" t="s">
        <v>70</v>
      </c>
      <c r="Y33" s="4">
        <f t="shared" ref="Y33" si="70">VLOOKUP(X33,Master_Frequencies,2,FALSE)/POWER(2,$Z$25)</f>
        <v>184.37154590938118</v>
      </c>
      <c r="Z33" s="47">
        <f t="shared" ref="Z33" si="71">VLOOKUP(X33,Master_Frequencies,2,FALSE)*POWER(2,$Z$25)</f>
        <v>737.48618363752473</v>
      </c>
    </row>
    <row r="34" spans="2:26" x14ac:dyDescent="0.2">
      <c r="B34" s="123" t="s">
        <v>6</v>
      </c>
      <c r="C34" s="145" t="s">
        <v>8</v>
      </c>
      <c r="D34" s="97">
        <v>1</v>
      </c>
      <c r="E34" s="4">
        <f t="shared" ref="E34" si="72">LOG(D34*VLOOKUP(C34,Master_Frequencies,2,FALSE)/VLOOKUP(B34,Master_Frequencies,2,FALSE),2)*1200</f>
        <v>390.22499567306244</v>
      </c>
      <c r="F34" s="4">
        <f t="shared" ref="F34" si="73">VLOOKUP(B34,Master_Frequencies,2,FALSE)*5/4</f>
        <v>491.65709222611042</v>
      </c>
      <c r="G34" s="47">
        <f t="shared" ref="G34" si="74">IF($D$2="Cents",LOG(VLOOKUP(C34,Master_Frequencies,2,FALSE)/F34,2)*1200*$F$3,LOG(D34*VLOOKUP(C34,Master_Frequencies,2,FALSE)/F34,$F$3))</f>
        <v>-2.0006547707857392</v>
      </c>
      <c r="I34" s="123" t="s">
        <v>6</v>
      </c>
      <c r="J34" s="145" t="s">
        <v>3</v>
      </c>
      <c r="K34" s="97">
        <v>2</v>
      </c>
      <c r="L34" s="191">
        <f t="shared" ref="L34" si="75">K34*VLOOKUP(J34,Master_Frequencies,2,FALSE)/VLOOKUP(I34,Master_Frequencies,2,FALSE)</f>
        <v>1.494926960451048</v>
      </c>
      <c r="M34" s="145" t="s">
        <v>6</v>
      </c>
      <c r="N34" s="145" t="s">
        <v>8</v>
      </c>
      <c r="O34" s="191">
        <f t="shared" ref="O34" si="76">D34*VLOOKUP(N34,Master_Frequencies,2,FALSE)/VLOOKUP(M34,Master_Frequencies,2,FALSE)</f>
        <v>1.2528272487271461</v>
      </c>
      <c r="Q34" s="99">
        <v>8</v>
      </c>
      <c r="R34" s="18">
        <f t="shared" si="27"/>
        <v>2102.4800314984723</v>
      </c>
      <c r="S34" s="97">
        <v>3</v>
      </c>
      <c r="T34" s="4">
        <f t="shared" si="28"/>
        <v>262.81000393730903</v>
      </c>
      <c r="U34" s="18" t="str" cm="1">
        <f t="array" ref="U34">_xlfn.XLOOKUP(0,ABS($C$44:$C$56-T34),$B$44:$B$56,,1)</f>
        <v>C</v>
      </c>
      <c r="V34" s="47">
        <f t="shared" ref="V34" si="77">LOG(T34/VLOOKUP(U34,Master_Frequencies,2,FALSE),2)*1200</f>
        <v>0</v>
      </c>
      <c r="X34" s="85" t="s">
        <v>6</v>
      </c>
      <c r="Y34" s="4">
        <f t="shared" ref="Y34" si="78">VLOOKUP(X34,Master_Frequencies,2,FALSE)/POWER(2,$Z$25)</f>
        <v>196.66283689044417</v>
      </c>
      <c r="Z34" s="47">
        <f t="shared" ref="Z34" si="79">VLOOKUP(X34,Master_Frequencies,2,FALSE)*POWER(2,$Z$25)</f>
        <v>786.65134756177667</v>
      </c>
    </row>
    <row r="35" spans="2:26" x14ac:dyDescent="0.2">
      <c r="B35" s="123" t="s">
        <v>72</v>
      </c>
      <c r="C35" s="145" t="s">
        <v>78</v>
      </c>
      <c r="D35" s="97">
        <v>1</v>
      </c>
      <c r="E35" s="4">
        <f t="shared" ref="E35" si="80">LOG(D35*VLOOKUP(C35,Master_Frequencies,2,FALSE)/VLOOKUP(B35,Master_Frequencies,2,FALSE),2)*1200</f>
        <v>413.68500605771095</v>
      </c>
      <c r="F35" s="4">
        <f t="shared" ref="F35" si="81">VLOOKUP(B35,Master_Frequencies,2,FALSE)*5/4</f>
        <v>517.37515767852392</v>
      </c>
      <c r="G35" s="47">
        <f t="shared" ref="G35" si="82">IF($D$2="Cents",LOG(VLOOKUP(C35,Master_Frequencies,2,FALSE)/F35,2)*1200*$F$3,LOG(D35*VLOOKUP(C35,Master_Frequencies,2,FALSE)/F35,$F$3))</f>
        <v>-14.000654770785639</v>
      </c>
      <c r="I35" s="123" t="s">
        <v>72</v>
      </c>
      <c r="J35" s="145" t="s">
        <v>76</v>
      </c>
      <c r="K35" s="97">
        <v>2</v>
      </c>
      <c r="L35" s="191">
        <f t="shared" ref="L35" si="83">K35*VLOOKUP(J35,Master_Frequencies,2,FALSE)/VLOOKUP(I35,Master_Frequencies,2,FALSE)</f>
        <v>1.5101977836474398</v>
      </c>
      <c r="M35" s="145" t="s">
        <v>72</v>
      </c>
      <c r="N35" s="145" t="s">
        <v>78</v>
      </c>
      <c r="O35" s="191">
        <f t="shared" ref="O35" si="84">D35*VLOOKUP(N35,Master_Frequencies,2,FALSE)/VLOOKUP(M35,Master_Frequencies,2,FALSE)</f>
        <v>1.2699199025932371</v>
      </c>
      <c r="Q35" s="99">
        <v>9</v>
      </c>
      <c r="R35" s="18">
        <f t="shared" si="27"/>
        <v>2365.2900354357812</v>
      </c>
      <c r="S35" s="97">
        <v>3</v>
      </c>
      <c r="T35" s="4">
        <f t="shared" si="28"/>
        <v>295.66125442947265</v>
      </c>
      <c r="U35" s="18" t="str" cm="1">
        <f t="array" ref="U35">_xlfn.XLOOKUP(0,ABS($C$44:$C$56-T35),$B$44:$B$56,,1)</f>
        <v>D</v>
      </c>
      <c r="V35" s="47">
        <f t="shared" ref="V35" si="85">LOG(T35/VLOOKUP(U35,Master_Frequencies,2,FALSE),2)*1200</f>
        <v>9.7750043269371734</v>
      </c>
      <c r="X35" s="85" t="s">
        <v>72</v>
      </c>
      <c r="Y35" s="4">
        <f t="shared" ref="Y35" si="86">VLOOKUP(X35,Master_Frequencies,2,FALSE)/POWER(2,$Z$25)</f>
        <v>206.95006307140957</v>
      </c>
      <c r="Z35" s="47">
        <f t="shared" ref="Z35" si="87">VLOOKUP(X35,Master_Frequencies,2,FALSE)*POWER(2,$Z$25)</f>
        <v>827.80025228563829</v>
      </c>
    </row>
    <row r="36" spans="2:26" x14ac:dyDescent="0.2">
      <c r="B36" s="123" t="s">
        <v>7</v>
      </c>
      <c r="C36" s="145" t="s">
        <v>74</v>
      </c>
      <c r="D36" s="97">
        <v>2</v>
      </c>
      <c r="E36" s="4">
        <f t="shared" ref="E36" si="88">LOG(D36*VLOOKUP(C36,Master_Frequencies,2,FALSE)/VLOOKUP(B36,Master_Frequencies,2,FALSE),2)*1200</f>
        <v>394.13499740383719</v>
      </c>
      <c r="F36" s="4">
        <f t="shared" ref="F36" si="89">VLOOKUP(B36,Master_Frequencies,2,FALSE)*5/4</f>
        <v>549.99999999999989</v>
      </c>
      <c r="G36" s="47">
        <f t="shared" ref="G36" si="90">IF($D$2="Cents",LOG(VLOOKUP(C36,Master_Frequencies,2,FALSE)/F36,2)*1200*$F$3,LOG(D36*VLOOKUP(C36,Master_Frequencies,2,FALSE)/F36,$F$3))</f>
        <v>-4.0006547707856681</v>
      </c>
      <c r="I36" s="123" t="s">
        <v>7</v>
      </c>
      <c r="J36" s="145" t="s">
        <v>4</v>
      </c>
      <c r="K36" s="97">
        <v>2</v>
      </c>
      <c r="L36" s="191">
        <f t="shared" ref="L36" si="91">K36*VLOOKUP(J36,Master_Frequencies,2,FALSE)/VLOOKUP(I36,Master_Frequencies,2,FALSE)</f>
        <v>1.4966160644124971</v>
      </c>
      <c r="M36" s="145" t="s">
        <v>7</v>
      </c>
      <c r="N36" s="145" t="s">
        <v>74</v>
      </c>
      <c r="O36" s="191">
        <f t="shared" ref="O36" si="92">D36*VLOOKUP(N36,Master_Frequencies,2,FALSE)/VLOOKUP(M36,Master_Frequencies,2,FALSE)</f>
        <v>1.2556599636850903</v>
      </c>
      <c r="Q36" s="99">
        <v>10</v>
      </c>
      <c r="R36" s="18">
        <f t="shared" si="27"/>
        <v>2628.1000393730901</v>
      </c>
      <c r="S36" s="97">
        <v>3</v>
      </c>
      <c r="T36" s="4">
        <f t="shared" si="28"/>
        <v>328.51250492163626</v>
      </c>
      <c r="U36" s="18" t="str" cm="1">
        <f t="array" ref="U36">_xlfn.XLOOKUP(0,ABS($C$44:$C$56-T36),$B$44:$B$56,,1)</f>
        <v>E</v>
      </c>
      <c r="V36" s="47">
        <f t="shared" ref="V36" si="93">LOG(T36/VLOOKUP(U36,Master_Frequencies,2,FALSE),2)*1200</f>
        <v>-3.9112818082275078</v>
      </c>
      <c r="X36" s="85" t="s">
        <v>7</v>
      </c>
      <c r="Y36" s="4">
        <f t="shared" ref="Y36" si="94">VLOOKUP(X36,Master_Frequencies,2,FALSE)/POWER(2,$Z$25)</f>
        <v>219.99999999999994</v>
      </c>
      <c r="Z36" s="47">
        <f t="shared" ref="Z36" si="95">VLOOKUP(X36,Master_Frequencies,2,FALSE)*POWER(2,$Z$25)</f>
        <v>879.99999999999977</v>
      </c>
    </row>
    <row r="37" spans="2:26" x14ac:dyDescent="0.2">
      <c r="B37" s="123" t="s">
        <v>73</v>
      </c>
      <c r="C37" s="145" t="s">
        <v>3</v>
      </c>
      <c r="D37" s="97">
        <v>2</v>
      </c>
      <c r="E37" s="4">
        <f t="shared" ref="E37" si="96">LOG(D37*VLOOKUP(C37,Master_Frequencies,2,FALSE)/VLOOKUP(B37,Master_Frequencies,2,FALSE),2)*1200</f>
        <v>394.13499740383992</v>
      </c>
      <c r="F37" s="4">
        <f t="shared" ref="F37" si="97">VLOOKUP(B37,Master_Frequencies,2,FALSE)*5/4</f>
        <v>585.34273905551458</v>
      </c>
      <c r="G37" s="47">
        <f t="shared" ref="G37" si="98">IF($D$2="Cents",LOG(VLOOKUP(C37,Master_Frequencies,2,FALSE)/F37,2)*1200*$F$3,LOG(D37*VLOOKUP(C37,Master_Frequencies,2,FALSE)/F37,$F$3))</f>
        <v>-4.0006547707870377</v>
      </c>
      <c r="I37" s="123" t="s">
        <v>73</v>
      </c>
      <c r="J37" s="145" t="s">
        <v>5</v>
      </c>
      <c r="K37" s="97">
        <v>2</v>
      </c>
      <c r="L37" s="191">
        <f t="shared" ref="L37" si="99">K37*VLOOKUP(J37,Master_Frequencies,2,FALSE)/VLOOKUP(I37,Master_Frequencies,2,FALSE)</f>
        <v>1.4983070768766815</v>
      </c>
      <c r="M37" s="145" t="s">
        <v>73</v>
      </c>
      <c r="N37" s="145" t="s">
        <v>3</v>
      </c>
      <c r="O37" s="191">
        <f t="shared" ref="O37" si="100">D37*VLOOKUP(N37,Master_Frequencies,2,FALSE)/VLOOKUP(M37,Master_Frequencies,2,FALSE)</f>
        <v>1.2556599636850923</v>
      </c>
      <c r="Q37" s="99">
        <v>11</v>
      </c>
      <c r="R37" s="18">
        <f t="shared" si="27"/>
        <v>2890.9100433103995</v>
      </c>
      <c r="S37" s="97">
        <v>3</v>
      </c>
      <c r="T37" s="4">
        <f t="shared" si="28"/>
        <v>361.36375541379994</v>
      </c>
      <c r="U37" s="18" t="str" cm="1">
        <f t="array" ref="U37">_xlfn.XLOOKUP(0,ABS($C$44:$C$56-T37),$B$44:$B$56,,1)</f>
        <v>F#</v>
      </c>
      <c r="V37" s="47">
        <f t="shared" ref="V37" si="101">LOG(T37/VLOOKUP(U37,Master_Frequencies,2,FALSE),2)*1200</f>
        <v>-34.997051577530421</v>
      </c>
      <c r="X37" s="85" t="s">
        <v>73</v>
      </c>
      <c r="Y37" s="4">
        <f t="shared" ref="Y37" si="102">VLOOKUP(X37,Master_Frequencies,2,FALSE)/POWER(2,$Z$25)</f>
        <v>234.13709562220583</v>
      </c>
      <c r="Z37" s="47">
        <f t="shared" ref="Z37" si="103">VLOOKUP(X37,Master_Frequencies,2,FALSE)*POWER(2,$Z$25)</f>
        <v>936.54838248882334</v>
      </c>
    </row>
    <row r="38" spans="2:26" x14ac:dyDescent="0.2">
      <c r="B38" s="124" t="s">
        <v>8</v>
      </c>
      <c r="C38" s="153" t="s">
        <v>76</v>
      </c>
      <c r="D38" s="98">
        <v>2</v>
      </c>
      <c r="E38" s="53">
        <f t="shared" ref="E38" si="104">LOG(D38*VLOOKUP(C38,Master_Frequencies,2,FALSE)/VLOOKUP(B38,Master_Frequencies,2,FALSE),2)*1200</f>
        <v>411.73000519232284</v>
      </c>
      <c r="F38" s="53">
        <f t="shared" ref="F38" si="105">VLOOKUP(B38,Master_Frequencies,2,FALSE)*5/4</f>
        <v>615.96140217082666</v>
      </c>
      <c r="G38" s="48">
        <f t="shared" ref="G38" si="106">IF($D$2="Cents",LOG(VLOOKUP(C38,Master_Frequencies,2,FALSE)/F38,2)*1200*$F$3,LOG(D38*VLOOKUP(C38,Master_Frequencies,2,FALSE)/F38,$F$3))</f>
        <v>-13.000654770785408</v>
      </c>
      <c r="I38" s="124" t="s">
        <v>8</v>
      </c>
      <c r="J38" s="153" t="s">
        <v>70</v>
      </c>
      <c r="K38" s="98">
        <v>2</v>
      </c>
      <c r="L38" s="192">
        <f t="shared" ref="L38" si="107">K38*VLOOKUP(J38,Master_Frequencies,2,FALSE)/VLOOKUP(I38,Master_Frequencies,2,FALSE)</f>
        <v>1.4966160644124971</v>
      </c>
      <c r="M38" s="153" t="s">
        <v>8</v>
      </c>
      <c r="N38" s="153" t="s">
        <v>76</v>
      </c>
      <c r="O38" s="192">
        <f t="shared" ref="O38" si="108">D38*VLOOKUP(N38,Master_Frequencies,2,FALSE)/VLOOKUP(M38,Master_Frequencies,2,FALSE)</f>
        <v>1.2684866514146615</v>
      </c>
      <c r="Q38" s="99">
        <v>12</v>
      </c>
      <c r="R38" s="18">
        <f t="shared" si="27"/>
        <v>3153.7200472477084</v>
      </c>
      <c r="S38" s="97">
        <v>3</v>
      </c>
      <c r="T38" s="4">
        <f t="shared" si="28"/>
        <v>394.21500590596355</v>
      </c>
      <c r="U38" s="18" t="str" cm="1">
        <f t="array" ref="U38">_xlfn.XLOOKUP(0,ABS($C$44:$C$56-T38),$B$44:$B$56,,1)</f>
        <v>G</v>
      </c>
      <c r="V38" s="47">
        <f t="shared" ref="V38" si="109">LOG(T38/VLOOKUP(U38,Master_Frequencies,2,FALSE),2)*1200</f>
        <v>3.9100017307751354</v>
      </c>
      <c r="X38" s="85" t="s">
        <v>8</v>
      </c>
      <c r="Y38" s="4">
        <f t="shared" ref="Y38" si="110">VLOOKUP(X38,Master_Frequencies,2,FALSE)/POWER(2,$Z$25)</f>
        <v>246.38456086833065</v>
      </c>
      <c r="Z38" s="47">
        <f t="shared" ref="Z38" si="111">VLOOKUP(X38,Master_Frequencies,2,FALSE)*POWER(2,$Z$25)</f>
        <v>985.53824347332261</v>
      </c>
    </row>
    <row r="39" spans="2:26" x14ac:dyDescent="0.2">
      <c r="Q39" s="100">
        <v>13</v>
      </c>
      <c r="R39" s="50">
        <f t="shared" si="27"/>
        <v>3416.5300511850173</v>
      </c>
      <c r="S39" s="98">
        <v>3</v>
      </c>
      <c r="T39" s="53">
        <f t="shared" si="28"/>
        <v>427.06625639812717</v>
      </c>
      <c r="U39" s="50" t="str" cm="1">
        <f t="array" ref="U39">_xlfn.XLOOKUP(0,ABS($C$44:$C$56-T39),$B$44:$B$56,,1)</f>
        <v>A</v>
      </c>
      <c r="V39" s="48">
        <f t="shared" ref="V39" si="112">LOG(T39/VLOOKUP(U39,Master_Frequencies,2,FALSE),2)*1200</f>
        <v>-51.652334769139422</v>
      </c>
      <c r="X39" s="87" t="s">
        <v>78</v>
      </c>
      <c r="Y39" s="53">
        <f t="shared" ref="Y39" si="113">VLOOKUP(X39,Master_Frequencies,2,FALSE)/POWER(2,$Z$25)</f>
        <v>262.81000393730869</v>
      </c>
      <c r="Z39" s="48">
        <f t="shared" ref="Z39" si="114">VLOOKUP(X39,Master_Frequencies,2,FALSE)*POWER(2,$Z$25)</f>
        <v>1051.2400157492348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262.81000393730903</v>
      </c>
    </row>
    <row r="45" spans="2:26" x14ac:dyDescent="0.2">
      <c r="B45" s="92" t="s">
        <v>74</v>
      </c>
      <c r="C45" s="93">
        <f t="shared" ref="C45:C56" si="115">VLOOKUP(B45,$B$9:$H$21,7,FALSE)</f>
        <v>276.24519201071979</v>
      </c>
    </row>
    <row r="46" spans="2:26" x14ac:dyDescent="0.2">
      <c r="B46" s="92" t="s">
        <v>3</v>
      </c>
      <c r="C46" s="93">
        <f t="shared" si="115"/>
        <v>293.99657698631194</v>
      </c>
    </row>
    <row r="47" spans="2:26" x14ac:dyDescent="0.2">
      <c r="B47" s="92" t="s">
        <v>76</v>
      </c>
      <c r="C47" s="93">
        <f t="shared" si="115"/>
        <v>312.53552657614063</v>
      </c>
    </row>
    <row r="48" spans="2:26" x14ac:dyDescent="0.2">
      <c r="B48" s="92" t="s">
        <v>4</v>
      </c>
      <c r="C48" s="93">
        <f t="shared" si="115"/>
        <v>329.25553417074929</v>
      </c>
    </row>
    <row r="49" spans="2:3" x14ac:dyDescent="0.2">
      <c r="B49" s="92" t="s">
        <v>5</v>
      </c>
      <c r="C49" s="93">
        <f t="shared" si="115"/>
        <v>350.8092673301033</v>
      </c>
    </row>
    <row r="50" spans="2:3" x14ac:dyDescent="0.2">
      <c r="B50" s="92" t="s">
        <v>70</v>
      </c>
      <c r="C50" s="93">
        <f t="shared" si="115"/>
        <v>368.74309181876237</v>
      </c>
    </row>
    <row r="51" spans="2:3" x14ac:dyDescent="0.2">
      <c r="B51" s="92" t="s">
        <v>6</v>
      </c>
      <c r="C51" s="93">
        <f t="shared" si="115"/>
        <v>393.32567378088834</v>
      </c>
    </row>
    <row r="52" spans="2:3" x14ac:dyDescent="0.2">
      <c r="B52" s="92" t="s">
        <v>72</v>
      </c>
      <c r="C52" s="93">
        <f t="shared" si="115"/>
        <v>413.90012614281915</v>
      </c>
    </row>
    <row r="53" spans="2:3" x14ac:dyDescent="0.2">
      <c r="B53" s="92" t="s">
        <v>7</v>
      </c>
      <c r="C53" s="93">
        <f t="shared" si="115"/>
        <v>439.99999999999989</v>
      </c>
    </row>
    <row r="54" spans="2:3" x14ac:dyDescent="0.2">
      <c r="B54" s="92" t="s">
        <v>73</v>
      </c>
      <c r="C54" s="93">
        <f t="shared" si="115"/>
        <v>468.27419124441167</v>
      </c>
    </row>
    <row r="55" spans="2:3" x14ac:dyDescent="0.2">
      <c r="B55" s="92" t="s">
        <v>8</v>
      </c>
      <c r="C55" s="93">
        <f t="shared" si="115"/>
        <v>492.7691217366613</v>
      </c>
    </row>
    <row r="56" spans="2:3" ht="16" thickBot="1" x14ac:dyDescent="0.25">
      <c r="B56" s="94" t="s">
        <v>78</v>
      </c>
      <c r="C56" s="95">
        <f t="shared" si="115"/>
        <v>525.62000787461739</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25" priority="3">
      <formula>_xlfn.ISFORMULA(A1)</formula>
    </cfRule>
  </conditionalFormatting>
  <conditionalFormatting sqref="A1:XFD1048576">
    <cfRule type="expression" dxfId="24"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606026A2-7B2E-D144-ABA2-BA87E9D301DF}">
      <formula1>Units</formula1>
    </dataValidation>
  </dataValidations>
  <hyperlinks>
    <hyperlink ref="B40" location="Overview!A1" display="Back to Overview" xr:uid="{77309863-47FF-F149-A585-8642DF95C58E}"/>
    <hyperlink ref="B4" location="Overview!A1" display="Back to Overview" xr:uid="{C1E8168C-9957-E941-A74A-21B373BDCD1F}"/>
  </hyperlinks>
  <pageMargins left="0.7" right="0.7" top="0.75" bottom="0.75" header="0.3" footer="0.3"/>
  <drawing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7B955-5361-CA4E-84F3-70ED3D6875AC}">
  <sheetPr>
    <tabColor theme="5" tint="0.79998168889431442"/>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540</v>
      </c>
      <c r="C1" s="289"/>
      <c r="D1" s="289"/>
      <c r="E1" s="289"/>
      <c r="F1" s="289"/>
      <c r="G1" s="289"/>
      <c r="P1" s="4" t="s">
        <v>478</v>
      </c>
    </row>
    <row r="2" spans="2:23" s="70" customFormat="1" ht="48" x14ac:dyDescent="0.2">
      <c r="D2" s="154" t="s">
        <v>84</v>
      </c>
      <c r="E2" s="72" t="str">
        <f>D2</f>
        <v>Pythagorean Comma</v>
      </c>
      <c r="F2" s="72" t="str">
        <f>_xlfn.CONCAT("1/",D3," ",D2)</f>
        <v>1/12 Pythagorean Comma</v>
      </c>
      <c r="G2" s="102"/>
      <c r="H2" s="103" t="s">
        <v>143</v>
      </c>
      <c r="I2" s="161">
        <v>440</v>
      </c>
      <c r="J2" s="103" t="str">
        <f>_xlfn.CONCAT("C for A=", I2,":")</f>
        <v>C for A=440:</v>
      </c>
      <c r="K2" s="70">
        <f>I2*2*8/27*POWER($F$3,$D$12-$D$9)</f>
        <v>262.21711585392563</v>
      </c>
      <c r="L2" s="103"/>
      <c r="U2" s="103"/>
      <c r="V2" s="103"/>
      <c r="W2" s="103"/>
    </row>
    <row r="3" spans="2:23" ht="16" x14ac:dyDescent="0.2">
      <c r="B3" s="105"/>
      <c r="C3" s="74" t="s">
        <v>125</v>
      </c>
      <c r="D3" s="155">
        <v>12</v>
      </c>
      <c r="E3" s="1">
        <f>IF(D2="Pythagorean Comma",524288/531441,IF(D2="Syntonic Comma",80/81,IF(D2="Cents",1/POWER(2,1/1200),"Not in List")))</f>
        <v>0.98654036854514426</v>
      </c>
      <c r="F3" s="132">
        <f>POWER(E3,1/D3)</f>
        <v>0.99887138458445435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262.21711585392563</v>
      </c>
      <c r="G9" s="97">
        <v>0</v>
      </c>
      <c r="H9" s="188">
        <f t="shared" ref="H9:H21" si="0">E9/POWER(2,G9)</f>
        <v>262.21711585392563</v>
      </c>
      <c r="J9" s="85" t="s">
        <v>2</v>
      </c>
      <c r="K9" s="4">
        <f t="shared" ref="K9:K21" si="1">VLOOKUP(J9,Master_Frequencies,2,FALSE)</f>
        <v>262.21711585392563</v>
      </c>
      <c r="L9" s="4">
        <f t="shared" ref="L9:L21" si="2">LOG(K9/K$9,2)*1200</f>
        <v>0</v>
      </c>
      <c r="N9" s="158">
        <v>3600</v>
      </c>
      <c r="P9" s="123" t="str">
        <f>J9</f>
        <v>C</v>
      </c>
      <c r="Q9" s="4">
        <f>E9</f>
        <v>262.21711585392563</v>
      </c>
      <c r="R9" s="4">
        <f>LOG(K9/Q9,2)*1200</f>
        <v>0</v>
      </c>
      <c r="S9" s="145" t="str">
        <f t="shared" ref="S9:S21" si="3">B9</f>
        <v>C</v>
      </c>
      <c r="T9" s="4">
        <f t="shared" ref="T9:T21" si="4">VLOOKUP(S9,Master_Frequencies,2,FALSE)</f>
        <v>262.21711585392563</v>
      </c>
      <c r="U9" s="47">
        <f t="shared" ref="U9:U21" si="5">VLOOKUP(S9,$P$9:$R$21,3,FALSE)</f>
        <v>0</v>
      </c>
    </row>
    <row r="10" spans="2:23" x14ac:dyDescent="0.2">
      <c r="B10" s="107" t="s">
        <v>6</v>
      </c>
      <c r="C10" s="185">
        <v>-2</v>
      </c>
      <c r="D10" s="4">
        <f>D9+C10</f>
        <v>-2</v>
      </c>
      <c r="E10" s="4">
        <f t="shared" ref="E10:E21" si="6">IF(C10&lt;0,(E9*3/2)*POWER($F$3,ABS(C10)),(E9*3/2)*POWER(1/$F$3,ABS(C10)))</f>
        <v>392.43834795089805</v>
      </c>
      <c r="F10" s="4">
        <f t="shared" ref="F10:F21" si="7">LOG(E10/E9,2)*1200</f>
        <v>698.04499913461268</v>
      </c>
      <c r="G10" s="97">
        <v>0</v>
      </c>
      <c r="H10" s="188">
        <f t="shared" si="0"/>
        <v>392.43834795089805</v>
      </c>
      <c r="J10" s="85" t="s">
        <v>74</v>
      </c>
      <c r="K10" s="4">
        <f t="shared" si="1"/>
        <v>276.24519201072002</v>
      </c>
      <c r="L10" s="4">
        <f t="shared" si="2"/>
        <v>90.224995673063063</v>
      </c>
      <c r="M10" s="4">
        <f t="shared" ref="M10:M21" si="8">LOG(K10/K9,2)*1200</f>
        <v>90.224995673063063</v>
      </c>
      <c r="N10" s="47">
        <f t="shared" ref="N10:N21" si="9">N$9*K$9/K10</f>
        <v>3417.1875</v>
      </c>
      <c r="P10" s="123" t="str">
        <f t="shared" ref="P10:P21" si="10">J10</f>
        <v>C#</v>
      </c>
      <c r="Q10" s="4">
        <f t="shared" ref="Q10:Q21" si="11">Q9*POWER($Q$9*2/$Q$9,1/12)</f>
        <v>277.8093569565699</v>
      </c>
      <c r="R10" s="4">
        <f t="shared" ref="R10:R21" si="12">LOG(K10/Q10,2)*1200</f>
        <v>-9.7750043269371272</v>
      </c>
      <c r="S10" s="145" t="str">
        <f t="shared" si="3"/>
        <v>G</v>
      </c>
      <c r="T10" s="4">
        <f t="shared" si="4"/>
        <v>392.43834795089805</v>
      </c>
      <c r="U10" s="47">
        <f t="shared" si="5"/>
        <v>-1.9550008653881623</v>
      </c>
    </row>
    <row r="11" spans="2:23" x14ac:dyDescent="0.2">
      <c r="B11" s="107" t="s">
        <v>3</v>
      </c>
      <c r="C11" s="185">
        <v>-2</v>
      </c>
      <c r="D11" s="4">
        <f t="shared" ref="D11:D21" si="13">D10+C11</f>
        <v>-4</v>
      </c>
      <c r="E11" s="4">
        <f t="shared" si="6"/>
        <v>587.32953583481526</v>
      </c>
      <c r="F11" s="4">
        <f t="shared" si="7"/>
        <v>698.04499913461268</v>
      </c>
      <c r="G11" s="97">
        <v>1</v>
      </c>
      <c r="H11" s="188">
        <f t="shared" si="0"/>
        <v>293.66476791740763</v>
      </c>
      <c r="J11" s="85" t="s">
        <v>3</v>
      </c>
      <c r="K11" s="4">
        <f t="shared" si="1"/>
        <v>293.66476791740763</v>
      </c>
      <c r="L11" s="4">
        <f t="shared" si="2"/>
        <v>196.08999826922513</v>
      </c>
      <c r="M11" s="4">
        <f t="shared" si="8"/>
        <v>105.86500259616219</v>
      </c>
      <c r="N11" s="47">
        <f t="shared" si="9"/>
        <v>3214.4871302356041</v>
      </c>
      <c r="P11" s="123" t="str">
        <f t="shared" si="10"/>
        <v>D</v>
      </c>
      <c r="Q11" s="4">
        <f t="shared" si="11"/>
        <v>294.32876096317358</v>
      </c>
      <c r="R11" s="4">
        <f t="shared" si="12"/>
        <v>-3.910001730775059</v>
      </c>
      <c r="S11" s="145" t="str">
        <f t="shared" si="3"/>
        <v>D</v>
      </c>
      <c r="T11" s="4">
        <f t="shared" si="4"/>
        <v>293.66476791740763</v>
      </c>
      <c r="U11" s="47">
        <f t="shared" si="5"/>
        <v>-3.910001730775059</v>
      </c>
    </row>
    <row r="12" spans="2:23" x14ac:dyDescent="0.2">
      <c r="B12" s="107" t="s">
        <v>7</v>
      </c>
      <c r="C12" s="185">
        <v>-1</v>
      </c>
      <c r="D12" s="4">
        <f t="shared" si="13"/>
        <v>-5</v>
      </c>
      <c r="E12" s="4">
        <f t="shared" si="6"/>
        <v>880.00000000000023</v>
      </c>
      <c r="F12" s="4">
        <f t="shared" si="7"/>
        <v>700</v>
      </c>
      <c r="G12" s="97">
        <v>1</v>
      </c>
      <c r="H12" s="188">
        <f t="shared" si="0"/>
        <v>440.00000000000011</v>
      </c>
      <c r="J12" s="85" t="s">
        <v>76</v>
      </c>
      <c r="K12" s="4">
        <f t="shared" si="1"/>
        <v>311.47852318495876</v>
      </c>
      <c r="L12" s="4">
        <f t="shared" si="2"/>
        <v>298.04499913461177</v>
      </c>
      <c r="M12" s="4">
        <f t="shared" si="8"/>
        <v>101.95500086538654</v>
      </c>
      <c r="N12" s="47">
        <f t="shared" si="9"/>
        <v>3030.6475304353089</v>
      </c>
      <c r="P12" s="123" t="str">
        <f t="shared" si="10"/>
        <v>D#</v>
      </c>
      <c r="Q12" s="4">
        <f t="shared" si="11"/>
        <v>311.83045984898126</v>
      </c>
      <c r="R12" s="4">
        <f t="shared" si="12"/>
        <v>-1.9550008653887396</v>
      </c>
      <c r="S12" s="145" t="str">
        <f t="shared" si="3"/>
        <v>A</v>
      </c>
      <c r="T12" s="4">
        <f t="shared" si="4"/>
        <v>440.00000000000011</v>
      </c>
      <c r="U12" s="47">
        <f t="shared" si="5"/>
        <v>-3.9100017307756363</v>
      </c>
    </row>
    <row r="13" spans="2:23" x14ac:dyDescent="0.2">
      <c r="B13" s="107" t="s">
        <v>4</v>
      </c>
      <c r="C13" s="185">
        <v>-2</v>
      </c>
      <c r="D13" s="4">
        <f t="shared" si="13"/>
        <v>-7</v>
      </c>
      <c r="E13" s="4">
        <f t="shared" si="6"/>
        <v>1317.0221366829981</v>
      </c>
      <c r="F13" s="4">
        <f t="shared" si="7"/>
        <v>698.04499913461279</v>
      </c>
      <c r="G13" s="97">
        <v>2</v>
      </c>
      <c r="H13" s="188">
        <f t="shared" si="0"/>
        <v>329.25553417074951</v>
      </c>
      <c r="J13" s="85" t="s">
        <v>4</v>
      </c>
      <c r="K13" s="4">
        <f t="shared" si="1"/>
        <v>329.25553417074951</v>
      </c>
      <c r="L13" s="4">
        <f t="shared" si="2"/>
        <v>394.1349974038381</v>
      </c>
      <c r="M13" s="4">
        <f t="shared" si="8"/>
        <v>96.089998269226399</v>
      </c>
      <c r="N13" s="47">
        <f t="shared" si="9"/>
        <v>2867.0182247706439</v>
      </c>
      <c r="P13" s="123" t="str">
        <f t="shared" si="10"/>
        <v>E</v>
      </c>
      <c r="Q13" s="4">
        <f t="shared" si="11"/>
        <v>330.37286390708368</v>
      </c>
      <c r="R13" s="4">
        <f t="shared" si="12"/>
        <v>-5.8650025961626593</v>
      </c>
      <c r="S13" s="145" t="str">
        <f t="shared" si="3"/>
        <v>E</v>
      </c>
      <c r="T13" s="4">
        <f t="shared" si="4"/>
        <v>329.25553417074951</v>
      </c>
      <c r="U13" s="47">
        <f t="shared" si="5"/>
        <v>-5.8650025961626593</v>
      </c>
    </row>
    <row r="14" spans="2:23" x14ac:dyDescent="0.2">
      <c r="B14" s="107" t="s">
        <v>8</v>
      </c>
      <c r="C14" s="185">
        <v>-2</v>
      </c>
      <c r="D14" s="4">
        <f t="shared" si="13"/>
        <v>-9</v>
      </c>
      <c r="E14" s="4">
        <f t="shared" si="6"/>
        <v>1971.0764869466466</v>
      </c>
      <c r="F14" s="4">
        <f t="shared" si="7"/>
        <v>698.04499913461268</v>
      </c>
      <c r="G14" s="97">
        <v>2</v>
      </c>
      <c r="H14" s="188">
        <f t="shared" si="0"/>
        <v>492.76912173666165</v>
      </c>
      <c r="J14" s="85" t="s">
        <v>5</v>
      </c>
      <c r="K14" s="4">
        <f t="shared" si="1"/>
        <v>350.0178566873409</v>
      </c>
      <c r="L14" s="4">
        <f t="shared" si="2"/>
        <v>499.99999999999886</v>
      </c>
      <c r="M14" s="4">
        <f t="shared" si="8"/>
        <v>105.86500259616112</v>
      </c>
      <c r="N14" s="47">
        <f t="shared" si="9"/>
        <v>2696.9527383780282</v>
      </c>
      <c r="P14" s="123" t="str">
        <f t="shared" si="10"/>
        <v>F</v>
      </c>
      <c r="Q14" s="4">
        <f t="shared" si="11"/>
        <v>350.01785668734124</v>
      </c>
      <c r="R14" s="4">
        <f t="shared" si="12"/>
        <v>-1.7298503120600566E-12</v>
      </c>
      <c r="S14" s="145" t="str">
        <f t="shared" si="3"/>
        <v>B</v>
      </c>
      <c r="T14" s="4">
        <f t="shared" si="4"/>
        <v>492.76912173666165</v>
      </c>
      <c r="U14" s="47">
        <f t="shared" si="5"/>
        <v>-7.8200034615506553</v>
      </c>
    </row>
    <row r="15" spans="2:23" x14ac:dyDescent="0.2">
      <c r="B15" s="107" t="s">
        <v>70</v>
      </c>
      <c r="C15" s="185">
        <v>-2</v>
      </c>
      <c r="D15" s="4">
        <f t="shared" si="13"/>
        <v>-11</v>
      </c>
      <c r="E15" s="4">
        <f t="shared" si="6"/>
        <v>2949.9447345501012</v>
      </c>
      <c r="F15" s="4">
        <f t="shared" si="7"/>
        <v>698.04499913461268</v>
      </c>
      <c r="G15" s="97">
        <v>3</v>
      </c>
      <c r="H15" s="188">
        <f t="shared" si="0"/>
        <v>368.74309181876265</v>
      </c>
      <c r="J15" s="85" t="s">
        <v>70</v>
      </c>
      <c r="K15" s="4">
        <f t="shared" si="1"/>
        <v>368.74309181876265</v>
      </c>
      <c r="L15" s="4">
        <f t="shared" si="2"/>
        <v>590.22499567306295</v>
      </c>
      <c r="M15" s="4">
        <f t="shared" si="8"/>
        <v>90.224995673063802</v>
      </c>
      <c r="N15" s="47">
        <f t="shared" si="9"/>
        <v>2559.9981071322677</v>
      </c>
      <c r="P15" s="123" t="str">
        <f t="shared" si="10"/>
        <v>F#</v>
      </c>
      <c r="Q15" s="4">
        <f t="shared" si="11"/>
        <v>370.83100152697892</v>
      </c>
      <c r="R15" s="4">
        <f t="shared" si="12"/>
        <v>-9.7750043269378999</v>
      </c>
      <c r="S15" s="145" t="str">
        <f t="shared" si="3"/>
        <v>F#</v>
      </c>
      <c r="T15" s="4">
        <f t="shared" si="4"/>
        <v>368.74309181876265</v>
      </c>
      <c r="U15" s="47">
        <f t="shared" si="5"/>
        <v>-9.7750043269378999</v>
      </c>
    </row>
    <row r="16" spans="2:23" x14ac:dyDescent="0.2">
      <c r="B16" s="107" t="s">
        <v>74</v>
      </c>
      <c r="C16" s="185">
        <v>-1</v>
      </c>
      <c r="D16" s="4">
        <f t="shared" si="13"/>
        <v>-12</v>
      </c>
      <c r="E16" s="4">
        <f t="shared" si="6"/>
        <v>4419.9230721715203</v>
      </c>
      <c r="F16" s="4">
        <f t="shared" si="7"/>
        <v>700</v>
      </c>
      <c r="G16" s="97">
        <v>4</v>
      </c>
      <c r="H16" s="188">
        <f t="shared" si="0"/>
        <v>276.24519201072002</v>
      </c>
      <c r="J16" s="85" t="s">
        <v>6</v>
      </c>
      <c r="K16" s="4">
        <f t="shared" si="1"/>
        <v>392.43834795089805</v>
      </c>
      <c r="L16" s="4">
        <f t="shared" si="2"/>
        <v>698.04499913461268</v>
      </c>
      <c r="M16" s="4">
        <f t="shared" si="8"/>
        <v>107.82000346154977</v>
      </c>
      <c r="N16" s="47">
        <f t="shared" si="9"/>
        <v>2405.4265389789161</v>
      </c>
      <c r="P16" s="123" t="str">
        <f t="shared" si="10"/>
        <v>G</v>
      </c>
      <c r="Q16" s="4">
        <f t="shared" si="11"/>
        <v>392.88176036212963</v>
      </c>
      <c r="R16" s="4">
        <f t="shared" si="12"/>
        <v>-1.9550008653881623</v>
      </c>
      <c r="S16" s="145" t="str">
        <f t="shared" si="3"/>
        <v>C#</v>
      </c>
      <c r="T16" s="4">
        <f t="shared" si="4"/>
        <v>276.24519201072002</v>
      </c>
      <c r="U16" s="47">
        <f t="shared" si="5"/>
        <v>-9.7750043269371272</v>
      </c>
    </row>
    <row r="17" spans="2:26" x14ac:dyDescent="0.2">
      <c r="B17" s="107" t="s">
        <v>72</v>
      </c>
      <c r="C17" s="185">
        <v>-1</v>
      </c>
      <c r="D17" s="4">
        <f t="shared" si="13"/>
        <v>-13</v>
      </c>
      <c r="E17" s="4">
        <f t="shared" si="6"/>
        <v>6622.4020182851118</v>
      </c>
      <c r="F17" s="4">
        <f t="shared" si="7"/>
        <v>699.99999999999977</v>
      </c>
      <c r="G17" s="97">
        <v>4</v>
      </c>
      <c r="H17" s="188">
        <f t="shared" si="0"/>
        <v>413.90012614281949</v>
      </c>
      <c r="J17" s="85" t="s">
        <v>72</v>
      </c>
      <c r="K17" s="4">
        <f t="shared" si="1"/>
        <v>413.90012614281949</v>
      </c>
      <c r="L17" s="4">
        <f t="shared" si="2"/>
        <v>790.22499567306284</v>
      </c>
      <c r="M17" s="4">
        <f t="shared" si="8"/>
        <v>92.179996538450069</v>
      </c>
      <c r="N17" s="47">
        <f t="shared" si="9"/>
        <v>2280.6990320858322</v>
      </c>
      <c r="P17" s="123" t="str">
        <f t="shared" si="10"/>
        <v>G#</v>
      </c>
      <c r="Q17" s="4">
        <f t="shared" si="11"/>
        <v>416.24372555058898</v>
      </c>
      <c r="R17" s="4">
        <f t="shared" si="12"/>
        <v>-9.7750043269378999</v>
      </c>
      <c r="S17" s="145" t="str">
        <f t="shared" si="3"/>
        <v>G#</v>
      </c>
      <c r="T17" s="4">
        <f t="shared" si="4"/>
        <v>413.90012614281949</v>
      </c>
      <c r="U17" s="47">
        <f t="shared" si="5"/>
        <v>-9.7750043269378999</v>
      </c>
    </row>
    <row r="18" spans="2:26" x14ac:dyDescent="0.2">
      <c r="B18" s="107" t="s">
        <v>76</v>
      </c>
      <c r="C18" s="185">
        <v>3</v>
      </c>
      <c r="D18" s="4">
        <f t="shared" si="13"/>
        <v>-10</v>
      </c>
      <c r="E18" s="4">
        <f t="shared" si="6"/>
        <v>9967.3127419186803</v>
      </c>
      <c r="F18" s="4">
        <f t="shared" si="7"/>
        <v>707.82000346154905</v>
      </c>
      <c r="G18" s="97">
        <v>5</v>
      </c>
      <c r="H18" s="188">
        <f t="shared" si="0"/>
        <v>311.47852318495876</v>
      </c>
      <c r="J18" s="85" t="s">
        <v>7</v>
      </c>
      <c r="K18" s="4">
        <f t="shared" si="1"/>
        <v>440.00000000000011</v>
      </c>
      <c r="L18" s="4">
        <f t="shared" si="2"/>
        <v>896.08999826922536</v>
      </c>
      <c r="M18" s="4">
        <f t="shared" si="8"/>
        <v>105.86500259616255</v>
      </c>
      <c r="N18" s="47">
        <f t="shared" si="9"/>
        <v>2145.412766077573</v>
      </c>
      <c r="P18" s="123" t="str">
        <f t="shared" si="10"/>
        <v>A</v>
      </c>
      <c r="Q18" s="4">
        <f t="shared" si="11"/>
        <v>440.99486547946827</v>
      </c>
      <c r="R18" s="4">
        <f t="shared" si="12"/>
        <v>-3.9100017307756363</v>
      </c>
      <c r="S18" s="145" t="str">
        <f t="shared" si="3"/>
        <v>D#</v>
      </c>
      <c r="T18" s="4">
        <f t="shared" si="4"/>
        <v>311.47852318495876</v>
      </c>
      <c r="U18" s="47">
        <f t="shared" si="5"/>
        <v>-1.9550008653887396</v>
      </c>
    </row>
    <row r="19" spans="2:26" x14ac:dyDescent="0.2">
      <c r="B19" s="107" t="s">
        <v>73</v>
      </c>
      <c r="C19" s="185">
        <v>0</v>
      </c>
      <c r="D19" s="4">
        <f t="shared" si="13"/>
        <v>-10</v>
      </c>
      <c r="E19" s="4">
        <f t="shared" si="6"/>
        <v>14950.969112878021</v>
      </c>
      <c r="F19" s="4">
        <f t="shared" si="7"/>
        <v>701.95500086538743</v>
      </c>
      <c r="G19" s="97">
        <v>5</v>
      </c>
      <c r="H19" s="188">
        <f t="shared" si="0"/>
        <v>467.21778477743817</v>
      </c>
      <c r="J19" s="85" t="s">
        <v>73</v>
      </c>
      <c r="K19" s="4">
        <f t="shared" si="1"/>
        <v>467.21778477743817</v>
      </c>
      <c r="L19" s="4">
        <f t="shared" si="2"/>
        <v>999.9999999999992</v>
      </c>
      <c r="M19" s="4">
        <f t="shared" si="8"/>
        <v>103.91000173077408</v>
      </c>
      <c r="N19" s="47">
        <f t="shared" si="9"/>
        <v>2020.4316869568725</v>
      </c>
      <c r="P19" s="123" t="str">
        <f t="shared" si="10"/>
        <v>A#</v>
      </c>
      <c r="Q19" s="4">
        <f t="shared" si="11"/>
        <v>467.21778477743862</v>
      </c>
      <c r="R19" s="4">
        <f t="shared" si="12"/>
        <v>-1.7298503120600566E-12</v>
      </c>
      <c r="S19" s="145" t="str">
        <f t="shared" si="3"/>
        <v>A#</v>
      </c>
      <c r="T19" s="4">
        <f t="shared" si="4"/>
        <v>467.21778477743817</v>
      </c>
      <c r="U19" s="47">
        <f t="shared" si="5"/>
        <v>-1.7298503120600566E-12</v>
      </c>
    </row>
    <row r="20" spans="2:26" x14ac:dyDescent="0.2">
      <c r="B20" s="107" t="s">
        <v>5</v>
      </c>
      <c r="C20" s="185">
        <v>-1</v>
      </c>
      <c r="D20" s="4">
        <f t="shared" si="13"/>
        <v>-11</v>
      </c>
      <c r="E20" s="4">
        <f t="shared" si="6"/>
        <v>22401.142827989817</v>
      </c>
      <c r="F20" s="4">
        <f t="shared" si="7"/>
        <v>699.99999999999977</v>
      </c>
      <c r="G20" s="97">
        <v>6</v>
      </c>
      <c r="H20" s="188">
        <f t="shared" si="0"/>
        <v>350.0178566873409</v>
      </c>
      <c r="J20" s="85" t="s">
        <v>8</v>
      </c>
      <c r="K20" s="4">
        <f t="shared" si="1"/>
        <v>492.76912173666165</v>
      </c>
      <c r="L20" s="4">
        <f t="shared" si="2"/>
        <v>1092.1799965384505</v>
      </c>
      <c r="M20" s="4">
        <f t="shared" si="8"/>
        <v>92.179996538451178</v>
      </c>
      <c r="N20" s="47">
        <f t="shared" si="9"/>
        <v>1915.6671459998684</v>
      </c>
      <c r="P20" s="123" t="str">
        <f t="shared" si="10"/>
        <v>B</v>
      </c>
      <c r="Q20" s="4">
        <f t="shared" si="11"/>
        <v>495.0000000000004</v>
      </c>
      <c r="R20" s="4">
        <f t="shared" si="12"/>
        <v>-7.8200034615506553</v>
      </c>
      <c r="S20" s="145" t="str">
        <f t="shared" si="3"/>
        <v>F</v>
      </c>
      <c r="T20" s="4">
        <f t="shared" si="4"/>
        <v>350.0178566873409</v>
      </c>
      <c r="U20" s="47">
        <f t="shared" si="5"/>
        <v>-1.7298503120600566E-12</v>
      </c>
    </row>
    <row r="21" spans="2:26" x14ac:dyDescent="0.2">
      <c r="B21" s="108" t="s">
        <v>78</v>
      </c>
      <c r="C21" s="186">
        <v>-1</v>
      </c>
      <c r="D21" s="53">
        <f t="shared" si="13"/>
        <v>-12</v>
      </c>
      <c r="E21" s="53">
        <f t="shared" si="6"/>
        <v>33563.790829302459</v>
      </c>
      <c r="F21" s="53">
        <f t="shared" si="7"/>
        <v>699.99999999999977</v>
      </c>
      <c r="G21" s="98">
        <v>6</v>
      </c>
      <c r="H21" s="48">
        <f t="shared" si="0"/>
        <v>524.43423170785093</v>
      </c>
      <c r="J21" s="87" t="s">
        <v>78</v>
      </c>
      <c r="K21" s="53">
        <f t="shared" si="1"/>
        <v>524.43423170785093</v>
      </c>
      <c r="L21" s="53">
        <f t="shared" si="2"/>
        <v>1199.9999999999989</v>
      </c>
      <c r="M21" s="53">
        <f t="shared" si="8"/>
        <v>107.82000346154832</v>
      </c>
      <c r="N21" s="48">
        <f t="shared" si="9"/>
        <v>1800.0000000000011</v>
      </c>
      <c r="P21" s="108" t="str">
        <f t="shared" si="10"/>
        <v>c oct.</v>
      </c>
      <c r="Q21" s="53">
        <f t="shared" si="11"/>
        <v>524.43423170785161</v>
      </c>
      <c r="R21" s="53">
        <f t="shared" si="12"/>
        <v>-2.3064670827467422E-12</v>
      </c>
      <c r="S21" s="151" t="str">
        <f t="shared" si="3"/>
        <v>c oct.</v>
      </c>
      <c r="T21" s="53">
        <f t="shared" si="4"/>
        <v>524.43423170785093</v>
      </c>
      <c r="U21" s="48">
        <f t="shared" si="5"/>
        <v>-2.3064670827467422E-12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Silbermann Freiberg 4 Interval in cents</v>
      </c>
      <c r="F26" s="84" t="s">
        <v>18</v>
      </c>
      <c r="G26" s="52" t="str">
        <f>_xlfn.CONCAT("diff ",$F$2)</f>
        <v>diff 1/12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394.1349974038381</v>
      </c>
      <c r="F27" s="4">
        <f t="shared" ref="F27" si="15">VLOOKUP(B27,Master_Frequencies,2,FALSE)*5/4</f>
        <v>327.77139481740704</v>
      </c>
      <c r="G27" s="47">
        <f t="shared" ref="G27" si="16">IF($D$2="Cents",LOG(VLOOKUP(C27,Master_Frequencies,2,FALSE)/F27,2)*1200*$F$3,LOG(D27*VLOOKUP(C27,Master_Frequencies,2,FALSE)/F27,$F$3))</f>
        <v>-4.0006547707860589</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1.2556599636850909</v>
      </c>
      <c r="Q27" s="99">
        <v>1</v>
      </c>
      <c r="R27" s="18">
        <f>$E$9*Q27</f>
        <v>262.21711585392563</v>
      </c>
      <c r="S27" s="97">
        <v>0</v>
      </c>
      <c r="T27" s="4">
        <f>R27/POWER(2,S27)</f>
        <v>262.21711585392563</v>
      </c>
      <c r="U27" s="18" t="str" cm="1">
        <f t="array" ref="U27">_xlfn.XLOOKUP(0,ABS($C$44:$C$56-T27),$B$44:$B$56,,1)</f>
        <v>C</v>
      </c>
      <c r="V27" s="47">
        <f t="shared" ref="V27" si="19">LOG(T27/VLOOKUP(U27,Master_Frequencies,2,FALSE),2)*1200</f>
        <v>0</v>
      </c>
      <c r="X27" s="85" t="s">
        <v>2</v>
      </c>
      <c r="Y27" s="4">
        <f t="shared" ref="Y27" si="20">VLOOKUP(X27,Master_Frequencies,2,FALSE)/POWER(2,$Z$25)</f>
        <v>131.10855792696282</v>
      </c>
      <c r="Z27" s="47">
        <f t="shared" ref="Z27" si="21">VLOOKUP(X27,Master_Frequencies,2,FALSE)*POWER(2,$Z$25)</f>
        <v>524.43423170785127</v>
      </c>
    </row>
    <row r="28" spans="2:26" x14ac:dyDescent="0.2">
      <c r="B28" s="123" t="s">
        <v>74</v>
      </c>
      <c r="C28" s="145" t="s">
        <v>5</v>
      </c>
      <c r="D28" s="97">
        <v>1</v>
      </c>
      <c r="E28" s="4">
        <f t="shared" ref="E28" si="22">LOG(D28*VLOOKUP(C28,Master_Frequencies,2,FALSE)/VLOOKUP(B28,Master_Frequencies,2,FALSE),2)*1200</f>
        <v>409.77500432693614</v>
      </c>
      <c r="F28" s="4">
        <f t="shared" ref="F28" si="23">VLOOKUP(B28,Master_Frequencies,2,FALSE)*5/4</f>
        <v>345.30649001340004</v>
      </c>
      <c r="G28" s="47">
        <f t="shared" ref="G28" si="24">IF($D$2="Cents",LOG(VLOOKUP(C28,Master_Frequencies,2,FALSE)/F28,2)*1200*$F$3,LOG(D28*VLOOKUP(C28,Master_Frequencies,2,FALSE)/F28,$F$3))</f>
        <v>-12.000654770785498</v>
      </c>
      <c r="I28" s="123" t="s">
        <v>74</v>
      </c>
      <c r="J28" s="145" t="s">
        <v>72</v>
      </c>
      <c r="K28" s="97">
        <v>1</v>
      </c>
      <c r="L28" s="191">
        <f t="shared" ref="L28" si="25">K28*VLOOKUP(J28,Master_Frequencies,2,FALSE)/VLOOKUP(I28,Master_Frequencies,2,FALSE)</f>
        <v>1.4983070768766813</v>
      </c>
      <c r="M28" s="145" t="s">
        <v>74</v>
      </c>
      <c r="N28" s="145" t="s">
        <v>5</v>
      </c>
      <c r="O28" s="191">
        <f t="shared" ref="O28" si="26">D28*VLOOKUP(N28,Master_Frequencies,2,FALSE)/VLOOKUP(M28,Master_Frequencies,2,FALSE)</f>
        <v>1.2670550178254616</v>
      </c>
      <c r="Q28" s="99">
        <v>2</v>
      </c>
      <c r="R28" s="18">
        <f t="shared" ref="R28:R39" si="27">$E$9*Q28</f>
        <v>524.43423170785127</v>
      </c>
      <c r="S28" s="97">
        <v>0</v>
      </c>
      <c r="T28" s="4">
        <f t="shared" ref="T28:T39" si="28">R28/POWER(2,S28)</f>
        <v>524.43423170785127</v>
      </c>
      <c r="U28" s="18" t="str" cm="1">
        <f t="array" ref="U28">_xlfn.XLOOKUP(0,ABS($C$44:$C$56-T28),$B$44:$B$56,,1)</f>
        <v>c oct.</v>
      </c>
      <c r="V28" s="47">
        <f t="shared" ref="V28" si="29">LOG(T28/VLOOKUP(U28,Master_Frequencies,2,FALSE),2)*1200</f>
        <v>1.1532335413733699E-12</v>
      </c>
      <c r="X28" s="85" t="s">
        <v>74</v>
      </c>
      <c r="Y28" s="4">
        <f t="shared" ref="Y28" si="30">VLOOKUP(X28,Master_Frequencies,2,FALSE)/POWER(2,$Z$25)</f>
        <v>138.12259600536001</v>
      </c>
      <c r="Z28" s="47">
        <f t="shared" ref="Z28" si="31">VLOOKUP(X28,Master_Frequencies,2,FALSE)*POWER(2,$Z$25)</f>
        <v>552.49038402144004</v>
      </c>
    </row>
    <row r="29" spans="2:26" x14ac:dyDescent="0.2">
      <c r="B29" s="123" t="s">
        <v>3</v>
      </c>
      <c r="C29" s="145" t="s">
        <v>70</v>
      </c>
      <c r="D29" s="97">
        <v>1</v>
      </c>
      <c r="E29" s="4">
        <f t="shared" ref="E29" si="32">LOG(D29*VLOOKUP(C29,Master_Frequencies,2,FALSE)/VLOOKUP(B29,Master_Frequencies,2,FALSE),2)*1200</f>
        <v>394.13499740383776</v>
      </c>
      <c r="F29" s="4">
        <f t="shared" ref="F29" si="33">VLOOKUP(B29,Master_Frequencies,2,FALSE)*5/4</f>
        <v>367.08095989675951</v>
      </c>
      <c r="G29" s="47">
        <f t="shared" ref="G29" si="34">IF($D$2="Cents",LOG(VLOOKUP(C29,Master_Frequencies,2,FALSE)/F29,2)*1200*$F$3,LOG(D29*VLOOKUP(C29,Master_Frequencies,2,FALSE)/F29,$F$3))</f>
        <v>-4.0006547707860589</v>
      </c>
      <c r="I29" s="123" t="s">
        <v>3</v>
      </c>
      <c r="J29" s="145" t="s">
        <v>7</v>
      </c>
      <c r="K29" s="97">
        <v>1</v>
      </c>
      <c r="L29" s="191">
        <f t="shared" ref="L29" si="35">K29*VLOOKUP(J29,Master_Frequencies,2,FALSE)/VLOOKUP(I29,Master_Frequencies,2,FALSE)</f>
        <v>1.4983070768766815</v>
      </c>
      <c r="M29" s="145" t="s">
        <v>3</v>
      </c>
      <c r="N29" s="145" t="s">
        <v>70</v>
      </c>
      <c r="O29" s="191">
        <f t="shared" ref="O29" si="36">D29*VLOOKUP(N29,Master_Frequencies,2,FALSE)/VLOOKUP(M29,Master_Frequencies,2,FALSE)</f>
        <v>1.2556599636850907</v>
      </c>
      <c r="Q29" s="99">
        <v>3</v>
      </c>
      <c r="R29" s="18">
        <f t="shared" si="27"/>
        <v>786.6513475617769</v>
      </c>
      <c r="S29" s="97">
        <v>1</v>
      </c>
      <c r="T29" s="4">
        <f t="shared" si="28"/>
        <v>393.32567378088845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146.83238395870382</v>
      </c>
      <c r="Z29" s="47">
        <f t="shared" ref="Z29" si="39">VLOOKUP(X29,Master_Frequencies,2,FALSE)*POWER(2,$Z$25)</f>
        <v>587.32953583481526</v>
      </c>
    </row>
    <row r="30" spans="2:26" x14ac:dyDescent="0.2">
      <c r="B30" s="123" t="s">
        <v>76</v>
      </c>
      <c r="C30" s="145" t="s">
        <v>6</v>
      </c>
      <c r="D30" s="97">
        <v>1</v>
      </c>
      <c r="E30" s="4">
        <f t="shared" ref="E30" si="40">LOG(D30*VLOOKUP(C30,Master_Frequencies,2,FALSE)/VLOOKUP(B30,Master_Frequencies,2,FALSE),2)*1200</f>
        <v>400.00000000000097</v>
      </c>
      <c r="F30" s="4">
        <f t="shared" ref="F30" si="41">VLOOKUP(B30,Master_Frequencies,2,FALSE)*5/4</f>
        <v>389.34815398119844</v>
      </c>
      <c r="G30" s="47">
        <f t="shared" ref="G30" si="42">IF($D$2="Cents",LOG(VLOOKUP(C30,Master_Frequencies,2,FALSE)/F30,2)*1200*$F$3,LOG(D30*VLOOKUP(C30,Master_Frequencies,2,FALSE)/F30,$F$3))</f>
        <v>-7.0006547707866922</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1.2599210498948739</v>
      </c>
      <c r="Q30" s="99">
        <v>4</v>
      </c>
      <c r="R30" s="18">
        <f t="shared" si="27"/>
        <v>1048.8684634157025</v>
      </c>
      <c r="S30" s="97">
        <v>1</v>
      </c>
      <c r="T30" s="4">
        <f t="shared" si="28"/>
        <v>524.43423170785127</v>
      </c>
      <c r="U30" s="18" t="str" cm="1">
        <f t="array" ref="U30">_xlfn.XLOOKUP(0,ABS($C$44:$C$56-T30),$B$44:$B$56,,1)</f>
        <v>c oct.</v>
      </c>
      <c r="V30" s="47">
        <f t="shared" ref="V30" si="45">LOG(T30/VLOOKUP(U30,Master_Frequencies,2,FALSE),2)*1200</f>
        <v>1.1532335413733699E-12</v>
      </c>
      <c r="X30" s="85" t="s">
        <v>76</v>
      </c>
      <c r="Y30" s="4">
        <f t="shared" ref="Y30" si="46">VLOOKUP(X30,Master_Frequencies,2,FALSE)/POWER(2,$Z$25)</f>
        <v>155.73926159247938</v>
      </c>
      <c r="Z30" s="47">
        <f t="shared" ref="Z30" si="47">VLOOKUP(X30,Master_Frequencies,2,FALSE)*POWER(2,$Z$25)</f>
        <v>622.95704636991752</v>
      </c>
    </row>
    <row r="31" spans="2:26" x14ac:dyDescent="0.2">
      <c r="B31" s="123" t="s">
        <v>4</v>
      </c>
      <c r="C31" s="145" t="s">
        <v>72</v>
      </c>
      <c r="D31" s="97">
        <v>1</v>
      </c>
      <c r="E31" s="4">
        <f t="shared" ref="E31" si="48">LOG(D31*VLOOKUP(C31,Master_Frequencies,2,FALSE)/VLOOKUP(B31,Master_Frequencies,2,FALSE),2)*1200</f>
        <v>396.08999826922508</v>
      </c>
      <c r="F31" s="4">
        <f t="shared" ref="F31" si="49">VLOOKUP(B31,Master_Frequencies,2,FALSE)*5/4</f>
        <v>411.56941771343691</v>
      </c>
      <c r="G31" s="47">
        <f t="shared" ref="G31" si="50">IF($D$2="Cents",LOG(VLOOKUP(C31,Master_Frequencies,2,FALSE)/F31,2)*1200*$F$3,LOG(D31*VLOOKUP(C31,Master_Frequencies,2,FALSE)/F31,$F$3))</f>
        <v>-5.0006547707859239</v>
      </c>
      <c r="I31" s="123" t="s">
        <v>4</v>
      </c>
      <c r="J31" s="145" t="s">
        <v>8</v>
      </c>
      <c r="K31" s="97">
        <v>1</v>
      </c>
      <c r="L31" s="191">
        <f t="shared" ref="L31" si="51">K31*VLOOKUP(J31,Master_Frequencies,2,FALSE)/VLOOKUP(I31,Master_Frequencies,2,FALSE)</f>
        <v>1.4966160644124973</v>
      </c>
      <c r="M31" s="145" t="s">
        <v>4</v>
      </c>
      <c r="N31" s="145" t="s">
        <v>72</v>
      </c>
      <c r="O31" s="191">
        <f t="shared" ref="O31" si="52">D31*VLOOKUP(N31,Master_Frequencies,2,FALSE)/VLOOKUP(M31,Master_Frequencies,2,FALSE)</f>
        <v>1.2570787221094177</v>
      </c>
      <c r="Q31" s="99">
        <v>5</v>
      </c>
      <c r="R31" s="18">
        <f t="shared" si="27"/>
        <v>1311.0855792696282</v>
      </c>
      <c r="S31" s="97">
        <v>2</v>
      </c>
      <c r="T31" s="4">
        <f t="shared" si="28"/>
        <v>327.77139481740704</v>
      </c>
      <c r="U31" s="18" t="str" cm="1">
        <f t="array" ref="U31">_xlfn.XLOOKUP(0,ABS($C$44:$C$56-T31),$B$44:$B$56,,1)</f>
        <v>E</v>
      </c>
      <c r="V31" s="47">
        <f t="shared" ref="V31" si="53">LOG(T31/VLOOKUP(U31,Master_Frequencies,2,FALSE),2)*1200</f>
        <v>-7.8212835390032032</v>
      </c>
      <c r="X31" s="85" t="s">
        <v>4</v>
      </c>
      <c r="Y31" s="4">
        <f t="shared" ref="Y31" si="54">VLOOKUP(X31,Master_Frequencies,2,FALSE)/POWER(2,$Z$25)</f>
        <v>164.62776708537476</v>
      </c>
      <c r="Z31" s="47">
        <f t="shared" ref="Z31" si="55">VLOOKUP(X31,Master_Frequencies,2,FALSE)*POWER(2,$Z$25)</f>
        <v>658.51106834149903</v>
      </c>
    </row>
    <row r="32" spans="2:26" x14ac:dyDescent="0.2">
      <c r="B32" s="123" t="s">
        <v>5</v>
      </c>
      <c r="C32" s="145" t="s">
        <v>7</v>
      </c>
      <c r="D32" s="97">
        <v>1</v>
      </c>
      <c r="E32" s="4">
        <f t="shared" ref="E32" si="56">LOG(D32*VLOOKUP(C32,Master_Frequencies,2,FALSE)/VLOOKUP(B32,Master_Frequencies,2,FALSE),2)*1200</f>
        <v>396.08999826922627</v>
      </c>
      <c r="F32" s="4">
        <f t="shared" ref="F32" si="57">VLOOKUP(B32,Master_Frequencies,2,FALSE)*5/4</f>
        <v>437.52232085917615</v>
      </c>
      <c r="G32" s="47">
        <f t="shared" ref="G32" si="58">IF($D$2="Cents",LOG(VLOOKUP(C32,Master_Frequencies,2,FALSE)/F32,2)*1200*$F$3,LOG(D32*VLOOKUP(C32,Master_Frequencies,2,FALSE)/F32,$F$3))</f>
        <v>-5.000654770786511</v>
      </c>
      <c r="I32" s="123" t="s">
        <v>5</v>
      </c>
      <c r="J32" s="145" t="s">
        <v>78</v>
      </c>
      <c r="K32" s="97">
        <v>1</v>
      </c>
      <c r="L32" s="191">
        <f t="shared" ref="L32" si="59">K32*VLOOKUP(J32,Master_Frequencies,2,FALSE)/VLOOKUP(I32,Master_Frequencies,2,FALSE)</f>
        <v>1.4983070768766813</v>
      </c>
      <c r="M32" s="145" t="s">
        <v>5</v>
      </c>
      <c r="N32" s="145" t="s">
        <v>7</v>
      </c>
      <c r="O32" s="191">
        <f t="shared" ref="O32" si="60">D32*VLOOKUP(N32,Master_Frequencies,2,FALSE)/VLOOKUP(M32,Master_Frequencies,2,FALSE)</f>
        <v>1.2570787221094186</v>
      </c>
      <c r="Q32" s="99">
        <v>6</v>
      </c>
      <c r="R32" s="18">
        <f t="shared" si="27"/>
        <v>1573.3026951235538</v>
      </c>
      <c r="S32" s="97">
        <v>2</v>
      </c>
      <c r="T32" s="4">
        <f t="shared" si="28"/>
        <v>393.32567378088845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175.00892834367045</v>
      </c>
      <c r="Z32" s="47">
        <f t="shared" ref="Z32" si="63">VLOOKUP(X32,Master_Frequencies,2,FALSE)*POWER(2,$Z$25)</f>
        <v>700.03571337468179</v>
      </c>
    </row>
    <row r="33" spans="2:26" x14ac:dyDescent="0.2">
      <c r="B33" s="123" t="s">
        <v>70</v>
      </c>
      <c r="C33" s="145" t="s">
        <v>73</v>
      </c>
      <c r="D33" s="97">
        <v>1</v>
      </c>
      <c r="E33" s="4">
        <f t="shared" ref="E33" si="64">LOG(D33*VLOOKUP(C33,Master_Frequencies,2,FALSE)/VLOOKUP(B33,Master_Frequencies,2,FALSE),2)*1200</f>
        <v>409.77500432693614</v>
      </c>
      <c r="F33" s="4">
        <f t="shared" ref="F33" si="65">VLOOKUP(B33,Master_Frequencies,2,FALSE)*5/4</f>
        <v>460.92886477345331</v>
      </c>
      <c r="G33" s="47">
        <f t="shared" ref="G33" si="66">IF($D$2="Cents",LOG(VLOOKUP(C33,Master_Frequencies,2,FALSE)/F33,2)*1200*$F$3,LOG(D33*VLOOKUP(C33,Master_Frequencies,2,FALSE)/F33,$F$3))</f>
        <v>-12.000654770785694</v>
      </c>
      <c r="I33" s="123" t="s">
        <v>70</v>
      </c>
      <c r="J33" s="145" t="s">
        <v>74</v>
      </c>
      <c r="K33" s="97">
        <v>2</v>
      </c>
      <c r="L33" s="191">
        <f t="shared" ref="L33" si="67">K33*VLOOKUP(J33,Master_Frequencies,2,FALSE)/VLOOKUP(I33,Master_Frequencies,2,FALSE)</f>
        <v>1.4983070768766815</v>
      </c>
      <c r="M33" s="145" t="s">
        <v>70</v>
      </c>
      <c r="N33" s="145" t="s">
        <v>73</v>
      </c>
      <c r="O33" s="191">
        <f t="shared" ref="O33" si="68">D33*VLOOKUP(N33,Master_Frequencies,2,FALSE)/VLOOKUP(M33,Master_Frequencies,2,FALSE)</f>
        <v>1.2670550178254616</v>
      </c>
      <c r="Q33" s="99">
        <v>7</v>
      </c>
      <c r="R33" s="18">
        <f t="shared" si="27"/>
        <v>1835.5198109774794</v>
      </c>
      <c r="S33" s="97">
        <v>2</v>
      </c>
      <c r="T33" s="4">
        <f t="shared" si="28"/>
        <v>458.87995274436986</v>
      </c>
      <c r="U33" s="18" t="str" cm="1">
        <f t="array" ref="U33">_xlfn.XLOOKUP(0,ABS($C$44:$C$56-T33),$B$44:$B$56,,1)</f>
        <v>A#</v>
      </c>
      <c r="V33" s="47">
        <f t="shared" ref="V33" si="69">LOG(T33/VLOOKUP(U33,Master_Frequencies,2,FALSE),2)*1200</f>
        <v>-31.174093530874238</v>
      </c>
      <c r="X33" s="85" t="s">
        <v>70</v>
      </c>
      <c r="Y33" s="4">
        <f t="shared" ref="Y33" si="70">VLOOKUP(X33,Master_Frequencies,2,FALSE)/POWER(2,$Z$25)</f>
        <v>184.37154590938133</v>
      </c>
      <c r="Z33" s="47">
        <f t="shared" ref="Z33" si="71">VLOOKUP(X33,Master_Frequencies,2,FALSE)*POWER(2,$Z$25)</f>
        <v>737.4861836375253</v>
      </c>
    </row>
    <row r="34" spans="2:26" x14ac:dyDescent="0.2">
      <c r="B34" s="123" t="s">
        <v>6</v>
      </c>
      <c r="C34" s="145" t="s">
        <v>8</v>
      </c>
      <c r="D34" s="97">
        <v>1</v>
      </c>
      <c r="E34" s="4">
        <f t="shared" ref="E34" si="72">LOG(D34*VLOOKUP(C34,Master_Frequencies,2,FALSE)/VLOOKUP(B34,Master_Frequencies,2,FALSE),2)*1200</f>
        <v>394.13499740383776</v>
      </c>
      <c r="F34" s="4">
        <f t="shared" ref="F34" si="73">VLOOKUP(B34,Master_Frequencies,2,FALSE)*5/4</f>
        <v>490.54793493862257</v>
      </c>
      <c r="G34" s="47">
        <f t="shared" ref="G34" si="74">IF($D$2="Cents",LOG(VLOOKUP(C34,Master_Frequencies,2,FALSE)/F34,2)*1200*$F$3,LOG(D34*VLOOKUP(C34,Master_Frequencies,2,FALSE)/F34,$F$3))</f>
        <v>-4.0006547707860589</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1.2556599636850907</v>
      </c>
      <c r="Q34" s="99">
        <v>8</v>
      </c>
      <c r="R34" s="18">
        <f t="shared" si="27"/>
        <v>2097.7369268314051</v>
      </c>
      <c r="S34" s="97">
        <v>3</v>
      </c>
      <c r="T34" s="4">
        <f t="shared" si="28"/>
        <v>262.21711585392563</v>
      </c>
      <c r="U34" s="18" t="str" cm="1">
        <f t="array" ref="U34">_xlfn.XLOOKUP(0,ABS($C$44:$C$56-T34),$B$44:$B$56,,1)</f>
        <v>C</v>
      </c>
      <c r="V34" s="47">
        <f t="shared" ref="V34" si="77">LOG(T34/VLOOKUP(U34,Master_Frequencies,2,FALSE),2)*1200</f>
        <v>0</v>
      </c>
      <c r="X34" s="85" t="s">
        <v>6</v>
      </c>
      <c r="Y34" s="4">
        <f t="shared" ref="Y34" si="78">VLOOKUP(X34,Master_Frequencies,2,FALSE)/POWER(2,$Z$25)</f>
        <v>196.21917397544902</v>
      </c>
      <c r="Z34" s="47">
        <f t="shared" ref="Z34" si="79">VLOOKUP(X34,Master_Frequencies,2,FALSE)*POWER(2,$Z$25)</f>
        <v>784.8766959017961</v>
      </c>
    </row>
    <row r="35" spans="2:26" x14ac:dyDescent="0.2">
      <c r="B35" s="123" t="s">
        <v>72</v>
      </c>
      <c r="C35" s="145" t="s">
        <v>78</v>
      </c>
      <c r="D35" s="97">
        <v>1</v>
      </c>
      <c r="E35" s="4">
        <f t="shared" ref="E35" si="80">LOG(D35*VLOOKUP(C35,Master_Frequencies,2,FALSE)/VLOOKUP(B35,Master_Frequencies,2,FALSE),2)*1200</f>
        <v>409.77500432693614</v>
      </c>
      <c r="F35" s="4">
        <f t="shared" ref="F35" si="81">VLOOKUP(B35,Master_Frequencies,2,FALSE)*5/4</f>
        <v>517.37515767852437</v>
      </c>
      <c r="G35" s="47">
        <f t="shared" ref="G35" si="82">IF($D$2="Cents",LOG(VLOOKUP(C35,Master_Frequencies,2,FALSE)/F35,2)*1200*$F$3,LOG(D35*VLOOKUP(C35,Master_Frequencies,2,FALSE)/F35,$F$3))</f>
        <v>-12.000654770785498</v>
      </c>
      <c r="I35" s="123" t="s">
        <v>72</v>
      </c>
      <c r="J35" s="145" t="s">
        <v>76</v>
      </c>
      <c r="K35" s="97">
        <v>2</v>
      </c>
      <c r="L35" s="191">
        <f t="shared" ref="L35" si="83">K35*VLOOKUP(J35,Master_Frequencies,2,FALSE)/VLOOKUP(I35,Master_Frequencies,2,FALSE)</f>
        <v>1.5050902549253182</v>
      </c>
      <c r="M35" s="145" t="s">
        <v>72</v>
      </c>
      <c r="N35" s="145" t="s">
        <v>78</v>
      </c>
      <c r="O35" s="191">
        <f t="shared" ref="O35" si="84">D35*VLOOKUP(N35,Master_Frequencies,2,FALSE)/VLOOKUP(M35,Master_Frequencies,2,FALSE)</f>
        <v>1.2670550178254616</v>
      </c>
      <c r="Q35" s="99">
        <v>9</v>
      </c>
      <c r="R35" s="18">
        <f t="shared" si="27"/>
        <v>2359.9540426853309</v>
      </c>
      <c r="S35" s="97">
        <v>3</v>
      </c>
      <c r="T35" s="4">
        <f t="shared" si="28"/>
        <v>294.99425533566637</v>
      </c>
      <c r="U35" s="18" t="str" cm="1">
        <f t="array" ref="U35">_xlfn.XLOOKUP(0,ABS($C$44:$C$56-T35),$B$44:$B$56,,1)</f>
        <v>D</v>
      </c>
      <c r="V35" s="47">
        <f t="shared" ref="V35" si="85">LOG(T35/VLOOKUP(U35,Master_Frequencies,2,FALSE),2)*1200</f>
        <v>7.8200034615499421</v>
      </c>
      <c r="X35" s="85" t="s">
        <v>72</v>
      </c>
      <c r="Y35" s="4">
        <f t="shared" ref="Y35" si="86">VLOOKUP(X35,Master_Frequencies,2,FALSE)/POWER(2,$Z$25)</f>
        <v>206.95006307140974</v>
      </c>
      <c r="Z35" s="47">
        <f t="shared" ref="Z35" si="87">VLOOKUP(X35,Master_Frequencies,2,FALSE)*POWER(2,$Z$25)</f>
        <v>827.80025228563898</v>
      </c>
    </row>
    <row r="36" spans="2:26" x14ac:dyDescent="0.2">
      <c r="B36" s="123" t="s">
        <v>7</v>
      </c>
      <c r="C36" s="145" t="s">
        <v>74</v>
      </c>
      <c r="D36" s="97">
        <v>2</v>
      </c>
      <c r="E36" s="4">
        <f t="shared" ref="E36" si="88">LOG(D36*VLOOKUP(C36,Master_Frequencies,2,FALSE)/VLOOKUP(B36,Master_Frequencies,2,FALSE),2)*1200</f>
        <v>394.13499740383776</v>
      </c>
      <c r="F36" s="4">
        <f t="shared" ref="F36" si="89">VLOOKUP(B36,Master_Frequencies,2,FALSE)*5/4</f>
        <v>550.00000000000011</v>
      </c>
      <c r="G36" s="47">
        <f t="shared" ref="G36" si="90">IF($D$2="Cents",LOG(VLOOKUP(C36,Master_Frequencies,2,FALSE)/F36,2)*1200*$F$3,LOG(D36*VLOOKUP(C36,Master_Frequencies,2,FALSE)/F36,$F$3))</f>
        <v>-4.0006547707860589</v>
      </c>
      <c r="I36" s="123" t="s">
        <v>7</v>
      </c>
      <c r="J36" s="145" t="s">
        <v>4</v>
      </c>
      <c r="K36" s="97">
        <v>2</v>
      </c>
      <c r="L36" s="191">
        <f t="shared" ref="L36" si="91">K36*VLOOKUP(J36,Master_Frequencies,2,FALSE)/VLOOKUP(I36,Master_Frequencies,2,FALSE)</f>
        <v>1.4966160644124975</v>
      </c>
      <c r="M36" s="145" t="s">
        <v>7</v>
      </c>
      <c r="N36" s="145" t="s">
        <v>74</v>
      </c>
      <c r="O36" s="191">
        <f t="shared" ref="O36" si="92">D36*VLOOKUP(N36,Master_Frequencies,2,FALSE)/VLOOKUP(M36,Master_Frequencies,2,FALSE)</f>
        <v>1.2556599636850907</v>
      </c>
      <c r="Q36" s="99">
        <v>10</v>
      </c>
      <c r="R36" s="18">
        <f t="shared" si="27"/>
        <v>2622.1711585392563</v>
      </c>
      <c r="S36" s="97">
        <v>3</v>
      </c>
      <c r="T36" s="4">
        <f t="shared" si="28"/>
        <v>327.77139481740704</v>
      </c>
      <c r="U36" s="18" t="str" cm="1">
        <f t="array" ref="U36">_xlfn.XLOOKUP(0,ABS($C$44:$C$56-T36),$B$44:$B$56,,1)</f>
        <v>E</v>
      </c>
      <c r="V36" s="47">
        <f t="shared" ref="V36" si="93">LOG(T36/VLOOKUP(U36,Master_Frequencies,2,FALSE),2)*1200</f>
        <v>-7.8212835390032032</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396.08999826922593</v>
      </c>
      <c r="F37" s="4">
        <f t="shared" ref="F37" si="97">VLOOKUP(B37,Master_Frequencies,2,FALSE)*5/4</f>
        <v>584.02223097179774</v>
      </c>
      <c r="G37" s="47">
        <f t="shared" ref="G37" si="98">IF($D$2="Cents",LOG(VLOOKUP(C37,Master_Frequencies,2,FALSE)/F37,2)*1200*$F$3,LOG(D37*VLOOKUP(C37,Master_Frequencies,2,FALSE)/F37,$F$3))</f>
        <v>-5.000654770786511</v>
      </c>
      <c r="I37" s="123" t="s">
        <v>73</v>
      </c>
      <c r="J37" s="145" t="s">
        <v>5</v>
      </c>
      <c r="K37" s="97">
        <v>2</v>
      </c>
      <c r="L37" s="191">
        <f t="shared" ref="L37" si="99">K37*VLOOKUP(J37,Master_Frequencies,2,FALSE)/VLOOKUP(I37,Master_Frequencies,2,FALSE)</f>
        <v>1.4983070768766813</v>
      </c>
      <c r="M37" s="145" t="s">
        <v>73</v>
      </c>
      <c r="N37" s="145" t="s">
        <v>3</v>
      </c>
      <c r="O37" s="191">
        <f t="shared" ref="O37" si="100">D37*VLOOKUP(N37,Master_Frequencies,2,FALSE)/VLOOKUP(M37,Master_Frequencies,2,FALSE)</f>
        <v>1.2570787221094184</v>
      </c>
      <c r="Q37" s="99">
        <v>11</v>
      </c>
      <c r="R37" s="18">
        <f t="shared" si="27"/>
        <v>2884.3882743931817</v>
      </c>
      <c r="S37" s="97">
        <v>3</v>
      </c>
      <c r="T37" s="4">
        <f t="shared" si="28"/>
        <v>360.54853429914772</v>
      </c>
      <c r="U37" s="18" t="str" cm="1">
        <f t="array" ref="U37">_xlfn.XLOOKUP(0,ABS($C$44:$C$56-T37),$B$44:$B$56,,1)</f>
        <v>F#</v>
      </c>
      <c r="V37" s="47">
        <f t="shared" ref="V37" si="101">LOG(T37/VLOOKUP(U37,Master_Frequencies,2,FALSE),2)*1200</f>
        <v>-38.907053308306295</v>
      </c>
      <c r="X37" s="85" t="s">
        <v>73</v>
      </c>
      <c r="Y37" s="4">
        <f t="shared" ref="Y37" si="102">VLOOKUP(X37,Master_Frequencies,2,FALSE)/POWER(2,$Z$25)</f>
        <v>233.60889238871908</v>
      </c>
      <c r="Z37" s="47">
        <f t="shared" ref="Z37" si="103">VLOOKUP(X37,Master_Frequencies,2,FALSE)*POWER(2,$Z$25)</f>
        <v>934.43556955487634</v>
      </c>
    </row>
    <row r="38" spans="2:26" x14ac:dyDescent="0.2">
      <c r="B38" s="124" t="s">
        <v>8</v>
      </c>
      <c r="C38" s="153" t="s">
        <v>76</v>
      </c>
      <c r="D38" s="98">
        <v>2</v>
      </c>
      <c r="E38" s="53">
        <f t="shared" ref="E38" si="104">LOG(D38*VLOOKUP(C38,Master_Frequencies,2,FALSE)/VLOOKUP(B38,Master_Frequencies,2,FALSE),2)*1200</f>
        <v>405.86500259616128</v>
      </c>
      <c r="F38" s="53">
        <f t="shared" ref="F38" si="105">VLOOKUP(B38,Master_Frequencies,2,FALSE)*5/4</f>
        <v>615.96140217082711</v>
      </c>
      <c r="G38" s="48">
        <f t="shared" ref="G38" si="106">IF($D$2="Cents",LOG(VLOOKUP(C38,Master_Frequencies,2,FALSE)/F38,2)*1200*$F$3,LOG(D38*VLOOKUP(C38,Master_Frequencies,2,FALSE)/F38,$F$3))</f>
        <v>-10.000654770785555</v>
      </c>
      <c r="I38" s="124" t="s">
        <v>8</v>
      </c>
      <c r="J38" s="153" t="s">
        <v>70</v>
      </c>
      <c r="K38" s="98">
        <v>2</v>
      </c>
      <c r="L38" s="192">
        <f t="shared" ref="L38" si="107">K38*VLOOKUP(J38,Master_Frequencies,2,FALSE)/VLOOKUP(I38,Master_Frequencies,2,FALSE)</f>
        <v>1.4966160644124973</v>
      </c>
      <c r="M38" s="153" t="s">
        <v>8</v>
      </c>
      <c r="N38" s="153" t="s">
        <v>76</v>
      </c>
      <c r="O38" s="192">
        <f t="shared" ref="O38" si="108">D38*VLOOKUP(N38,Master_Frequencies,2,FALSE)/VLOOKUP(M38,Master_Frequencies,2,FALSE)</f>
        <v>1.2641965961146993</v>
      </c>
      <c r="Q38" s="99">
        <v>12</v>
      </c>
      <c r="R38" s="18">
        <f t="shared" si="27"/>
        <v>3146.6053902471076</v>
      </c>
      <c r="S38" s="97">
        <v>3</v>
      </c>
      <c r="T38" s="4">
        <f t="shared" si="28"/>
        <v>393.32567378088845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246.38456086833082</v>
      </c>
      <c r="Z38" s="47">
        <f t="shared" ref="Z38" si="111">VLOOKUP(X38,Master_Frequencies,2,FALSE)*POWER(2,$Z$25)</f>
        <v>985.53824347332329</v>
      </c>
    </row>
    <row r="39" spans="2:26" x14ac:dyDescent="0.2">
      <c r="Q39" s="100">
        <v>13</v>
      </c>
      <c r="R39" s="50">
        <f t="shared" si="27"/>
        <v>3408.8225061010335</v>
      </c>
      <c r="S39" s="98">
        <v>3</v>
      </c>
      <c r="T39" s="53">
        <f t="shared" si="28"/>
        <v>426.10281326262918</v>
      </c>
      <c r="U39" s="50" t="str" cm="1">
        <f t="array" ref="U39">_xlfn.XLOOKUP(0,ABS($C$44:$C$56-T39),$B$44:$B$56,,1)</f>
        <v>G#</v>
      </c>
      <c r="V39" s="48">
        <f t="shared" ref="V39" si="112">LOG(T39/VLOOKUP(U39,Master_Frequencies,2,FALSE),2)*1200</f>
        <v>50.302666096247783</v>
      </c>
      <c r="X39" s="87" t="s">
        <v>78</v>
      </c>
      <c r="Y39" s="53">
        <f t="shared" ref="Y39" si="113">VLOOKUP(X39,Master_Frequencies,2,FALSE)/POWER(2,$Z$25)</f>
        <v>262.21711585392546</v>
      </c>
      <c r="Z39" s="48">
        <f t="shared" ref="Z39" si="114">VLOOKUP(X39,Master_Frequencies,2,FALSE)*POWER(2,$Z$25)</f>
        <v>1048.8684634157019</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262.21711585392563</v>
      </c>
    </row>
    <row r="45" spans="2:26" x14ac:dyDescent="0.2">
      <c r="B45" s="92" t="s">
        <v>74</v>
      </c>
      <c r="C45" s="93">
        <f t="shared" ref="C45:C56" si="115">VLOOKUP(B45,$B$9:$H$21,7,FALSE)</f>
        <v>276.24519201072002</v>
      </c>
    </row>
    <row r="46" spans="2:26" x14ac:dyDescent="0.2">
      <c r="B46" s="92" t="s">
        <v>3</v>
      </c>
      <c r="C46" s="93">
        <f t="shared" si="115"/>
        <v>293.66476791740763</v>
      </c>
    </row>
    <row r="47" spans="2:26" x14ac:dyDescent="0.2">
      <c r="B47" s="92" t="s">
        <v>76</v>
      </c>
      <c r="C47" s="93">
        <f t="shared" si="115"/>
        <v>311.47852318495876</v>
      </c>
    </row>
    <row r="48" spans="2:26" x14ac:dyDescent="0.2">
      <c r="B48" s="92" t="s">
        <v>4</v>
      </c>
      <c r="C48" s="93">
        <f t="shared" si="115"/>
        <v>329.25553417074951</v>
      </c>
    </row>
    <row r="49" spans="2:3" x14ac:dyDescent="0.2">
      <c r="B49" s="92" t="s">
        <v>5</v>
      </c>
      <c r="C49" s="93">
        <f t="shared" si="115"/>
        <v>350.0178566873409</v>
      </c>
    </row>
    <row r="50" spans="2:3" x14ac:dyDescent="0.2">
      <c r="B50" s="92" t="s">
        <v>70</v>
      </c>
      <c r="C50" s="93">
        <f t="shared" si="115"/>
        <v>368.74309181876265</v>
      </c>
    </row>
    <row r="51" spans="2:3" x14ac:dyDescent="0.2">
      <c r="B51" s="92" t="s">
        <v>6</v>
      </c>
      <c r="C51" s="93">
        <f t="shared" si="115"/>
        <v>392.43834795089805</v>
      </c>
    </row>
    <row r="52" spans="2:3" x14ac:dyDescent="0.2">
      <c r="B52" s="92" t="s">
        <v>72</v>
      </c>
      <c r="C52" s="93">
        <f t="shared" si="115"/>
        <v>413.90012614281949</v>
      </c>
    </row>
    <row r="53" spans="2:3" x14ac:dyDescent="0.2">
      <c r="B53" s="92" t="s">
        <v>7</v>
      </c>
      <c r="C53" s="93">
        <f t="shared" si="115"/>
        <v>440.00000000000011</v>
      </c>
    </row>
    <row r="54" spans="2:3" x14ac:dyDescent="0.2">
      <c r="B54" s="92" t="s">
        <v>73</v>
      </c>
      <c r="C54" s="93">
        <f t="shared" si="115"/>
        <v>467.21778477743817</v>
      </c>
    </row>
    <row r="55" spans="2:3" x14ac:dyDescent="0.2">
      <c r="B55" s="92" t="s">
        <v>8</v>
      </c>
      <c r="C55" s="93">
        <f t="shared" si="115"/>
        <v>492.76912173666165</v>
      </c>
    </row>
    <row r="56" spans="2:3" ht="16" thickBot="1" x14ac:dyDescent="0.25">
      <c r="B56" s="94" t="s">
        <v>78</v>
      </c>
      <c r="C56" s="95">
        <f t="shared" si="115"/>
        <v>524.43423170785093</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23" priority="3">
      <formula>_xlfn.ISFORMULA(A1)</formula>
    </cfRule>
  </conditionalFormatting>
  <conditionalFormatting sqref="A1:XFD1048576">
    <cfRule type="expression" dxfId="22"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0B991BA4-239E-6141-B80C-A7DC09598205}">
      <formula1>Units</formula1>
    </dataValidation>
  </dataValidations>
  <hyperlinks>
    <hyperlink ref="B40" location="Overview!A1" display="Back to Overview" xr:uid="{494DC426-F819-3541-8403-A2C2DE89CF91}"/>
    <hyperlink ref="B4" location="Overview!A1" display="Back to Overview" xr:uid="{EFFFEC96-91DC-CF43-9FC0-17894B4A43C7}"/>
  </hyperlinks>
  <pageMargins left="0.7" right="0.7" top="0.75" bottom="0.75" header="0.3" footer="0.3"/>
  <drawing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27028-B716-C745-9A15-E21272CA6FF4}">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126</v>
      </c>
      <c r="C1" s="289"/>
      <c r="D1" s="289"/>
      <c r="E1" s="289"/>
      <c r="F1" s="289"/>
      <c r="G1" s="289"/>
      <c r="P1" s="4" t="s">
        <v>478</v>
      </c>
    </row>
    <row r="2" spans="2:23" s="70" customFormat="1" ht="48" x14ac:dyDescent="0.2">
      <c r="D2" s="154" t="s">
        <v>84</v>
      </c>
      <c r="E2" s="72" t="str">
        <f>D2</f>
        <v>Pythagorean Comma</v>
      </c>
      <c r="F2" s="72" t="str">
        <f>_xlfn.CONCAT("1/",D3," ",D2)</f>
        <v>1/6 Pythagorean Comma</v>
      </c>
      <c r="G2" s="102"/>
      <c r="H2" s="103" t="s">
        <v>143</v>
      </c>
      <c r="I2" s="161">
        <v>440</v>
      </c>
      <c r="J2" s="103" t="str">
        <f>_xlfn.CONCAT("C for A=", I2,":")</f>
        <v>C for A=440:</v>
      </c>
      <c r="K2" s="70">
        <f>I2*2*8/27*POWER($F$3,$D$12-$D$9)</f>
        <v>262.51339251550581</v>
      </c>
      <c r="L2" s="103"/>
      <c r="U2" s="103"/>
      <c r="V2" s="103"/>
      <c r="W2" s="103"/>
    </row>
    <row r="3" spans="2:23" ht="16" x14ac:dyDescent="0.2">
      <c r="B3" s="105"/>
      <c r="C3" s="74" t="s">
        <v>125</v>
      </c>
      <c r="D3" s="155">
        <v>6</v>
      </c>
      <c r="E3" s="1">
        <f>IF(D2="Pythagorean Comma",524288/531441,IF(D2="Syntonic Comma",80/81,IF(D2="Cents",1/POWER(2,1/1200),"Not in List")))</f>
        <v>0.98654036854514426</v>
      </c>
      <c r="F3" s="132">
        <f>POWER(E3,1/D3)</f>
        <v>0.99774404294166485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262.51339251550581</v>
      </c>
      <c r="G9" s="97">
        <v>0</v>
      </c>
      <c r="H9" s="188">
        <f t="shared" ref="H9:H21" si="0">E9/POWER(2,G9)</f>
        <v>262.51339251550581</v>
      </c>
      <c r="J9" s="85" t="s">
        <v>2</v>
      </c>
      <c r="K9" s="4">
        <f t="shared" ref="K9:K21" si="1">VLOOKUP(J9,Master_Frequencies,2,FALSE)</f>
        <v>262.51339251550581</v>
      </c>
      <c r="L9" s="4">
        <f t="shared" ref="L9:L21" si="2">LOG(K9/K$9,2)*1200</f>
        <v>0</v>
      </c>
      <c r="N9" s="158">
        <v>3600</v>
      </c>
      <c r="P9" s="123" t="str">
        <f>J9</f>
        <v>C</v>
      </c>
      <c r="Q9" s="4">
        <f>E9</f>
        <v>262.51339251550581</v>
      </c>
      <c r="R9" s="4">
        <f>LOG(K9/Q9,2)*1200</f>
        <v>0</v>
      </c>
      <c r="S9" s="145" t="str">
        <f t="shared" ref="S9:S21" si="3">B9</f>
        <v>C</v>
      </c>
      <c r="T9" s="4">
        <f t="shared" ref="T9:T21" si="4">VLOOKUP(S9,Master_Frequencies,2,FALSE)</f>
        <v>262.51339251550581</v>
      </c>
      <c r="U9" s="47">
        <f t="shared" ref="U9:U21" si="5">VLOOKUP(S9,$P$9:$R$21,3,FALSE)</f>
        <v>0</v>
      </c>
    </row>
    <row r="10" spans="2:23" x14ac:dyDescent="0.2">
      <c r="B10" s="107" t="s">
        <v>6</v>
      </c>
      <c r="C10" s="185">
        <v>-1</v>
      </c>
      <c r="D10" s="4">
        <f>D9+C10</f>
        <v>-1</v>
      </c>
      <c r="E10" s="4">
        <f t="shared" ref="E10:E21" si="6">IF(C10&lt;0,(E9*3/2)*POWER($F$3,ABS(C10)),(E9*3/2)*POWER(1/$F$3,ABS(C10)))</f>
        <v>392.88176036212946</v>
      </c>
      <c r="F10" s="4">
        <f t="shared" ref="F10:F21" si="7">LOG(E10/E9,2)*1200</f>
        <v>698.04499913461268</v>
      </c>
      <c r="G10" s="97">
        <v>0</v>
      </c>
      <c r="H10" s="188">
        <f t="shared" si="0"/>
        <v>392.88176036212946</v>
      </c>
      <c r="J10" s="85" t="s">
        <v>74</v>
      </c>
      <c r="K10" s="4">
        <f t="shared" si="1"/>
        <v>275.93341742854636</v>
      </c>
      <c r="L10" s="4">
        <f t="shared" si="2"/>
        <v>86.314993942288282</v>
      </c>
      <c r="M10" s="4">
        <f t="shared" ref="M10:M21" si="8">LOG(K10/K9,2)*1200</f>
        <v>86.314993942288282</v>
      </c>
      <c r="N10" s="47">
        <f t="shared" ref="N10:N21" si="9">N$9*K$9/K10</f>
        <v>3424.913958819589</v>
      </c>
      <c r="P10" s="123" t="str">
        <f t="shared" ref="P10:P21" si="10">J10</f>
        <v>C#</v>
      </c>
      <c r="Q10" s="4">
        <f t="shared" ref="Q10:Q21" si="11">Q9*POWER($Q$9*2/$Q$9,1/12)</f>
        <v>278.12325114523406</v>
      </c>
      <c r="R10" s="4">
        <f t="shared" ref="R10:R21" si="12">LOG(K10/Q10,2)*1200</f>
        <v>-13.685006057711803</v>
      </c>
      <c r="S10" s="145" t="str">
        <f t="shared" si="3"/>
        <v>G</v>
      </c>
      <c r="T10" s="4">
        <f t="shared" si="4"/>
        <v>392.88176036212946</v>
      </c>
      <c r="U10" s="47">
        <f t="shared" si="5"/>
        <v>-1.955000865387585</v>
      </c>
    </row>
    <row r="11" spans="2:23" x14ac:dyDescent="0.2">
      <c r="B11" s="107" t="s">
        <v>3</v>
      </c>
      <c r="C11" s="185">
        <v>-1</v>
      </c>
      <c r="D11" s="4">
        <f t="shared" ref="D11:D21" si="13">D10+C11</f>
        <v>-2</v>
      </c>
      <c r="E11" s="4">
        <f t="shared" si="6"/>
        <v>587.9931539726241</v>
      </c>
      <c r="F11" s="4">
        <f t="shared" si="7"/>
        <v>698.04499913461268</v>
      </c>
      <c r="G11" s="97">
        <v>1</v>
      </c>
      <c r="H11" s="188">
        <f t="shared" si="0"/>
        <v>293.99657698631205</v>
      </c>
      <c r="J11" s="85" t="s">
        <v>3</v>
      </c>
      <c r="K11" s="4">
        <f t="shared" si="1"/>
        <v>293.99657698631205</v>
      </c>
      <c r="L11" s="4">
        <f t="shared" si="2"/>
        <v>196.08999826922548</v>
      </c>
      <c r="M11" s="4">
        <f t="shared" si="8"/>
        <v>109.77500432693707</v>
      </c>
      <c r="N11" s="47">
        <f t="shared" si="9"/>
        <v>3214.4871302356037</v>
      </c>
      <c r="P11" s="123" t="str">
        <f t="shared" si="10"/>
        <v>D</v>
      </c>
      <c r="Q11" s="4">
        <f t="shared" si="11"/>
        <v>294.66132027159711</v>
      </c>
      <c r="R11" s="4">
        <f t="shared" si="12"/>
        <v>-3.9100017307748658</v>
      </c>
      <c r="S11" s="145" t="str">
        <f t="shared" si="3"/>
        <v>D</v>
      </c>
      <c r="T11" s="4">
        <f t="shared" si="4"/>
        <v>293.99657698631205</v>
      </c>
      <c r="U11" s="47">
        <f t="shared" si="5"/>
        <v>-3.9100017307748658</v>
      </c>
    </row>
    <row r="12" spans="2:23" x14ac:dyDescent="0.2">
      <c r="B12" s="107" t="s">
        <v>7</v>
      </c>
      <c r="C12" s="185">
        <v>-1</v>
      </c>
      <c r="D12" s="4">
        <f t="shared" si="13"/>
        <v>-3</v>
      </c>
      <c r="E12" s="4">
        <f t="shared" si="6"/>
        <v>880.00000000000023</v>
      </c>
      <c r="F12" s="4">
        <f t="shared" si="7"/>
        <v>698.04499913461268</v>
      </c>
      <c r="G12" s="97">
        <v>1</v>
      </c>
      <c r="H12" s="188">
        <f t="shared" si="0"/>
        <v>440.00000000000011</v>
      </c>
      <c r="J12" s="85" t="s">
        <v>76</v>
      </c>
      <c r="K12" s="4">
        <f t="shared" si="1"/>
        <v>313.24218750000006</v>
      </c>
      <c r="L12" s="4">
        <f t="shared" si="2"/>
        <v>305.86500259616241</v>
      </c>
      <c r="M12" s="4">
        <f t="shared" si="8"/>
        <v>109.77500432693707</v>
      </c>
      <c r="N12" s="47">
        <f t="shared" si="9"/>
        <v>3016.9889330626029</v>
      </c>
      <c r="P12" s="123" t="str">
        <f t="shared" si="10"/>
        <v>D#</v>
      </c>
      <c r="Q12" s="4">
        <f t="shared" si="11"/>
        <v>312.1827941629416</v>
      </c>
      <c r="R12" s="4">
        <f t="shared" si="12"/>
        <v>5.8650025961623031</v>
      </c>
      <c r="S12" s="145" t="str">
        <f t="shared" si="3"/>
        <v>A</v>
      </c>
      <c r="T12" s="4">
        <f t="shared" si="4"/>
        <v>440.00000000000011</v>
      </c>
      <c r="U12" s="47">
        <f t="shared" si="5"/>
        <v>-5.8650025961626593</v>
      </c>
    </row>
    <row r="13" spans="2:23" x14ac:dyDescent="0.2">
      <c r="B13" s="107" t="s">
        <v>4</v>
      </c>
      <c r="C13" s="185">
        <v>-1</v>
      </c>
      <c r="D13" s="4">
        <f t="shared" si="13"/>
        <v>-4</v>
      </c>
      <c r="E13" s="4">
        <f t="shared" si="6"/>
        <v>1317.0221366829981</v>
      </c>
      <c r="F13" s="4">
        <f t="shared" si="7"/>
        <v>698.04499913461279</v>
      </c>
      <c r="G13" s="97">
        <v>2</v>
      </c>
      <c r="H13" s="188">
        <f t="shared" si="0"/>
        <v>329.25553417074951</v>
      </c>
      <c r="J13" s="85" t="s">
        <v>4</v>
      </c>
      <c r="K13" s="4">
        <f t="shared" si="1"/>
        <v>329.25553417074951</v>
      </c>
      <c r="L13" s="4">
        <f t="shared" si="2"/>
        <v>392.17999653845061</v>
      </c>
      <c r="M13" s="4">
        <f t="shared" si="8"/>
        <v>86.314993942288282</v>
      </c>
      <c r="N13" s="47">
        <f t="shared" si="9"/>
        <v>2870.2576417917576</v>
      </c>
      <c r="P13" s="123" t="str">
        <f t="shared" si="10"/>
        <v>E</v>
      </c>
      <c r="Q13" s="4">
        <f t="shared" si="11"/>
        <v>330.74614910960105</v>
      </c>
      <c r="R13" s="4">
        <f t="shared" si="12"/>
        <v>-7.820003461549498</v>
      </c>
      <c r="S13" s="145" t="str">
        <f t="shared" si="3"/>
        <v>E</v>
      </c>
      <c r="T13" s="4">
        <f t="shared" si="4"/>
        <v>329.25553417074951</v>
      </c>
      <c r="U13" s="47">
        <f t="shared" si="5"/>
        <v>-7.820003461549498</v>
      </c>
    </row>
    <row r="14" spans="2:23" x14ac:dyDescent="0.2">
      <c r="B14" s="107" t="s">
        <v>8</v>
      </c>
      <c r="C14" s="185">
        <v>-1</v>
      </c>
      <c r="D14" s="4">
        <f t="shared" si="13"/>
        <v>-5</v>
      </c>
      <c r="E14" s="4">
        <f t="shared" si="6"/>
        <v>1971.0764869466466</v>
      </c>
      <c r="F14" s="4">
        <f t="shared" si="7"/>
        <v>698.04499913461268</v>
      </c>
      <c r="G14" s="97">
        <v>2</v>
      </c>
      <c r="H14" s="188">
        <f t="shared" si="0"/>
        <v>492.76912173666165</v>
      </c>
      <c r="J14" s="85" t="s">
        <v>5</v>
      </c>
      <c r="K14" s="4">
        <f t="shared" si="1"/>
        <v>350.80926733010381</v>
      </c>
      <c r="L14" s="4">
        <f t="shared" si="2"/>
        <v>501.95500086538749</v>
      </c>
      <c r="M14" s="4">
        <f t="shared" si="8"/>
        <v>109.7750043269367</v>
      </c>
      <c r="N14" s="47">
        <f t="shared" si="9"/>
        <v>2693.9089159424952</v>
      </c>
      <c r="P14" s="123" t="str">
        <f t="shared" si="10"/>
        <v>F</v>
      </c>
      <c r="Q14" s="4">
        <f t="shared" si="11"/>
        <v>350.41333858307883</v>
      </c>
      <c r="R14" s="4">
        <f t="shared" si="12"/>
        <v>1.9550008653872295</v>
      </c>
      <c r="S14" s="145" t="str">
        <f t="shared" si="3"/>
        <v>B</v>
      </c>
      <c r="T14" s="4">
        <f t="shared" si="4"/>
        <v>492.76912173666165</v>
      </c>
      <c r="U14" s="47">
        <f t="shared" si="5"/>
        <v>-9.7750043269375144</v>
      </c>
    </row>
    <row r="15" spans="2:23" x14ac:dyDescent="0.2">
      <c r="B15" s="107" t="s">
        <v>70</v>
      </c>
      <c r="C15" s="185">
        <v>-1</v>
      </c>
      <c r="D15" s="4">
        <f t="shared" si="13"/>
        <v>-6</v>
      </c>
      <c r="E15" s="4">
        <f t="shared" si="6"/>
        <v>2949.9447345501012</v>
      </c>
      <c r="F15" s="4">
        <f t="shared" si="7"/>
        <v>698.04499913461268</v>
      </c>
      <c r="G15" s="97">
        <v>3</v>
      </c>
      <c r="H15" s="188">
        <f t="shared" si="0"/>
        <v>368.74309181876265</v>
      </c>
      <c r="J15" s="85" t="s">
        <v>70</v>
      </c>
      <c r="K15" s="4">
        <f t="shared" si="1"/>
        <v>368.74309181876265</v>
      </c>
      <c r="L15" s="4">
        <f t="shared" si="2"/>
        <v>588.26999480767574</v>
      </c>
      <c r="M15" s="4">
        <f t="shared" si="8"/>
        <v>86.314993942288282</v>
      </c>
      <c r="N15" s="47">
        <f t="shared" si="9"/>
        <v>2562.8906249999995</v>
      </c>
      <c r="P15" s="123" t="str">
        <f t="shared" si="10"/>
        <v>F#</v>
      </c>
      <c r="Q15" s="4">
        <f t="shared" si="11"/>
        <v>371.25000000000011</v>
      </c>
      <c r="R15" s="4">
        <f t="shared" si="12"/>
        <v>-11.730005192324629</v>
      </c>
      <c r="S15" s="145" t="str">
        <f t="shared" si="3"/>
        <v>F#</v>
      </c>
      <c r="T15" s="4">
        <f t="shared" si="4"/>
        <v>368.74309181876265</v>
      </c>
      <c r="U15" s="47">
        <f t="shared" si="5"/>
        <v>-11.730005192324629</v>
      </c>
    </row>
    <row r="16" spans="2:23" x14ac:dyDescent="0.2">
      <c r="B16" s="107" t="s">
        <v>74</v>
      </c>
      <c r="C16" s="185">
        <v>-1</v>
      </c>
      <c r="D16" s="4">
        <f t="shared" si="13"/>
        <v>-7</v>
      </c>
      <c r="E16" s="4">
        <f t="shared" si="6"/>
        <v>4414.9346788567418</v>
      </c>
      <c r="F16" s="4">
        <f t="shared" si="7"/>
        <v>698.04499913461279</v>
      </c>
      <c r="G16" s="97">
        <v>4</v>
      </c>
      <c r="H16" s="188">
        <f t="shared" si="0"/>
        <v>275.93341742854636</v>
      </c>
      <c r="J16" s="85" t="s">
        <v>6</v>
      </c>
      <c r="K16" s="4">
        <f t="shared" si="1"/>
        <v>392.88176036212946</v>
      </c>
      <c r="L16" s="4">
        <f t="shared" si="2"/>
        <v>698.04499913461268</v>
      </c>
      <c r="M16" s="4">
        <f t="shared" si="8"/>
        <v>109.77500432693707</v>
      </c>
      <c r="N16" s="47">
        <f t="shared" si="9"/>
        <v>2405.4265389789161</v>
      </c>
      <c r="P16" s="123" t="str">
        <f t="shared" si="10"/>
        <v>G</v>
      </c>
      <c r="Q16" s="4">
        <f t="shared" si="11"/>
        <v>393.32567378088851</v>
      </c>
      <c r="R16" s="4">
        <f t="shared" si="12"/>
        <v>-1.955000865387585</v>
      </c>
      <c r="S16" s="145" t="str">
        <f t="shared" si="3"/>
        <v>C#</v>
      </c>
      <c r="T16" s="4">
        <f t="shared" si="4"/>
        <v>275.93341742854636</v>
      </c>
      <c r="U16" s="47">
        <f t="shared" si="5"/>
        <v>-13.685006057711803</v>
      </c>
    </row>
    <row r="17" spans="2:26" x14ac:dyDescent="0.2">
      <c r="B17" s="107" t="s">
        <v>72</v>
      </c>
      <c r="C17" s="185">
        <v>-1</v>
      </c>
      <c r="D17" s="4">
        <f t="shared" si="13"/>
        <v>-8</v>
      </c>
      <c r="E17" s="4">
        <f t="shared" si="6"/>
        <v>6607.4621637088294</v>
      </c>
      <c r="F17" s="4">
        <f t="shared" si="7"/>
        <v>698.04499913461268</v>
      </c>
      <c r="G17" s="97">
        <v>4</v>
      </c>
      <c r="H17" s="188">
        <f t="shared" si="0"/>
        <v>412.96638523180184</v>
      </c>
      <c r="J17" s="85" t="s">
        <v>72</v>
      </c>
      <c r="K17" s="4">
        <f t="shared" si="1"/>
        <v>412.96638523180184</v>
      </c>
      <c r="L17" s="4">
        <f t="shared" si="2"/>
        <v>784.35999307690088</v>
      </c>
      <c r="M17" s="4">
        <f t="shared" si="8"/>
        <v>86.314993942288282</v>
      </c>
      <c r="N17" s="47">
        <f t="shared" si="9"/>
        <v>2288.438591739995</v>
      </c>
      <c r="P17" s="123" t="str">
        <f t="shared" si="10"/>
        <v>G#</v>
      </c>
      <c r="Q17" s="4">
        <f t="shared" si="11"/>
        <v>416.71403543485491</v>
      </c>
      <c r="R17" s="4">
        <f t="shared" si="12"/>
        <v>-15.640006923099666</v>
      </c>
      <c r="S17" s="145" t="str">
        <f t="shared" si="3"/>
        <v>G#</v>
      </c>
      <c r="T17" s="4">
        <f t="shared" si="4"/>
        <v>412.96638523180184</v>
      </c>
      <c r="U17" s="47">
        <f t="shared" si="5"/>
        <v>-15.640006923099666</v>
      </c>
    </row>
    <row r="18" spans="2:26" x14ac:dyDescent="0.2">
      <c r="B18" s="107" t="s">
        <v>76</v>
      </c>
      <c r="C18" s="185">
        <v>5</v>
      </c>
      <c r="D18" s="4">
        <f t="shared" si="13"/>
        <v>-3</v>
      </c>
      <c r="E18" s="4">
        <f t="shared" si="6"/>
        <v>10023.750000000002</v>
      </c>
      <c r="F18" s="4">
        <f t="shared" si="7"/>
        <v>721.50500951926153</v>
      </c>
      <c r="G18" s="97">
        <v>5</v>
      </c>
      <c r="H18" s="188">
        <f t="shared" si="0"/>
        <v>313.24218750000006</v>
      </c>
      <c r="J18" s="85" t="s">
        <v>7</v>
      </c>
      <c r="K18" s="4">
        <f t="shared" si="1"/>
        <v>440.00000000000011</v>
      </c>
      <c r="L18" s="4">
        <f t="shared" si="2"/>
        <v>894.13499740383804</v>
      </c>
      <c r="M18" s="4">
        <f t="shared" si="8"/>
        <v>109.77500432693707</v>
      </c>
      <c r="N18" s="47">
        <f t="shared" si="9"/>
        <v>2147.8368478541379</v>
      </c>
      <c r="P18" s="123" t="str">
        <f t="shared" si="10"/>
        <v>A</v>
      </c>
      <c r="Q18" s="4">
        <f t="shared" si="11"/>
        <v>441.4931414447604</v>
      </c>
      <c r="R18" s="4">
        <f t="shared" si="12"/>
        <v>-5.8650025961626593</v>
      </c>
      <c r="S18" s="145" t="str">
        <f t="shared" si="3"/>
        <v>D#</v>
      </c>
      <c r="T18" s="4">
        <f t="shared" si="4"/>
        <v>313.24218750000006</v>
      </c>
      <c r="U18" s="47">
        <f t="shared" si="5"/>
        <v>5.8650025961623031</v>
      </c>
    </row>
    <row r="19" spans="2:26" x14ac:dyDescent="0.2">
      <c r="B19" s="107" t="s">
        <v>73</v>
      </c>
      <c r="C19" s="185">
        <v>-1</v>
      </c>
      <c r="D19" s="4">
        <f t="shared" si="13"/>
        <v>-4</v>
      </c>
      <c r="E19" s="4">
        <f t="shared" si="6"/>
        <v>15001.705275654773</v>
      </c>
      <c r="F19" s="4">
        <f t="shared" si="7"/>
        <v>698.04499913461268</v>
      </c>
      <c r="G19" s="97">
        <v>5</v>
      </c>
      <c r="H19" s="188">
        <f t="shared" si="0"/>
        <v>468.80328986421165</v>
      </c>
      <c r="J19" s="85" t="s">
        <v>73</v>
      </c>
      <c r="K19" s="4">
        <f t="shared" si="1"/>
        <v>468.80328986421165</v>
      </c>
      <c r="L19" s="4">
        <f t="shared" si="2"/>
        <v>1003.9100017307748</v>
      </c>
      <c r="M19" s="4">
        <f t="shared" si="8"/>
        <v>109.77500432693707</v>
      </c>
      <c r="N19" s="47">
        <f t="shared" si="9"/>
        <v>2015.8736798317971</v>
      </c>
      <c r="P19" s="123" t="str">
        <f t="shared" si="10"/>
        <v>A#</v>
      </c>
      <c r="Q19" s="4">
        <f t="shared" si="11"/>
        <v>467.7456897734719</v>
      </c>
      <c r="R19" s="4">
        <f t="shared" si="12"/>
        <v>3.9100017307743689</v>
      </c>
      <c r="S19" s="145" t="str">
        <f t="shared" si="3"/>
        <v>A#</v>
      </c>
      <c r="T19" s="4">
        <f t="shared" si="4"/>
        <v>468.80328986421165</v>
      </c>
      <c r="U19" s="47">
        <f t="shared" si="5"/>
        <v>3.9100017307743689</v>
      </c>
    </row>
    <row r="20" spans="2:26" x14ac:dyDescent="0.2">
      <c r="B20" s="107" t="s">
        <v>5</v>
      </c>
      <c r="C20" s="185">
        <v>-1</v>
      </c>
      <c r="D20" s="4">
        <f t="shared" si="13"/>
        <v>-5</v>
      </c>
      <c r="E20" s="4">
        <f t="shared" si="6"/>
        <v>22451.793109126644</v>
      </c>
      <c r="F20" s="4">
        <f t="shared" si="7"/>
        <v>698.04499913461268</v>
      </c>
      <c r="G20" s="97">
        <v>6</v>
      </c>
      <c r="H20" s="188">
        <f t="shared" si="0"/>
        <v>350.80926733010381</v>
      </c>
      <c r="J20" s="85" t="s">
        <v>8</v>
      </c>
      <c r="K20" s="4">
        <f t="shared" si="1"/>
        <v>492.76912173666165</v>
      </c>
      <c r="L20" s="4">
        <f t="shared" si="2"/>
        <v>1090.2249956730632</v>
      </c>
      <c r="M20" s="4">
        <f t="shared" si="8"/>
        <v>86.314993942288282</v>
      </c>
      <c r="N20" s="47">
        <f t="shared" si="9"/>
        <v>1917.8316403535925</v>
      </c>
      <c r="P20" s="123" t="str">
        <f t="shared" si="10"/>
        <v>B</v>
      </c>
      <c r="Q20" s="4">
        <f t="shared" si="11"/>
        <v>495.55929586062553</v>
      </c>
      <c r="R20" s="4">
        <f t="shared" si="12"/>
        <v>-9.7750043269375144</v>
      </c>
      <c r="S20" s="145" t="str">
        <f t="shared" si="3"/>
        <v>F</v>
      </c>
      <c r="T20" s="4">
        <f t="shared" si="4"/>
        <v>350.80926733010381</v>
      </c>
      <c r="U20" s="47">
        <f t="shared" si="5"/>
        <v>1.9550008653872295</v>
      </c>
    </row>
    <row r="21" spans="2:26" x14ac:dyDescent="0.2">
      <c r="B21" s="108" t="s">
        <v>78</v>
      </c>
      <c r="C21" s="186">
        <v>-1</v>
      </c>
      <c r="D21" s="53">
        <f t="shared" si="13"/>
        <v>-6</v>
      </c>
      <c r="E21" s="53">
        <f t="shared" si="6"/>
        <v>33601.714241984737</v>
      </c>
      <c r="F21" s="53">
        <f t="shared" si="7"/>
        <v>698.04499913461223</v>
      </c>
      <c r="G21" s="98">
        <v>6</v>
      </c>
      <c r="H21" s="48">
        <f t="shared" si="0"/>
        <v>525.02678503101151</v>
      </c>
      <c r="J21" s="87" t="s">
        <v>78</v>
      </c>
      <c r="K21" s="53">
        <f t="shared" si="1"/>
        <v>525.02678503101151</v>
      </c>
      <c r="L21" s="53">
        <f t="shared" si="2"/>
        <v>1199.9999999999995</v>
      </c>
      <c r="M21" s="53">
        <f t="shared" si="8"/>
        <v>109.7750043269367</v>
      </c>
      <c r="N21" s="48">
        <f t="shared" si="9"/>
        <v>1800.0000000000002</v>
      </c>
      <c r="P21" s="108" t="str">
        <f t="shared" si="10"/>
        <v>c oct.</v>
      </c>
      <c r="Q21" s="53">
        <f t="shared" si="11"/>
        <v>525.02678503101185</v>
      </c>
      <c r="R21" s="53">
        <f t="shared" si="12"/>
        <v>-1.1532335413733707E-12</v>
      </c>
      <c r="S21" s="151" t="str">
        <f t="shared" si="3"/>
        <v>c oct.</v>
      </c>
      <c r="T21" s="53">
        <f t="shared" si="4"/>
        <v>525.02678503101151</v>
      </c>
      <c r="U21" s="48">
        <f t="shared" si="5"/>
        <v>-1.1532335413733707E-12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Silbermann Sorge Interval in cents</v>
      </c>
      <c r="F26" s="84" t="s">
        <v>18</v>
      </c>
      <c r="G26" s="52" t="str">
        <f>_xlfn.CONCAT("diff ",$F$2)</f>
        <v>diff 1/6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392.17999653845061</v>
      </c>
      <c r="F27" s="4">
        <f t="shared" ref="F27" si="15">VLOOKUP(B27,Master_Frequencies,2,FALSE)*5/4</f>
        <v>328.14174064438225</v>
      </c>
      <c r="G27" s="47">
        <f t="shared" ref="G27" si="16">IF($D$2="Cents",LOG(VLOOKUP(C27,Master_Frequencies,2,FALSE)/F27,2)*1200*$F$3,LOG(D27*VLOOKUP(C27,Master_Frequencies,2,FALSE)/F27,$F$3))</f>
        <v>-1.500327385393095</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1.2542428064933924</v>
      </c>
      <c r="Q27" s="99">
        <v>1</v>
      </c>
      <c r="R27" s="18">
        <f>$E$9*Q27</f>
        <v>262.51339251550581</v>
      </c>
      <c r="S27" s="97">
        <v>0</v>
      </c>
      <c r="T27" s="4">
        <f>R27/POWER(2,S27)</f>
        <v>262.51339251550581</v>
      </c>
      <c r="U27" s="18" t="str" cm="1">
        <f t="array" ref="U27">_xlfn.XLOOKUP(0,ABS($C$44:$C$56-T27),$B$44:$B$56,,1)</f>
        <v>C</v>
      </c>
      <c r="V27" s="47">
        <f t="shared" ref="V27" si="19">LOG(T27/VLOOKUP(U27,Master_Frequencies,2,FALSE),2)*1200</f>
        <v>0</v>
      </c>
      <c r="X27" s="85" t="s">
        <v>2</v>
      </c>
      <c r="Y27" s="4">
        <f t="shared" ref="Y27" si="20">VLOOKUP(X27,Master_Frequencies,2,FALSE)/POWER(2,$Z$25)</f>
        <v>131.25669625775291</v>
      </c>
      <c r="Z27" s="47">
        <f t="shared" ref="Z27" si="21">VLOOKUP(X27,Master_Frequencies,2,FALSE)*POWER(2,$Z$25)</f>
        <v>525.02678503101163</v>
      </c>
    </row>
    <row r="28" spans="2:26" x14ac:dyDescent="0.2">
      <c r="B28" s="123" t="s">
        <v>74</v>
      </c>
      <c r="C28" s="145" t="s">
        <v>5</v>
      </c>
      <c r="D28" s="97">
        <v>1</v>
      </c>
      <c r="E28" s="4">
        <f t="shared" ref="E28" si="22">LOG(D28*VLOOKUP(C28,Master_Frequencies,2,FALSE)/VLOOKUP(B28,Master_Frequencies,2,FALSE),2)*1200</f>
        <v>415.64000692309907</v>
      </c>
      <c r="F28" s="4">
        <f t="shared" ref="F28" si="23">VLOOKUP(B28,Master_Frequencies,2,FALSE)*5/4</f>
        <v>344.91677178568295</v>
      </c>
      <c r="G28" s="47">
        <f t="shared" ref="G28" si="24">IF($D$2="Cents",LOG(VLOOKUP(C28,Master_Frequencies,2,FALSE)/F28,2)*1200*$F$3,LOG(D28*VLOOKUP(C28,Master_Frequencies,2,FALSE)/F28,$F$3))</f>
        <v>-7.5003273853928514</v>
      </c>
      <c r="I28" s="123" t="s">
        <v>74</v>
      </c>
      <c r="J28" s="145" t="s">
        <v>72</v>
      </c>
      <c r="K28" s="97">
        <v>1</v>
      </c>
      <c r="L28" s="191">
        <f t="shared" ref="L28" si="25">K28*VLOOKUP(J28,Master_Frequencies,2,FALSE)/VLOOKUP(I28,Master_Frequencies,2,FALSE)</f>
        <v>1.4966160644124973</v>
      </c>
      <c r="M28" s="145" t="s">
        <v>74</v>
      </c>
      <c r="N28" s="145" t="s">
        <v>5</v>
      </c>
      <c r="O28" s="191">
        <f t="shared" ref="O28" si="26">D28*VLOOKUP(N28,Master_Frequencies,2,FALSE)/VLOOKUP(M28,Master_Frequencies,2,FALSE)</f>
        <v>1.2713547731888861</v>
      </c>
      <c r="Q28" s="99">
        <v>2</v>
      </c>
      <c r="R28" s="18">
        <f t="shared" ref="R28:R39" si="27">$E$9*Q28</f>
        <v>525.02678503101163</v>
      </c>
      <c r="S28" s="97">
        <v>0</v>
      </c>
      <c r="T28" s="4">
        <f t="shared" ref="T28:T39" si="28">R28/POWER(2,S28)</f>
        <v>525.02678503101163</v>
      </c>
      <c r="U28" s="18" t="str" cm="1">
        <f t="array" ref="U28">_xlfn.XLOOKUP(0,ABS($C$44:$C$56-T28),$B$44:$B$56,,1)</f>
        <v>c oct.</v>
      </c>
      <c r="V28" s="47">
        <f t="shared" ref="V28" si="29">LOG(T28/VLOOKUP(U28,Master_Frequencies,2,FALSE),2)*1200</f>
        <v>3.8441118045779013E-13</v>
      </c>
      <c r="X28" s="85" t="s">
        <v>74</v>
      </c>
      <c r="Y28" s="4">
        <f t="shared" ref="Y28" si="30">VLOOKUP(X28,Master_Frequencies,2,FALSE)/POWER(2,$Z$25)</f>
        <v>137.96670871427318</v>
      </c>
      <c r="Z28" s="47">
        <f t="shared" ref="Z28" si="31">VLOOKUP(X28,Master_Frequencies,2,FALSE)*POWER(2,$Z$25)</f>
        <v>551.86683485709273</v>
      </c>
    </row>
    <row r="29" spans="2:26" x14ac:dyDescent="0.2">
      <c r="B29" s="123" t="s">
        <v>3</v>
      </c>
      <c r="C29" s="145" t="s">
        <v>70</v>
      </c>
      <c r="D29" s="97">
        <v>1</v>
      </c>
      <c r="E29" s="4">
        <f t="shared" ref="E29" si="32">LOG(D29*VLOOKUP(C29,Master_Frequencies,2,FALSE)/VLOOKUP(B29,Master_Frequencies,2,FALSE),2)*1200</f>
        <v>392.17999653845027</v>
      </c>
      <c r="F29" s="4">
        <f t="shared" ref="F29" si="33">VLOOKUP(B29,Master_Frequencies,2,FALSE)*5/4</f>
        <v>367.49572123289005</v>
      </c>
      <c r="G29" s="47">
        <f t="shared" ref="G29" si="34">IF($D$2="Cents",LOG(VLOOKUP(C29,Master_Frequencies,2,FALSE)/F29,2)*1200*$F$3,LOG(D29*VLOOKUP(C29,Master_Frequencies,2,FALSE)/F29,$F$3))</f>
        <v>-1.500327385392997</v>
      </c>
      <c r="I29" s="123" t="s">
        <v>3</v>
      </c>
      <c r="J29" s="145" t="s">
        <v>7</v>
      </c>
      <c r="K29" s="97">
        <v>1</v>
      </c>
      <c r="L29" s="191">
        <f t="shared" ref="L29" si="35">K29*VLOOKUP(J29,Master_Frequencies,2,FALSE)/VLOOKUP(I29,Master_Frequencies,2,FALSE)</f>
        <v>1.4966160644124973</v>
      </c>
      <c r="M29" s="145" t="s">
        <v>3</v>
      </c>
      <c r="N29" s="145" t="s">
        <v>70</v>
      </c>
      <c r="O29" s="191">
        <f t="shared" ref="O29" si="36">D29*VLOOKUP(N29,Master_Frequencies,2,FALSE)/VLOOKUP(M29,Master_Frequencies,2,FALSE)</f>
        <v>1.2542428064933921</v>
      </c>
      <c r="Q29" s="99">
        <v>3</v>
      </c>
      <c r="R29" s="18">
        <f t="shared" si="27"/>
        <v>787.5401775465175</v>
      </c>
      <c r="S29" s="97">
        <v>1</v>
      </c>
      <c r="T29" s="4">
        <f t="shared" si="28"/>
        <v>393.77008877325875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146.99828849315602</v>
      </c>
      <c r="Z29" s="47">
        <f t="shared" ref="Z29" si="39">VLOOKUP(X29,Master_Frequencies,2,FALSE)*POWER(2,$Z$25)</f>
        <v>587.9931539726241</v>
      </c>
    </row>
    <row r="30" spans="2:26" x14ac:dyDescent="0.2">
      <c r="B30" s="123" t="s">
        <v>76</v>
      </c>
      <c r="C30" s="145" t="s">
        <v>6</v>
      </c>
      <c r="D30" s="97">
        <v>1</v>
      </c>
      <c r="E30" s="4">
        <f t="shared" ref="E30" si="40">LOG(D30*VLOOKUP(C30,Master_Frequencies,2,FALSE)/VLOOKUP(B30,Master_Frequencies,2,FALSE),2)*1200</f>
        <v>392.17999653845027</v>
      </c>
      <c r="F30" s="4">
        <f t="shared" ref="F30" si="41">VLOOKUP(B30,Master_Frequencies,2,FALSE)*5/4</f>
        <v>391.55273437500006</v>
      </c>
      <c r="G30" s="47">
        <f t="shared" ref="G30" si="42">IF($D$2="Cents",LOG(VLOOKUP(C30,Master_Frequencies,2,FALSE)/F30,2)*1200*$F$3,LOG(D30*VLOOKUP(C30,Master_Frequencies,2,FALSE)/F30,$F$3))</f>
        <v>-1.500327385392997</v>
      </c>
      <c r="I30" s="123" t="s">
        <v>76</v>
      </c>
      <c r="J30" s="145" t="s">
        <v>73</v>
      </c>
      <c r="K30" s="97">
        <v>1</v>
      </c>
      <c r="L30" s="191">
        <f t="shared" ref="L30" si="43">K30*VLOOKUP(J30,Master_Frequencies,2,FALSE)/VLOOKUP(I30,Master_Frequencies,2,FALSE)</f>
        <v>1.4966160644124973</v>
      </c>
      <c r="M30" s="145" t="s">
        <v>76</v>
      </c>
      <c r="N30" s="145" t="s">
        <v>6</v>
      </c>
      <c r="O30" s="191">
        <f t="shared" ref="O30" si="44">D30*VLOOKUP(N30,Master_Frequencies,2,FALSE)/VLOOKUP(M30,Master_Frequencies,2,FALSE)</f>
        <v>1.2542428064933921</v>
      </c>
      <c r="Q30" s="99">
        <v>4</v>
      </c>
      <c r="R30" s="18">
        <f t="shared" si="27"/>
        <v>1050.0535700620233</v>
      </c>
      <c r="S30" s="97">
        <v>1</v>
      </c>
      <c r="T30" s="4">
        <f t="shared" si="28"/>
        <v>525.02678503101163</v>
      </c>
      <c r="U30" s="18" t="str" cm="1">
        <f t="array" ref="U30">_xlfn.XLOOKUP(0,ABS($C$44:$C$56-T30),$B$44:$B$56,,1)</f>
        <v>c oct.</v>
      </c>
      <c r="V30" s="47">
        <f t="shared" ref="V30" si="45">LOG(T30/VLOOKUP(U30,Master_Frequencies,2,FALSE),2)*1200</f>
        <v>3.8441118045779013E-13</v>
      </c>
      <c r="X30" s="85" t="s">
        <v>76</v>
      </c>
      <c r="Y30" s="4">
        <f t="shared" ref="Y30" si="46">VLOOKUP(X30,Master_Frequencies,2,FALSE)/POWER(2,$Z$25)</f>
        <v>156.62109375000003</v>
      </c>
      <c r="Z30" s="47">
        <f t="shared" ref="Z30" si="47">VLOOKUP(X30,Master_Frequencies,2,FALSE)*POWER(2,$Z$25)</f>
        <v>626.48437500000011</v>
      </c>
    </row>
    <row r="31" spans="2:26" x14ac:dyDescent="0.2">
      <c r="B31" s="123" t="s">
        <v>4</v>
      </c>
      <c r="C31" s="145" t="s">
        <v>72</v>
      </c>
      <c r="D31" s="97">
        <v>1</v>
      </c>
      <c r="E31" s="4">
        <f t="shared" ref="E31" si="48">LOG(D31*VLOOKUP(C31,Master_Frequencies,2,FALSE)/VLOOKUP(B31,Master_Frequencies,2,FALSE),2)*1200</f>
        <v>392.17999653845027</v>
      </c>
      <c r="F31" s="4">
        <f t="shared" ref="F31" si="49">VLOOKUP(B31,Master_Frequencies,2,FALSE)*5/4</f>
        <v>411.56941771343691</v>
      </c>
      <c r="G31" s="47">
        <f t="shared" ref="G31" si="50">IF($D$2="Cents",LOG(VLOOKUP(C31,Master_Frequencies,2,FALSE)/F31,2)*1200*$F$3,LOG(D31*VLOOKUP(C31,Master_Frequencies,2,FALSE)/F31,$F$3))</f>
        <v>-1.500327385392997</v>
      </c>
      <c r="I31" s="123" t="s">
        <v>4</v>
      </c>
      <c r="J31" s="145" t="s">
        <v>8</v>
      </c>
      <c r="K31" s="97">
        <v>1</v>
      </c>
      <c r="L31" s="191">
        <f t="shared" ref="L31" si="51">K31*VLOOKUP(J31,Master_Frequencies,2,FALSE)/VLOOKUP(I31,Master_Frequencies,2,FALSE)</f>
        <v>1.4966160644124973</v>
      </c>
      <c r="M31" s="145" t="s">
        <v>4</v>
      </c>
      <c r="N31" s="145" t="s">
        <v>72</v>
      </c>
      <c r="O31" s="191">
        <f t="shared" ref="O31" si="52">D31*VLOOKUP(N31,Master_Frequencies,2,FALSE)/VLOOKUP(M31,Master_Frequencies,2,FALSE)</f>
        <v>1.2542428064933921</v>
      </c>
      <c r="Q31" s="99">
        <v>5</v>
      </c>
      <c r="R31" s="18">
        <f t="shared" si="27"/>
        <v>1312.566962577529</v>
      </c>
      <c r="S31" s="97">
        <v>2</v>
      </c>
      <c r="T31" s="4">
        <f t="shared" si="28"/>
        <v>328.14174064438225</v>
      </c>
      <c r="U31" s="18" t="str" cm="1">
        <f t="array" ref="U31">_xlfn.XLOOKUP(0,ABS($C$44:$C$56-T31),$B$44:$B$56,,1)</f>
        <v>E</v>
      </c>
      <c r="V31" s="47">
        <f t="shared" ref="V31" si="53">LOG(T31/VLOOKUP(U31,Master_Frequencies,2,FALSE),2)*1200</f>
        <v>-5.8662826736158431</v>
      </c>
      <c r="X31" s="85" t="s">
        <v>4</v>
      </c>
      <c r="Y31" s="4">
        <f t="shared" ref="Y31" si="54">VLOOKUP(X31,Master_Frequencies,2,FALSE)/POWER(2,$Z$25)</f>
        <v>164.62776708537476</v>
      </c>
      <c r="Z31" s="47">
        <f t="shared" ref="Z31" si="55">VLOOKUP(X31,Master_Frequencies,2,FALSE)*POWER(2,$Z$25)</f>
        <v>658.51106834149903</v>
      </c>
    </row>
    <row r="32" spans="2:26" x14ac:dyDescent="0.2">
      <c r="B32" s="123" t="s">
        <v>5</v>
      </c>
      <c r="C32" s="145" t="s">
        <v>7</v>
      </c>
      <c r="D32" s="97">
        <v>1</v>
      </c>
      <c r="E32" s="4">
        <f t="shared" ref="E32" si="56">LOG(D32*VLOOKUP(C32,Master_Frequencies,2,FALSE)/VLOOKUP(B32,Master_Frequencies,2,FALSE),2)*1200</f>
        <v>392.17999653845061</v>
      </c>
      <c r="F32" s="4">
        <f t="shared" ref="F32" si="57">VLOOKUP(B32,Master_Frequencies,2,FALSE)*5/4</f>
        <v>438.51158416262979</v>
      </c>
      <c r="G32" s="47">
        <f t="shared" ref="G32" si="58">IF($D$2="Cents",LOG(VLOOKUP(C32,Master_Frequencies,2,FALSE)/F32,2)*1200*$F$3,LOG(D32*VLOOKUP(C32,Master_Frequencies,2,FALSE)/F32,$F$3))</f>
        <v>-1.500327385392997</v>
      </c>
      <c r="I32" s="123" t="s">
        <v>5</v>
      </c>
      <c r="J32" s="145" t="s">
        <v>78</v>
      </c>
      <c r="K32" s="97">
        <v>1</v>
      </c>
      <c r="L32" s="191">
        <f t="shared" ref="L32" si="59">K32*VLOOKUP(J32,Master_Frequencies,2,FALSE)/VLOOKUP(I32,Master_Frequencies,2,FALSE)</f>
        <v>1.4966160644124971</v>
      </c>
      <c r="M32" s="145" t="s">
        <v>5</v>
      </c>
      <c r="N32" s="145" t="s">
        <v>7</v>
      </c>
      <c r="O32" s="191">
        <f t="shared" ref="O32" si="60">D32*VLOOKUP(N32,Master_Frequencies,2,FALSE)/VLOOKUP(M32,Master_Frequencies,2,FALSE)</f>
        <v>1.2542428064933924</v>
      </c>
      <c r="Q32" s="99">
        <v>6</v>
      </c>
      <c r="R32" s="18">
        <f t="shared" si="27"/>
        <v>1575.080355093035</v>
      </c>
      <c r="S32" s="97">
        <v>2</v>
      </c>
      <c r="T32" s="4">
        <f t="shared" si="28"/>
        <v>393.77008877325875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175.4046336650519</v>
      </c>
      <c r="Z32" s="47">
        <f t="shared" ref="Z32" si="63">VLOOKUP(X32,Master_Frequencies,2,FALSE)*POWER(2,$Z$25)</f>
        <v>701.61853466020762</v>
      </c>
    </row>
    <row r="33" spans="2:26" x14ac:dyDescent="0.2">
      <c r="B33" s="123" t="s">
        <v>70</v>
      </c>
      <c r="C33" s="145" t="s">
        <v>73</v>
      </c>
      <c r="D33" s="97">
        <v>1</v>
      </c>
      <c r="E33" s="4">
        <f t="shared" ref="E33" si="64">LOG(D33*VLOOKUP(C33,Master_Frequencies,2,FALSE)/VLOOKUP(B33,Master_Frequencies,2,FALSE),2)*1200</f>
        <v>415.64000692309941</v>
      </c>
      <c r="F33" s="4">
        <f t="shared" ref="F33" si="65">VLOOKUP(B33,Master_Frequencies,2,FALSE)*5/4</f>
        <v>460.92886477345331</v>
      </c>
      <c r="G33" s="47">
        <f t="shared" ref="G33" si="66">IF($D$2="Cents",LOG(VLOOKUP(C33,Master_Frequencies,2,FALSE)/F33,2)*1200*$F$3,LOG(D33*VLOOKUP(C33,Master_Frequencies,2,FALSE)/F33,$F$3))</f>
        <v>-7.5003273853929482</v>
      </c>
      <c r="I33" s="123" t="s">
        <v>70</v>
      </c>
      <c r="J33" s="145" t="s">
        <v>74</v>
      </c>
      <c r="K33" s="97">
        <v>2</v>
      </c>
      <c r="L33" s="191">
        <f t="shared" ref="L33" si="67">K33*VLOOKUP(J33,Master_Frequencies,2,FALSE)/VLOOKUP(I33,Master_Frequencies,2,FALSE)</f>
        <v>1.4966160644124975</v>
      </c>
      <c r="M33" s="145" t="s">
        <v>70</v>
      </c>
      <c r="N33" s="145" t="s">
        <v>73</v>
      </c>
      <c r="O33" s="191">
        <f t="shared" ref="O33" si="68">D33*VLOOKUP(N33,Master_Frequencies,2,FALSE)/VLOOKUP(M33,Master_Frequencies,2,FALSE)</f>
        <v>1.2713547731888863</v>
      </c>
      <c r="Q33" s="99">
        <v>7</v>
      </c>
      <c r="R33" s="18">
        <f t="shared" si="27"/>
        <v>1837.5937476085408</v>
      </c>
      <c r="S33" s="97">
        <v>2</v>
      </c>
      <c r="T33" s="4">
        <f t="shared" si="28"/>
        <v>459.39843690213519</v>
      </c>
      <c r="U33" s="18" t="str" cm="1">
        <f t="array" ref="U33">_xlfn.XLOOKUP(0,ABS($C$44:$C$56-T33),$B$44:$B$56,,1)</f>
        <v>A#</v>
      </c>
      <c r="V33" s="47">
        <f t="shared" ref="V33" si="69">LOG(T33/VLOOKUP(U33,Master_Frequencies,2,FALSE),2)*1200</f>
        <v>-35.08409526164985</v>
      </c>
      <c r="X33" s="85" t="s">
        <v>70</v>
      </c>
      <c r="Y33" s="4">
        <f t="shared" ref="Y33" si="70">VLOOKUP(X33,Master_Frequencies,2,FALSE)/POWER(2,$Z$25)</f>
        <v>184.37154590938133</v>
      </c>
      <c r="Z33" s="47">
        <f t="shared" ref="Z33" si="71">VLOOKUP(X33,Master_Frequencies,2,FALSE)*POWER(2,$Z$25)</f>
        <v>737.4861836375253</v>
      </c>
    </row>
    <row r="34" spans="2:26" x14ac:dyDescent="0.2">
      <c r="B34" s="123" t="s">
        <v>6</v>
      </c>
      <c r="C34" s="145" t="s">
        <v>8</v>
      </c>
      <c r="D34" s="97">
        <v>1</v>
      </c>
      <c r="E34" s="4">
        <f t="shared" ref="E34" si="72">LOG(D34*VLOOKUP(C34,Master_Frequencies,2,FALSE)/VLOOKUP(B34,Master_Frequencies,2,FALSE),2)*1200</f>
        <v>392.17999653845061</v>
      </c>
      <c r="F34" s="4">
        <f t="shared" ref="F34" si="73">VLOOKUP(B34,Master_Frequencies,2,FALSE)*5/4</f>
        <v>491.1022004526618</v>
      </c>
      <c r="G34" s="47">
        <f t="shared" ref="G34" si="74">IF($D$2="Cents",LOG(VLOOKUP(C34,Master_Frequencies,2,FALSE)/F34,2)*1200*$F$3,LOG(D34*VLOOKUP(C34,Master_Frequencies,2,FALSE)/F34,$F$3))</f>
        <v>-1.500327385392997</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1.2542428064933924</v>
      </c>
      <c r="Q34" s="99">
        <v>8</v>
      </c>
      <c r="R34" s="18">
        <f t="shared" si="27"/>
        <v>2100.1071401240465</v>
      </c>
      <c r="S34" s="97">
        <v>3</v>
      </c>
      <c r="T34" s="4">
        <f t="shared" si="28"/>
        <v>262.51339251550581</v>
      </c>
      <c r="U34" s="18" t="str" cm="1">
        <f t="array" ref="U34">_xlfn.XLOOKUP(0,ABS($C$44:$C$56-T34),$B$44:$B$56,,1)</f>
        <v>C</v>
      </c>
      <c r="V34" s="47">
        <f t="shared" ref="V34" si="77">LOG(T34/VLOOKUP(U34,Master_Frequencies,2,FALSE),2)*1200</f>
        <v>0</v>
      </c>
      <c r="X34" s="85" t="s">
        <v>6</v>
      </c>
      <c r="Y34" s="4">
        <f t="shared" ref="Y34" si="78">VLOOKUP(X34,Master_Frequencies,2,FALSE)/POWER(2,$Z$25)</f>
        <v>196.44088018106473</v>
      </c>
      <c r="Z34" s="47">
        <f t="shared" ref="Z34" si="79">VLOOKUP(X34,Master_Frequencies,2,FALSE)*POWER(2,$Z$25)</f>
        <v>785.76352072425891</v>
      </c>
    </row>
    <row r="35" spans="2:26" x14ac:dyDescent="0.2">
      <c r="B35" s="123" t="s">
        <v>72</v>
      </c>
      <c r="C35" s="145" t="s">
        <v>78</v>
      </c>
      <c r="D35" s="97">
        <v>1</v>
      </c>
      <c r="E35" s="4">
        <f t="shared" ref="E35" si="80">LOG(D35*VLOOKUP(C35,Master_Frequencies,2,FALSE)/VLOOKUP(B35,Master_Frequencies,2,FALSE),2)*1200</f>
        <v>415.64000692309872</v>
      </c>
      <c r="F35" s="4">
        <f t="shared" ref="F35" si="81">VLOOKUP(B35,Master_Frequencies,2,FALSE)*5/4</f>
        <v>516.20798153975227</v>
      </c>
      <c r="G35" s="47">
        <f t="shared" ref="G35" si="82">IF($D$2="Cents",LOG(VLOOKUP(C35,Master_Frequencies,2,FALSE)/F35,2)*1200*$F$3,LOG(D35*VLOOKUP(C35,Master_Frequencies,2,FALSE)/F35,$F$3))</f>
        <v>-7.5003273853928514</v>
      </c>
      <c r="I35" s="123" t="s">
        <v>72</v>
      </c>
      <c r="J35" s="145" t="s">
        <v>76</v>
      </c>
      <c r="K35" s="97">
        <v>2</v>
      </c>
      <c r="L35" s="191">
        <f t="shared" ref="L35" si="83">K35*VLOOKUP(J35,Master_Frequencies,2,FALSE)/VLOOKUP(I35,Master_Frequencies,2,FALSE)</f>
        <v>1.5170347936390722</v>
      </c>
      <c r="M35" s="145" t="s">
        <v>72</v>
      </c>
      <c r="N35" s="145" t="s">
        <v>78</v>
      </c>
      <c r="O35" s="191">
        <f t="shared" ref="O35" si="84">D35*VLOOKUP(N35,Master_Frequencies,2,FALSE)/VLOOKUP(M35,Master_Frequencies,2,FALSE)</f>
        <v>1.2713547731888859</v>
      </c>
      <c r="Q35" s="99">
        <v>9</v>
      </c>
      <c r="R35" s="18">
        <f t="shared" si="27"/>
        <v>2362.6205326395525</v>
      </c>
      <c r="S35" s="97">
        <v>3</v>
      </c>
      <c r="T35" s="4">
        <f t="shared" si="28"/>
        <v>295.32756657994406</v>
      </c>
      <c r="U35" s="18" t="str" cm="1">
        <f t="array" ref="U35">_xlfn.XLOOKUP(0,ABS($C$44:$C$56-T35),$B$44:$B$56,,1)</f>
        <v>D</v>
      </c>
      <c r="V35" s="47">
        <f t="shared" ref="V35" si="85">LOG(T35/VLOOKUP(U35,Master_Frequencies,2,FALSE),2)*1200</f>
        <v>7.8200034615495593</v>
      </c>
      <c r="X35" s="85" t="s">
        <v>72</v>
      </c>
      <c r="Y35" s="4">
        <f t="shared" ref="Y35" si="86">VLOOKUP(X35,Master_Frequencies,2,FALSE)/POWER(2,$Z$25)</f>
        <v>206.48319261590092</v>
      </c>
      <c r="Z35" s="47">
        <f t="shared" ref="Z35" si="87">VLOOKUP(X35,Master_Frequencies,2,FALSE)*POWER(2,$Z$25)</f>
        <v>825.93277046360367</v>
      </c>
    </row>
    <row r="36" spans="2:26" x14ac:dyDescent="0.2">
      <c r="B36" s="123" t="s">
        <v>7</v>
      </c>
      <c r="C36" s="145" t="s">
        <v>74</v>
      </c>
      <c r="D36" s="97">
        <v>2</v>
      </c>
      <c r="E36" s="4">
        <f t="shared" ref="E36" si="88">LOG(D36*VLOOKUP(C36,Master_Frequencies,2,FALSE)/VLOOKUP(B36,Master_Frequencies,2,FALSE),2)*1200</f>
        <v>392.17999653845027</v>
      </c>
      <c r="F36" s="4">
        <f t="shared" ref="F36" si="89">VLOOKUP(B36,Master_Frequencies,2,FALSE)*5/4</f>
        <v>550.00000000000011</v>
      </c>
      <c r="G36" s="47">
        <f t="shared" ref="G36" si="90">IF($D$2="Cents",LOG(VLOOKUP(C36,Master_Frequencies,2,FALSE)/F36,2)*1200*$F$3,LOG(D36*VLOOKUP(C36,Master_Frequencies,2,FALSE)/F36,$F$3))</f>
        <v>-1.500327385392997</v>
      </c>
      <c r="I36" s="123" t="s">
        <v>7</v>
      </c>
      <c r="J36" s="145" t="s">
        <v>4</v>
      </c>
      <c r="K36" s="97">
        <v>2</v>
      </c>
      <c r="L36" s="191">
        <f t="shared" ref="L36" si="91">K36*VLOOKUP(J36,Master_Frequencies,2,FALSE)/VLOOKUP(I36,Master_Frequencies,2,FALSE)</f>
        <v>1.4966160644124975</v>
      </c>
      <c r="M36" s="145" t="s">
        <v>7</v>
      </c>
      <c r="N36" s="145" t="s">
        <v>74</v>
      </c>
      <c r="O36" s="191">
        <f t="shared" ref="O36" si="92">D36*VLOOKUP(N36,Master_Frequencies,2,FALSE)/VLOOKUP(M36,Master_Frequencies,2,FALSE)</f>
        <v>1.2542428064933921</v>
      </c>
      <c r="Q36" s="99">
        <v>10</v>
      </c>
      <c r="R36" s="18">
        <f t="shared" si="27"/>
        <v>2625.133925155058</v>
      </c>
      <c r="S36" s="97">
        <v>3</v>
      </c>
      <c r="T36" s="4">
        <f t="shared" si="28"/>
        <v>328.14174064438225</v>
      </c>
      <c r="U36" s="18" t="str" cm="1">
        <f t="array" ref="U36">_xlfn.XLOOKUP(0,ABS($C$44:$C$56-T36),$B$44:$B$56,,1)</f>
        <v>E</v>
      </c>
      <c r="V36" s="47">
        <f t="shared" ref="V36" si="93">LOG(T36/VLOOKUP(U36,Master_Frequencies,2,FALSE),2)*1200</f>
        <v>-5.8662826736158431</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392.17999653845061</v>
      </c>
      <c r="F37" s="4">
        <f t="shared" ref="F37" si="97">VLOOKUP(B37,Master_Frequencies,2,FALSE)*5/4</f>
        <v>586.00411233026455</v>
      </c>
      <c r="G37" s="47">
        <f t="shared" ref="G37" si="98">IF($D$2="Cents",LOG(VLOOKUP(C37,Master_Frequencies,2,FALSE)/F37,2)*1200*$F$3,LOG(D37*VLOOKUP(C37,Master_Frequencies,2,FALSE)/F37,$F$3))</f>
        <v>-1.500327385392997</v>
      </c>
      <c r="I37" s="123" t="s">
        <v>73</v>
      </c>
      <c r="J37" s="145" t="s">
        <v>5</v>
      </c>
      <c r="K37" s="97">
        <v>2</v>
      </c>
      <c r="L37" s="191">
        <f t="shared" ref="L37" si="99">K37*VLOOKUP(J37,Master_Frequencies,2,FALSE)/VLOOKUP(I37,Master_Frequencies,2,FALSE)</f>
        <v>1.4966160644124973</v>
      </c>
      <c r="M37" s="145" t="s">
        <v>73</v>
      </c>
      <c r="N37" s="145" t="s">
        <v>3</v>
      </c>
      <c r="O37" s="191">
        <f t="shared" ref="O37" si="100">D37*VLOOKUP(N37,Master_Frequencies,2,FALSE)/VLOOKUP(M37,Master_Frequencies,2,FALSE)</f>
        <v>1.2542428064933924</v>
      </c>
      <c r="Q37" s="99">
        <v>11</v>
      </c>
      <c r="R37" s="18">
        <f t="shared" si="27"/>
        <v>2887.647317670564</v>
      </c>
      <c r="S37" s="97">
        <v>3</v>
      </c>
      <c r="T37" s="4">
        <f t="shared" si="28"/>
        <v>360.9559147088205</v>
      </c>
      <c r="U37" s="18" t="str" cm="1">
        <f t="array" ref="U37">_xlfn.XLOOKUP(0,ABS($C$44:$C$56-T37),$B$44:$B$56,,1)</f>
        <v>F#</v>
      </c>
      <c r="V37" s="47">
        <f t="shared" ref="V37" si="101">LOG(T37/VLOOKUP(U37,Master_Frequencies,2,FALSE),2)*1200</f>
        <v>-36.952052442918792</v>
      </c>
      <c r="X37" s="85" t="s">
        <v>73</v>
      </c>
      <c r="Y37" s="4">
        <f t="shared" ref="Y37" si="102">VLOOKUP(X37,Master_Frequencies,2,FALSE)/POWER(2,$Z$25)</f>
        <v>234.40164493210582</v>
      </c>
      <c r="Z37" s="47">
        <f t="shared" ref="Z37" si="103">VLOOKUP(X37,Master_Frequencies,2,FALSE)*POWER(2,$Z$25)</f>
        <v>937.6065797284233</v>
      </c>
    </row>
    <row r="38" spans="2:26" x14ac:dyDescent="0.2">
      <c r="B38" s="124" t="s">
        <v>8</v>
      </c>
      <c r="C38" s="153" t="s">
        <v>76</v>
      </c>
      <c r="D38" s="98">
        <v>2</v>
      </c>
      <c r="E38" s="53">
        <f t="shared" ref="E38" si="104">LOG(D38*VLOOKUP(C38,Master_Frequencies,2,FALSE)/VLOOKUP(B38,Master_Frequencies,2,FALSE),2)*1200</f>
        <v>415.64000692309907</v>
      </c>
      <c r="F38" s="53">
        <f t="shared" ref="F38" si="105">VLOOKUP(B38,Master_Frequencies,2,FALSE)*5/4</f>
        <v>615.96140217082711</v>
      </c>
      <c r="G38" s="48">
        <f t="shared" ref="G38" si="106">IF($D$2="Cents",LOG(VLOOKUP(C38,Master_Frequencies,2,FALSE)/F38,2)*1200*$F$3,LOG(D38*VLOOKUP(C38,Master_Frequencies,2,FALSE)/F38,$F$3))</f>
        <v>-7.5003273853928514</v>
      </c>
      <c r="I38" s="124" t="s">
        <v>8</v>
      </c>
      <c r="J38" s="153" t="s">
        <v>70</v>
      </c>
      <c r="K38" s="98">
        <v>2</v>
      </c>
      <c r="L38" s="192">
        <f t="shared" ref="L38" si="107">K38*VLOOKUP(J38,Master_Frequencies,2,FALSE)/VLOOKUP(I38,Master_Frequencies,2,FALSE)</f>
        <v>1.4966160644124973</v>
      </c>
      <c r="M38" s="153" t="s">
        <v>8</v>
      </c>
      <c r="N38" s="153" t="s">
        <v>76</v>
      </c>
      <c r="O38" s="192">
        <f t="shared" ref="O38" si="108">D38*VLOOKUP(N38,Master_Frequencies,2,FALSE)/VLOOKUP(M38,Master_Frequencies,2,FALSE)</f>
        <v>1.2713547731888861</v>
      </c>
      <c r="Q38" s="99">
        <v>12</v>
      </c>
      <c r="R38" s="18">
        <f t="shared" si="27"/>
        <v>3150.16071018607</v>
      </c>
      <c r="S38" s="97">
        <v>3</v>
      </c>
      <c r="T38" s="4">
        <f t="shared" si="28"/>
        <v>393.77008877325875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246.38456086833082</v>
      </c>
      <c r="Z38" s="47">
        <f t="shared" ref="Z38" si="111">VLOOKUP(X38,Master_Frequencies,2,FALSE)*POWER(2,$Z$25)</f>
        <v>985.53824347332329</v>
      </c>
    </row>
    <row r="39" spans="2:26" x14ac:dyDescent="0.2">
      <c r="Q39" s="100">
        <v>13</v>
      </c>
      <c r="R39" s="50">
        <f t="shared" si="27"/>
        <v>3412.6741027015755</v>
      </c>
      <c r="S39" s="98">
        <v>3</v>
      </c>
      <c r="T39" s="53">
        <f t="shared" si="28"/>
        <v>426.58426283769694</v>
      </c>
      <c r="U39" s="50" t="str" cm="1">
        <f t="array" ref="U39">_xlfn.XLOOKUP(0,ABS($C$44:$C$56-T39),$B$44:$B$56,,1)</f>
        <v>A</v>
      </c>
      <c r="V39" s="48">
        <f t="shared" ref="V39" si="112">LOG(T39/VLOOKUP(U39,Master_Frequencies,2,FALSE),2)*1200</f>
        <v>-53.607335634527253</v>
      </c>
      <c r="X39" s="87" t="s">
        <v>78</v>
      </c>
      <c r="Y39" s="53">
        <f t="shared" ref="Y39" si="113">VLOOKUP(X39,Master_Frequencies,2,FALSE)/POWER(2,$Z$25)</f>
        <v>262.51339251550576</v>
      </c>
      <c r="Z39" s="48">
        <f t="shared" ref="Z39" si="114">VLOOKUP(X39,Master_Frequencies,2,FALSE)*POWER(2,$Z$25)</f>
        <v>1050.053570062023</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262.51339251550581</v>
      </c>
    </row>
    <row r="45" spans="2:26" x14ac:dyDescent="0.2">
      <c r="B45" s="92" t="s">
        <v>74</v>
      </c>
      <c r="C45" s="93">
        <f t="shared" ref="C45:C56" si="115">VLOOKUP(B45,$B$9:$H$21,7,FALSE)</f>
        <v>275.93341742854636</v>
      </c>
    </row>
    <row r="46" spans="2:26" x14ac:dyDescent="0.2">
      <c r="B46" s="92" t="s">
        <v>3</v>
      </c>
      <c r="C46" s="93">
        <f t="shared" si="115"/>
        <v>293.99657698631205</v>
      </c>
    </row>
    <row r="47" spans="2:26" x14ac:dyDescent="0.2">
      <c r="B47" s="92" t="s">
        <v>76</v>
      </c>
      <c r="C47" s="93">
        <f t="shared" si="115"/>
        <v>313.24218750000006</v>
      </c>
    </row>
    <row r="48" spans="2:26" x14ac:dyDescent="0.2">
      <c r="B48" s="92" t="s">
        <v>4</v>
      </c>
      <c r="C48" s="93">
        <f t="shared" si="115"/>
        <v>329.25553417074951</v>
      </c>
    </row>
    <row r="49" spans="2:3" x14ac:dyDescent="0.2">
      <c r="B49" s="92" t="s">
        <v>5</v>
      </c>
      <c r="C49" s="93">
        <f t="shared" si="115"/>
        <v>350.80926733010381</v>
      </c>
    </row>
    <row r="50" spans="2:3" x14ac:dyDescent="0.2">
      <c r="B50" s="92" t="s">
        <v>70</v>
      </c>
      <c r="C50" s="93">
        <f t="shared" si="115"/>
        <v>368.74309181876265</v>
      </c>
    </row>
    <row r="51" spans="2:3" x14ac:dyDescent="0.2">
      <c r="B51" s="92" t="s">
        <v>6</v>
      </c>
      <c r="C51" s="93">
        <f t="shared" si="115"/>
        <v>392.88176036212946</v>
      </c>
    </row>
    <row r="52" spans="2:3" x14ac:dyDescent="0.2">
      <c r="B52" s="92" t="s">
        <v>72</v>
      </c>
      <c r="C52" s="93">
        <f t="shared" si="115"/>
        <v>412.96638523180184</v>
      </c>
    </row>
    <row r="53" spans="2:3" x14ac:dyDescent="0.2">
      <c r="B53" s="92" t="s">
        <v>7</v>
      </c>
      <c r="C53" s="93">
        <f t="shared" si="115"/>
        <v>440.00000000000011</v>
      </c>
    </row>
    <row r="54" spans="2:3" x14ac:dyDescent="0.2">
      <c r="B54" s="92" t="s">
        <v>73</v>
      </c>
      <c r="C54" s="93">
        <f t="shared" si="115"/>
        <v>468.80328986421165</v>
      </c>
    </row>
    <row r="55" spans="2:3" x14ac:dyDescent="0.2">
      <c r="B55" s="92" t="s">
        <v>8</v>
      </c>
      <c r="C55" s="93">
        <f t="shared" si="115"/>
        <v>492.76912173666165</v>
      </c>
    </row>
    <row r="56" spans="2:3" ht="16" thickBot="1" x14ac:dyDescent="0.25">
      <c r="B56" s="94" t="s">
        <v>78</v>
      </c>
      <c r="C56" s="95">
        <f t="shared" si="115"/>
        <v>525.02678503101151</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21" priority="3">
      <formula>_xlfn.ISFORMULA(A1)</formula>
    </cfRule>
  </conditionalFormatting>
  <conditionalFormatting sqref="A1:XFD1048576">
    <cfRule type="expression" dxfId="20"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6FB0D90A-BA17-EA4F-A288-43B443619146}">
      <formula1>Units</formula1>
    </dataValidation>
  </dataValidations>
  <hyperlinks>
    <hyperlink ref="B40" location="Overview!A1" display="Back to Overview" xr:uid="{4EF25FED-29D2-BE40-8DC7-03C063502676}"/>
    <hyperlink ref="B4" location="Overview!A1" display="Back to Overview" xr:uid="{5756465E-0123-094B-8A8F-54569E1C958E}"/>
  </hyperlink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997F-4FCE-4F4F-8F5E-FA05B6019CDE}">
  <sheetPr codeName="Sheet4">
    <tabColor theme="3" tint="0.749992370372631"/>
  </sheetPr>
  <dimension ref="B1:BW336"/>
  <sheetViews>
    <sheetView zoomScale="110" zoomScaleNormal="110" workbookViewId="0">
      <pane xSplit="3" ySplit="7" topLeftCell="BU8" activePane="bottomRight" state="frozen"/>
      <selection activeCell="B5" sqref="B5"/>
      <selection pane="topRight" activeCell="B5" sqref="B5"/>
      <selection pane="bottomLeft" activeCell="B5" sqref="B5"/>
      <selection pane="bottomRight"/>
    </sheetView>
  </sheetViews>
  <sheetFormatPr baseColWidth="10" defaultColWidth="12" defaultRowHeight="16" x14ac:dyDescent="0.2"/>
  <cols>
    <col min="1" max="1" width="2.83203125" style="60" customWidth="1"/>
    <col min="2" max="2" width="12" style="60"/>
    <col min="3" max="3" width="45.33203125" style="60" customWidth="1"/>
    <col min="4" max="17" width="12" style="60"/>
    <col min="18" max="18" width="12" style="61"/>
    <col min="19" max="16384" width="12" style="60"/>
  </cols>
  <sheetData>
    <row r="1" spans="2:75" x14ac:dyDescent="0.2">
      <c r="C1" s="164" t="s">
        <v>557</v>
      </c>
      <c r="D1" s="285" t="s">
        <v>526</v>
      </c>
      <c r="E1" s="285"/>
      <c r="F1" s="285"/>
    </row>
    <row r="2" spans="2:75" x14ac:dyDescent="0.2">
      <c r="B2" s="60" t="s">
        <v>161</v>
      </c>
      <c r="C2" s="62" t="s">
        <v>162</v>
      </c>
      <c r="S2" s="60" t="s">
        <v>163</v>
      </c>
      <c r="AV2" s="60" t="s">
        <v>164</v>
      </c>
    </row>
    <row r="3" spans="2:75" x14ac:dyDescent="0.2">
      <c r="C3" s="60" t="s">
        <v>165</v>
      </c>
      <c r="D3" s="60" t="s">
        <v>166</v>
      </c>
      <c r="S3" s="60" t="str" cm="1">
        <f t="array" aca="1" ref="S3:AG3" ca="1">TRANSPOSE(INDIRECT("'"&amp;$C$1&amp;"'!Frets_Note1"))</f>
        <v>D#</v>
      </c>
      <c r="T3" s="60" t="str">
        <f ca="1"/>
        <v>F</v>
      </c>
      <c r="U3" s="60" t="str">
        <f ca="1"/>
        <v>G</v>
      </c>
      <c r="V3" s="60" t="str">
        <f ca="1"/>
        <v>A#</v>
      </c>
      <c r="W3" s="60" t="str">
        <f ca="1"/>
        <v>C</v>
      </c>
      <c r="X3" s="60" t="str">
        <f ca="1"/>
        <v>D#</v>
      </c>
      <c r="Y3" s="60" t="str">
        <f ca="1"/>
        <v>F</v>
      </c>
      <c r="Z3" s="60" t="str">
        <f ca="1"/>
        <v>G</v>
      </c>
      <c r="AA3" s="60" t="str">
        <f ca="1"/>
        <v>A#</v>
      </c>
      <c r="AB3" s="60" t="str">
        <f ca="1"/>
        <v>C</v>
      </c>
      <c r="AC3" s="60" t="str">
        <f ca="1"/>
        <v>D</v>
      </c>
      <c r="AD3" s="60" t="str">
        <f ca="1"/>
        <v>E</v>
      </c>
      <c r="AE3" s="60" t="str">
        <f ca="1"/>
        <v>F#</v>
      </c>
      <c r="AF3" s="60" t="str">
        <f ca="1"/>
        <v>G#</v>
      </c>
      <c r="AG3" s="60" t="str">
        <f ca="1"/>
        <v>A#</v>
      </c>
      <c r="AV3" s="60" t="str" cm="1">
        <f t="array" aca="1" ref="AV3:BJ3" ca="1">TRANSPOSE(INDIRECT("'"&amp;$C$1&amp;"'!Frets_Note1"))</f>
        <v>D#</v>
      </c>
      <c r="AW3" s="60" t="str">
        <f ca="1"/>
        <v>F</v>
      </c>
      <c r="AX3" s="60" t="str">
        <f ca="1"/>
        <v>G</v>
      </c>
      <c r="AY3" s="60" t="str">
        <f ca="1"/>
        <v>A#</v>
      </c>
      <c r="AZ3" s="60" t="str">
        <f ca="1"/>
        <v>C</v>
      </c>
      <c r="BA3" s="60" t="str">
        <f ca="1"/>
        <v>D#</v>
      </c>
      <c r="BB3" s="60" t="str">
        <f ca="1"/>
        <v>F</v>
      </c>
      <c r="BC3" s="60" t="str">
        <f ca="1"/>
        <v>G</v>
      </c>
      <c r="BD3" s="60" t="str">
        <f ca="1"/>
        <v>A#</v>
      </c>
      <c r="BE3" s="60" t="str">
        <f ca="1"/>
        <v>C</v>
      </c>
      <c r="BF3" s="60" t="str">
        <f ca="1"/>
        <v>D</v>
      </c>
      <c r="BG3" s="60" t="str">
        <f ca="1"/>
        <v>E</v>
      </c>
      <c r="BH3" s="60" t="str">
        <f ca="1"/>
        <v>F#</v>
      </c>
      <c r="BI3" s="60" t="str">
        <f ca="1"/>
        <v>G#</v>
      </c>
      <c r="BJ3" s="60" t="str">
        <f ca="1"/>
        <v>A#</v>
      </c>
    </row>
    <row r="4" spans="2:75" x14ac:dyDescent="0.2">
      <c r="S4" s="60" t="str" cm="1">
        <f t="array" aca="1" ref="S4:AG4" ca="1">TRANSPOSE(INDIRECT("'"&amp;$C$1&amp;"'!Frets_Note2"))</f>
        <v>E</v>
      </c>
      <c r="T4" s="60" t="str">
        <f ca="1"/>
        <v>F#</v>
      </c>
      <c r="U4" s="60" t="str">
        <f ca="1"/>
        <v>G#</v>
      </c>
      <c r="V4" s="60" t="str">
        <f ca="1"/>
        <v>B</v>
      </c>
      <c r="W4" s="60" t="str">
        <f ca="1"/>
        <v>C#</v>
      </c>
      <c r="X4" s="60" t="str">
        <f ca="1"/>
        <v>E</v>
      </c>
      <c r="Y4" s="60" t="str">
        <f ca="1"/>
        <v>F#</v>
      </c>
      <c r="Z4" s="60" t="str">
        <f ca="1"/>
        <v>G#</v>
      </c>
      <c r="AA4" s="60" t="str">
        <f ca="1"/>
        <v>B</v>
      </c>
      <c r="AB4" s="60" t="str">
        <f ca="1"/>
        <v>C#</v>
      </c>
      <c r="AC4" s="60" t="str">
        <f ca="1"/>
        <v>D#</v>
      </c>
      <c r="AD4" s="60" t="str">
        <f ca="1"/>
        <v>F</v>
      </c>
      <c r="AE4" s="60" t="str">
        <f ca="1"/>
        <v>G</v>
      </c>
      <c r="AF4" s="60" t="str">
        <f ca="1"/>
        <v>A</v>
      </c>
      <c r="AG4" s="60" t="str">
        <f ca="1"/>
        <v>B</v>
      </c>
      <c r="AV4" s="60" t="str" cm="1">
        <f t="array" aca="1" ref="AV4:BJ4" ca="1">TRANSPOSE(INDIRECT("'"&amp;$C$1&amp;"'!Frets_Note2"))</f>
        <v>E</v>
      </c>
      <c r="AW4" s="60" t="str">
        <f ca="1"/>
        <v>F#</v>
      </c>
      <c r="AX4" s="60" t="str">
        <f ca="1"/>
        <v>G#</v>
      </c>
      <c r="AY4" s="60" t="str">
        <f ca="1"/>
        <v>B</v>
      </c>
      <c r="AZ4" s="60" t="str">
        <f ca="1"/>
        <v>C#</v>
      </c>
      <c r="BA4" s="60" t="str">
        <f ca="1"/>
        <v>E</v>
      </c>
      <c r="BB4" s="60" t="str">
        <f ca="1"/>
        <v>F#</v>
      </c>
      <c r="BC4" s="60" t="str">
        <f ca="1"/>
        <v>G#</v>
      </c>
      <c r="BD4" s="60" t="str">
        <f ca="1"/>
        <v>B</v>
      </c>
      <c r="BE4" s="60" t="str">
        <f ca="1"/>
        <v>C#</v>
      </c>
      <c r="BF4" s="60" t="str">
        <f ca="1"/>
        <v>D#</v>
      </c>
      <c r="BG4" s="60" t="str">
        <f ca="1"/>
        <v>F</v>
      </c>
      <c r="BH4" s="60" t="str">
        <f ca="1"/>
        <v>G</v>
      </c>
      <c r="BI4" s="60" t="str">
        <f ca="1"/>
        <v>A</v>
      </c>
      <c r="BJ4" s="60" t="str">
        <f ca="1"/>
        <v>B</v>
      </c>
    </row>
    <row r="5" spans="2:75" x14ac:dyDescent="0.2">
      <c r="B5" s="8" t="s">
        <v>63</v>
      </c>
      <c r="D5" s="284" t="s">
        <v>167</v>
      </c>
      <c r="E5" s="284"/>
      <c r="F5" s="284"/>
      <c r="G5" s="284"/>
      <c r="H5" s="284"/>
      <c r="I5" s="284"/>
      <c r="J5" s="284"/>
      <c r="K5" s="284"/>
      <c r="L5" s="284"/>
      <c r="M5" s="284"/>
      <c r="N5" s="284"/>
      <c r="O5" s="284"/>
      <c r="P5" s="284"/>
      <c r="AU5" s="64" t="s">
        <v>168</v>
      </c>
      <c r="AV5" s="60" cm="1">
        <f t="array" aca="1" ref="AV5:BJ5" ca="1">TRANSPOSE(INDIRECT("'"&amp;$C$1&amp;"'!Frets_Size"))</f>
        <v>103.19039942679643</v>
      </c>
      <c r="AW5" s="60">
        <f ca="1"/>
        <v>94.220650529757748</v>
      </c>
      <c r="AX5" s="60">
        <f ca="1"/>
        <v>101.77591540366805</v>
      </c>
      <c r="AY5" s="60">
        <f ca="1"/>
        <v>93.603014401527801</v>
      </c>
      <c r="AZ5" s="60">
        <f ca="1"/>
        <v>97.45448217259603</v>
      </c>
      <c r="BA5" s="60">
        <f ca="1"/>
        <v>98.465059058982703</v>
      </c>
      <c r="BB5" s="60">
        <f ca="1"/>
        <v>93.350592727381127</v>
      </c>
      <c r="BC5" s="60">
        <f ca="1"/>
        <v>107.43746590988216</v>
      </c>
      <c r="BD5" s="60">
        <f ca="1"/>
        <v>97.936518664382362</v>
      </c>
      <c r="BE5" s="60">
        <f ca="1"/>
        <v>91.829390591992194</v>
      </c>
      <c r="BF5" s="60">
        <f ca="1"/>
        <v>101.01730431647708</v>
      </c>
      <c r="BG5" s="60">
        <f ca="1"/>
        <v>103.98525870501851</v>
      </c>
      <c r="BH5" s="60">
        <f ca="1"/>
        <v>98.954592230367567</v>
      </c>
      <c r="BI5" s="60">
        <f ca="1"/>
        <v>90.608505511254805</v>
      </c>
      <c r="BJ5" s="60">
        <f ca="1"/>
        <v>91.43955105767877</v>
      </c>
      <c r="BV5" s="64" t="s">
        <v>169</v>
      </c>
      <c r="BW5" s="60">
        <f ca="1">MIN(BV8:BV336)</f>
        <v>3.1280138067399732</v>
      </c>
    </row>
    <row r="6" spans="2:75" x14ac:dyDescent="0.2">
      <c r="S6" s="284" t="s">
        <v>170</v>
      </c>
      <c r="T6" s="284"/>
      <c r="U6" s="284"/>
      <c r="V6" s="284"/>
      <c r="W6" s="284"/>
      <c r="X6" s="284"/>
      <c r="Y6" s="284"/>
      <c r="Z6" s="284"/>
      <c r="AA6" s="284"/>
      <c r="AB6" s="284"/>
      <c r="AC6" s="284"/>
      <c r="AD6" s="284"/>
      <c r="AE6" s="284"/>
      <c r="AF6" s="284"/>
      <c r="AG6" s="284"/>
      <c r="AH6" s="284"/>
      <c r="AI6" s="284"/>
      <c r="AJ6" s="284"/>
      <c r="AK6" s="63"/>
      <c r="AL6" s="63"/>
      <c r="AM6" s="63"/>
      <c r="AN6" s="63"/>
      <c r="AO6" s="63"/>
      <c r="AP6" s="63"/>
      <c r="AQ6" s="63"/>
      <c r="AR6" s="63"/>
      <c r="AS6" s="63"/>
      <c r="AT6" s="64"/>
      <c r="AU6" s="64"/>
      <c r="AV6" s="284" t="s">
        <v>171</v>
      </c>
      <c r="AW6" s="284"/>
      <c r="AX6" s="284"/>
      <c r="AY6" s="284"/>
      <c r="AZ6" s="284"/>
      <c r="BA6" s="284"/>
      <c r="BB6" s="284"/>
      <c r="BC6" s="284"/>
      <c r="BD6" s="284"/>
      <c r="BE6" s="284"/>
      <c r="BF6" s="284"/>
      <c r="BG6" s="284"/>
      <c r="BH6" s="284"/>
      <c r="BI6" s="284"/>
      <c r="BJ6" s="284"/>
      <c r="BK6" s="284"/>
      <c r="BL6" s="284"/>
      <c r="BM6" s="284"/>
      <c r="BN6" s="63"/>
      <c r="BO6" s="63"/>
      <c r="BP6" s="63"/>
      <c r="BQ6" s="63"/>
      <c r="BR6" s="63"/>
      <c r="BS6" s="63"/>
      <c r="BT6" s="63"/>
      <c r="BU6" s="64"/>
      <c r="BV6" s="64"/>
    </row>
    <row r="7" spans="2:75" s="65" customFormat="1" x14ac:dyDescent="0.2">
      <c r="D7" s="65" t="s">
        <v>2</v>
      </c>
      <c r="E7" s="65" t="s">
        <v>6</v>
      </c>
      <c r="F7" s="65" t="s">
        <v>3</v>
      </c>
      <c r="G7" s="65" t="s">
        <v>7</v>
      </c>
      <c r="H7" s="65" t="s">
        <v>4</v>
      </c>
      <c r="I7" s="65" t="s">
        <v>8</v>
      </c>
      <c r="J7" s="65" t="s">
        <v>70</v>
      </c>
      <c r="K7" s="65" t="s">
        <v>74</v>
      </c>
      <c r="L7" s="65" t="s">
        <v>72</v>
      </c>
      <c r="M7" s="65" t="s">
        <v>76</v>
      </c>
      <c r="N7" s="65" t="s">
        <v>73</v>
      </c>
      <c r="O7" s="65" t="s">
        <v>5</v>
      </c>
      <c r="P7" s="65" t="s">
        <v>78</v>
      </c>
      <c r="R7" s="66" t="s">
        <v>172</v>
      </c>
      <c r="BV7" s="63" t="s">
        <v>173</v>
      </c>
    </row>
    <row r="8" spans="2:75" x14ac:dyDescent="0.2">
      <c r="C8" s="60" t="s">
        <v>196</v>
      </c>
      <c r="D8" s="60">
        <v>0</v>
      </c>
      <c r="E8" s="60">
        <v>-4</v>
      </c>
      <c r="F8" s="60">
        <v>-8</v>
      </c>
      <c r="G8" s="60">
        <v>-6</v>
      </c>
      <c r="H8" s="60">
        <v>-4</v>
      </c>
      <c r="I8" s="60">
        <v>-8</v>
      </c>
      <c r="J8" s="60">
        <v>-6</v>
      </c>
      <c r="K8" s="60">
        <v>-4</v>
      </c>
      <c r="L8" s="60">
        <v>-2</v>
      </c>
      <c r="M8" s="60">
        <v>-6</v>
      </c>
      <c r="N8" s="60">
        <v>-4</v>
      </c>
      <c r="O8" s="60">
        <v>-2</v>
      </c>
      <c r="P8" s="60">
        <v>0</v>
      </c>
      <c r="R8" s="61">
        <f>(ROW(R8)-ROW($C$6))</f>
        <v>2</v>
      </c>
      <c r="S8" s="60">
        <f ca="1">100+HLOOKUP(S$4,$D$7:$P$336,$R8,FALSE)-HLOOKUP(S$3,$D$7:$P$336,$R8,FALSE)</f>
        <v>102</v>
      </c>
      <c r="T8" s="60">
        <f ca="1">100+HLOOKUP(T$4,$D$7:$P$336,$R8,FALSE)-HLOOKUP(T$3,$D$7:$P$336,$R8,FALSE)</f>
        <v>96</v>
      </c>
      <c r="U8" s="60">
        <f ca="1">100+HLOOKUP(U$4,$D$7:$P$336,$R8,FALSE)-HLOOKUP(U$3,$D$7:$P$336,$R8,FALSE)</f>
        <v>102</v>
      </c>
      <c r="V8" s="60">
        <f ca="1">100+HLOOKUP(V$4,$D$7:$P$336,$R8,FALSE)-HLOOKUP(V$3,$D$7:$P$336,$R8,FALSE)</f>
        <v>96</v>
      </c>
      <c r="W8" s="60">
        <f ca="1">100+HLOOKUP(W$4,$D$7:$P$336,$R8,FALSE)-HLOOKUP(W$3,$D$7:$P$336,$R8,FALSE)</f>
        <v>96</v>
      </c>
      <c r="X8" s="60">
        <f ca="1">100+HLOOKUP(X$4,$D$7:$P$336,$R8,FALSE)-HLOOKUP(X$3,$D$7:$P$336,$R8,FALSE)</f>
        <v>102</v>
      </c>
      <c r="Y8" s="60">
        <f ca="1">100+HLOOKUP(Y$4,$D$7:$P$336,$R8,FALSE)-HLOOKUP(Y$3,$D$7:$P$336,$R8,FALSE)</f>
        <v>96</v>
      </c>
      <c r="Z8" s="60">
        <f ca="1">100+HLOOKUP(Z$4,$D$7:$P$336,$R8,FALSE)-HLOOKUP(Z$3,$D$7:$P$336,$R8,FALSE)</f>
        <v>102</v>
      </c>
      <c r="AA8" s="60">
        <f ca="1">100+HLOOKUP(AA$4,$D$7:$P$336,$R8,FALSE)-HLOOKUP(AA$3,$D$7:$P$336,$R8,FALSE)</f>
        <v>96</v>
      </c>
      <c r="AB8" s="60">
        <f ca="1">100+HLOOKUP(AB$4,$D$7:$P$336,$R8,FALSE)-HLOOKUP(AB$3,$D$7:$P$336,$R8,FALSE)</f>
        <v>96</v>
      </c>
      <c r="AC8" s="60">
        <f ca="1">100+HLOOKUP(AC$4,$D$7:$P$336,$R8,FALSE)-HLOOKUP(AC$3,$D$7:$P$336,$R8,FALSE)</f>
        <v>102</v>
      </c>
      <c r="AD8" s="60">
        <f ca="1">100+HLOOKUP(AD$4,$D$7:$P$336,$R8,FALSE)-HLOOKUP(AD$3,$D$7:$P$336,$R8,FALSE)</f>
        <v>102</v>
      </c>
      <c r="AE8" s="60">
        <f ca="1">100+HLOOKUP(AE$4,$D$7:$P$336,$R8,FALSE)-HLOOKUP(AE$3,$D$7:$P$336,$R8,FALSE)</f>
        <v>102</v>
      </c>
      <c r="AF8" s="60">
        <f ca="1">100+HLOOKUP(AF$4,$D$7:$P$336,$R8,FALSE)-HLOOKUP(AF$3,$D$7:$P$336,$R8,FALSE)</f>
        <v>96</v>
      </c>
      <c r="AG8" s="60">
        <f ca="1">100+HLOOKUP(AG$4,$D$7:$P$336,$R8,FALSE)-HLOOKUP(AG$3,$D$7:$P$336,$R8,FALSE)</f>
        <v>96</v>
      </c>
      <c r="AH8" s="60" t="e">
        <f>100+HLOOKUP(AH$4,$D$7:$P$336,$R8,FALSE)-HLOOKUP(AH$3,$D$7:$P$336,$R8,FALSE)</f>
        <v>#N/A</v>
      </c>
      <c r="AI8" s="60" t="e">
        <f>100+HLOOKUP(AI$4,$D$7:$P$336,$R8,FALSE)-HLOOKUP(AI$3,$D$7:$P$336,$R8,FALSE)</f>
        <v>#N/A</v>
      </c>
      <c r="AJ8" s="60" t="e">
        <f>100+HLOOKUP(AJ$4,$D$7:$P$336,$R8,FALSE)-HLOOKUP(AJ$3,$D$7:$P$336,$R8,FALSE)</f>
        <v>#N/A</v>
      </c>
      <c r="AK8" s="60" t="e">
        <f>100+HLOOKUP(AK$4,$D$7:$P$336,$R8,FALSE)-HLOOKUP(AK$3,$D$7:$P$336,$R8,FALSE)</f>
        <v>#N/A</v>
      </c>
      <c r="AL8" s="60" t="e">
        <f>100+HLOOKUP(AL$4,$D$7:$P$336,$R8,FALSE)-HLOOKUP(AL$3,$D$7:$P$336,$R8,FALSE)</f>
        <v>#N/A</v>
      </c>
      <c r="AM8" s="60" t="e">
        <f>100+HLOOKUP(AM$4,$D$7:$P$336,$R8,FALSE)-HLOOKUP(AM$3,$D$7:$P$336,$R8,FALSE)</f>
        <v>#N/A</v>
      </c>
      <c r="AN8" s="60" t="e">
        <f>100+HLOOKUP(AN$4,$D$7:$P$336,$R8,FALSE)-HLOOKUP(AN$3,$D$7:$P$336,$R8,FALSE)</f>
        <v>#N/A</v>
      </c>
      <c r="AO8" s="60" t="e">
        <f>100+HLOOKUP(AO$4,$D$7:$P$336,$R8,FALSE)-HLOOKUP(AO$3,$D$7:$P$336,$R8,FALSE)</f>
        <v>#N/A</v>
      </c>
      <c r="AP8" s="60" t="e">
        <f>100+HLOOKUP(AP$4,$D$7:$P$336,$R8,FALSE)-HLOOKUP(AP$3,$D$7:$P$336,$R8,FALSE)</f>
        <v>#N/A</v>
      </c>
      <c r="AQ8" s="60" t="e">
        <f>100+HLOOKUP(AQ$4,$D$7:$P$336,$R8,FALSE)-HLOOKUP(AQ$3,$D$7:$P$336,$R8,FALSE)</f>
        <v>#N/A</v>
      </c>
      <c r="AV8" s="60">
        <f ca="1">AV$5-S8</f>
        <v>1.1903994267964322</v>
      </c>
      <c r="AW8" s="60">
        <f ca="1">AW$5-T8</f>
        <v>-1.7793494702422521</v>
      </c>
      <c r="AX8" s="60">
        <f ca="1">AX$5-U8</f>
        <v>-0.22408459633194866</v>
      </c>
      <c r="AY8" s="60">
        <f ca="1">AY$5-V8</f>
        <v>-2.3969855984721988</v>
      </c>
      <c r="AZ8" s="60">
        <f ca="1">AZ$5-W8</f>
        <v>1.4544821725960304</v>
      </c>
      <c r="BA8" s="60">
        <f ca="1">BA$5-X8</f>
        <v>-3.5349409410172967</v>
      </c>
      <c r="BB8" s="60">
        <f ca="1">BB$5-Y8</f>
        <v>-2.6494072726188733</v>
      </c>
      <c r="BC8" s="60">
        <f ca="1">BC$5-Z8</f>
        <v>5.4374659098821638</v>
      </c>
      <c r="BD8" s="60">
        <f ca="1">BD$5-AA8</f>
        <v>1.936518664382362</v>
      </c>
      <c r="BE8" s="60">
        <f ca="1">BE$5-AB8</f>
        <v>-4.170609408007806</v>
      </c>
      <c r="BF8" s="60">
        <f ca="1">BF$5-AC8</f>
        <v>-0.98269568352291969</v>
      </c>
      <c r="BG8" s="60">
        <f ca="1">BG$5-AD8</f>
        <v>1.9852587050185093</v>
      </c>
      <c r="BH8" s="60">
        <f ca="1">BH$5-AE8</f>
        <v>-3.0454077696324333</v>
      </c>
      <c r="BI8" s="60">
        <f ca="1">BI$5-AF8</f>
        <v>-5.3914944887451952</v>
      </c>
      <c r="BJ8" s="60">
        <f ca="1">BJ$5-AG8</f>
        <v>-4.56044894232123</v>
      </c>
      <c r="BK8" s="60" t="e">
        <f>BK$5-AH8</f>
        <v>#N/A</v>
      </c>
      <c r="BL8" s="60" t="e">
        <f>BL$5-AI8</f>
        <v>#N/A</v>
      </c>
      <c r="BM8" s="60" t="e">
        <f>BM$5-AJ8</f>
        <v>#N/A</v>
      </c>
      <c r="BN8" s="60" t="e">
        <f>BN$5-AK8</f>
        <v>#N/A</v>
      </c>
      <c r="BO8" s="60" t="e">
        <f>BO$5-AL8</f>
        <v>#N/A</v>
      </c>
      <c r="BP8" s="60" t="e">
        <f>BP$5-AM8</f>
        <v>#N/A</v>
      </c>
      <c r="BQ8" s="60" t="e">
        <f>BQ$5-AN8</f>
        <v>#N/A</v>
      </c>
      <c r="BR8" s="60" t="e">
        <f>BR$5-AO8</f>
        <v>#N/A</v>
      </c>
      <c r="BS8" s="60" t="e">
        <f>BS$5-AP8</f>
        <v>#N/A</v>
      </c>
      <c r="BT8" s="60" t="e">
        <f>BT$5-AQ8</f>
        <v>#N/A</v>
      </c>
      <c r="BV8" s="60" cm="1">
        <f t="array" aca="1" ref="BV8" ca="1">SQRT(SUMSQ(_xlfn._xlws.FILTER(AV8:BT8,ISNUMBER(AV8:BT8)))/COUNT(_xlfn._xlws.FILTER(AV8:BT8,ISNUMBER(AV8:BT8))))</f>
        <v>3.1280138067399732</v>
      </c>
    </row>
    <row r="9" spans="2:75" x14ac:dyDescent="0.2">
      <c r="C9" s="60" t="s">
        <v>457</v>
      </c>
      <c r="D9" s="60">
        <v>0</v>
      </c>
      <c r="E9" s="60">
        <v>-1</v>
      </c>
      <c r="F9" s="60">
        <v>-2</v>
      </c>
      <c r="G9" s="60">
        <v>-3</v>
      </c>
      <c r="H9" s="60">
        <v>-4</v>
      </c>
      <c r="I9" s="60">
        <v>-5</v>
      </c>
      <c r="J9" s="60">
        <v>-6</v>
      </c>
      <c r="K9" s="60">
        <v>-4</v>
      </c>
      <c r="L9" s="60">
        <v>-2</v>
      </c>
      <c r="M9" s="60">
        <v>-3</v>
      </c>
      <c r="N9" s="60">
        <v>-1</v>
      </c>
      <c r="O9" s="60">
        <v>1</v>
      </c>
      <c r="P9" s="60">
        <v>0</v>
      </c>
      <c r="R9" s="61">
        <f>(ROW(R9)-ROW($C$6))</f>
        <v>3</v>
      </c>
      <c r="S9" s="60">
        <f ca="1">100+HLOOKUP(S$4,$D$7:$P$336,$R9,FALSE)-HLOOKUP(S$3,$D$7:$P$336,$R9,FALSE)</f>
        <v>99</v>
      </c>
      <c r="T9" s="60">
        <f ca="1">100+HLOOKUP(T$4,$D$7:$P$336,$R9,FALSE)-HLOOKUP(T$3,$D$7:$P$336,$R9,FALSE)</f>
        <v>93</v>
      </c>
      <c r="U9" s="60">
        <f ca="1">100+HLOOKUP(U$4,$D$7:$P$336,$R9,FALSE)-HLOOKUP(U$3,$D$7:$P$336,$R9,FALSE)</f>
        <v>99</v>
      </c>
      <c r="V9" s="60">
        <f ca="1">100+HLOOKUP(V$4,$D$7:$P$336,$R9,FALSE)-HLOOKUP(V$3,$D$7:$P$336,$R9,FALSE)</f>
        <v>96</v>
      </c>
      <c r="W9" s="60">
        <f ca="1">100+HLOOKUP(W$4,$D$7:$P$336,$R9,FALSE)-HLOOKUP(W$3,$D$7:$P$336,$R9,FALSE)</f>
        <v>96</v>
      </c>
      <c r="X9" s="60">
        <f ca="1">100+HLOOKUP(X$4,$D$7:$P$336,$R9,FALSE)-HLOOKUP(X$3,$D$7:$P$336,$R9,FALSE)</f>
        <v>99</v>
      </c>
      <c r="Y9" s="60">
        <f ca="1">100+HLOOKUP(Y$4,$D$7:$P$336,$R9,FALSE)-HLOOKUP(Y$3,$D$7:$P$336,$R9,FALSE)</f>
        <v>93</v>
      </c>
      <c r="Z9" s="60">
        <f ca="1">100+HLOOKUP(Z$4,$D$7:$P$336,$R9,FALSE)-HLOOKUP(Z$3,$D$7:$P$336,$R9,FALSE)</f>
        <v>99</v>
      </c>
      <c r="AA9" s="60">
        <f ca="1">100+HLOOKUP(AA$4,$D$7:$P$336,$R9,FALSE)-HLOOKUP(AA$3,$D$7:$P$336,$R9,FALSE)</f>
        <v>96</v>
      </c>
      <c r="AB9" s="60">
        <f ca="1">100+HLOOKUP(AB$4,$D$7:$P$336,$R9,FALSE)-HLOOKUP(AB$3,$D$7:$P$336,$R9,FALSE)</f>
        <v>96</v>
      </c>
      <c r="AC9" s="60">
        <f ca="1">100+HLOOKUP(AC$4,$D$7:$P$336,$R9,FALSE)-HLOOKUP(AC$3,$D$7:$P$336,$R9,FALSE)</f>
        <v>99</v>
      </c>
      <c r="AD9" s="60">
        <f ca="1">100+HLOOKUP(AD$4,$D$7:$P$336,$R9,FALSE)-HLOOKUP(AD$3,$D$7:$P$336,$R9,FALSE)</f>
        <v>105</v>
      </c>
      <c r="AE9" s="60">
        <f ca="1">100+HLOOKUP(AE$4,$D$7:$P$336,$R9,FALSE)-HLOOKUP(AE$3,$D$7:$P$336,$R9,FALSE)</f>
        <v>105</v>
      </c>
      <c r="AF9" s="60">
        <f ca="1">100+HLOOKUP(AF$4,$D$7:$P$336,$R9,FALSE)-HLOOKUP(AF$3,$D$7:$P$336,$R9,FALSE)</f>
        <v>99</v>
      </c>
      <c r="AG9" s="60">
        <f ca="1">100+HLOOKUP(AG$4,$D$7:$P$336,$R9,FALSE)-HLOOKUP(AG$3,$D$7:$P$336,$R9,FALSE)</f>
        <v>96</v>
      </c>
      <c r="AH9" s="60" t="e">
        <f>100+HLOOKUP(AH$4,$D$7:$P$336,$R9,FALSE)-HLOOKUP(AH$3,$D$7:$P$336,$R9,FALSE)</f>
        <v>#N/A</v>
      </c>
      <c r="AI9" s="60" t="e">
        <f>100+HLOOKUP(AI$4,$D$7:$P$336,$R9,FALSE)-HLOOKUP(AI$3,$D$7:$P$336,$R9,FALSE)</f>
        <v>#N/A</v>
      </c>
      <c r="AJ9" s="60" t="e">
        <f>100+HLOOKUP(AJ$4,$D$7:$P$336,$R9,FALSE)-HLOOKUP(AJ$3,$D$7:$P$336,$R9,FALSE)</f>
        <v>#N/A</v>
      </c>
      <c r="AK9" s="60" t="e">
        <f>100+HLOOKUP(AK$4,$D$7:$P$336,$R9,FALSE)-HLOOKUP(AK$3,$D$7:$P$336,$R9,FALSE)</f>
        <v>#N/A</v>
      </c>
      <c r="AL9" s="60" t="e">
        <f>100+HLOOKUP(AL$4,$D$7:$P$336,$R9,FALSE)-HLOOKUP(AL$3,$D$7:$P$336,$R9,FALSE)</f>
        <v>#N/A</v>
      </c>
      <c r="AM9" s="60" t="e">
        <f>100+HLOOKUP(AM$4,$D$7:$P$336,$R9,FALSE)-HLOOKUP(AM$3,$D$7:$P$336,$R9,FALSE)</f>
        <v>#N/A</v>
      </c>
      <c r="AN9" s="60" t="e">
        <f>100+HLOOKUP(AN$4,$D$7:$P$336,$R9,FALSE)-HLOOKUP(AN$3,$D$7:$P$336,$R9,FALSE)</f>
        <v>#N/A</v>
      </c>
      <c r="AO9" s="60" t="e">
        <f>100+HLOOKUP(AO$4,$D$7:$P$336,$R9,FALSE)-HLOOKUP(AO$3,$D$7:$P$336,$R9,FALSE)</f>
        <v>#N/A</v>
      </c>
      <c r="AP9" s="60" t="e">
        <f>100+HLOOKUP(AP$4,$D$7:$P$336,$R9,FALSE)-HLOOKUP(AP$3,$D$7:$P$336,$R9,FALSE)</f>
        <v>#N/A</v>
      </c>
      <c r="AQ9" s="60" t="e">
        <f>100+HLOOKUP(AQ$4,$D$7:$P$336,$R9,FALSE)-HLOOKUP(AQ$3,$D$7:$P$336,$R9,FALSE)</f>
        <v>#N/A</v>
      </c>
      <c r="AV9" s="60">
        <f ca="1">AV$5-S9</f>
        <v>4.1903994267964322</v>
      </c>
      <c r="AW9" s="60">
        <f ca="1">AW$5-T9</f>
        <v>1.2206505297577479</v>
      </c>
      <c r="AX9" s="60">
        <f ca="1">AX$5-U9</f>
        <v>2.7759154036680513</v>
      </c>
      <c r="AY9" s="60">
        <f ca="1">AY$5-V9</f>
        <v>-2.3969855984721988</v>
      </c>
      <c r="AZ9" s="60">
        <f ca="1">AZ$5-W9</f>
        <v>1.4544821725960304</v>
      </c>
      <c r="BA9" s="60">
        <f ca="1">BA$5-X9</f>
        <v>-0.53494094101729672</v>
      </c>
      <c r="BB9" s="60">
        <f ca="1">BB$5-Y9</f>
        <v>0.35059272738112668</v>
      </c>
      <c r="BC9" s="60">
        <f ca="1">BC$5-Z9</f>
        <v>8.4374659098821638</v>
      </c>
      <c r="BD9" s="60">
        <f ca="1">BD$5-AA9</f>
        <v>1.936518664382362</v>
      </c>
      <c r="BE9" s="60">
        <f ca="1">BE$5-AB9</f>
        <v>-4.170609408007806</v>
      </c>
      <c r="BF9" s="60">
        <f ca="1">BF$5-AC9</f>
        <v>2.0173043164770803</v>
      </c>
      <c r="BG9" s="60">
        <f ca="1">BG$5-AD9</f>
        <v>-1.0147412949814907</v>
      </c>
      <c r="BH9" s="60">
        <f ca="1">BH$5-AE9</f>
        <v>-6.0454077696324333</v>
      </c>
      <c r="BI9" s="60">
        <f ca="1">BI$5-AF9</f>
        <v>-8.3914944887451952</v>
      </c>
      <c r="BJ9" s="60">
        <f ca="1">BJ$5-AG9</f>
        <v>-4.56044894232123</v>
      </c>
      <c r="BK9" s="60" t="e">
        <f>BK$5-AH9</f>
        <v>#N/A</v>
      </c>
      <c r="BL9" s="60" t="e">
        <f>BL$5-AI9</f>
        <v>#N/A</v>
      </c>
      <c r="BM9" s="60" t="e">
        <f>BM$5-AJ9</f>
        <v>#N/A</v>
      </c>
      <c r="BN9" s="60" t="e">
        <f>BN$5-AK9</f>
        <v>#N/A</v>
      </c>
      <c r="BO9" s="60" t="e">
        <f>BO$5-AL9</f>
        <v>#N/A</v>
      </c>
      <c r="BP9" s="60" t="e">
        <f>BP$5-AM9</f>
        <v>#N/A</v>
      </c>
      <c r="BQ9" s="60" t="e">
        <f>BQ$5-AN9</f>
        <v>#N/A</v>
      </c>
      <c r="BR9" s="60" t="e">
        <f>BR$5-AO9</f>
        <v>#N/A</v>
      </c>
      <c r="BS9" s="60" t="e">
        <f>BS$5-AP9</f>
        <v>#N/A</v>
      </c>
      <c r="BT9" s="60" t="e">
        <f>BT$5-AQ9</f>
        <v>#N/A</v>
      </c>
      <c r="BV9" s="60" cm="1">
        <f t="array" aca="1" ref="BV9" ca="1">SQRT(SUMSQ(_xlfn._xlws.FILTER(AV9:BT9,ISNUMBER(AV9:BT9)))/COUNT(_xlfn._xlws.FILTER(AV9:BT9,ISNUMBER(AV9:BT9))))</f>
        <v>4.165102969396755</v>
      </c>
    </row>
    <row r="10" spans="2:75" x14ac:dyDescent="0.2">
      <c r="C10" s="60" t="s">
        <v>284</v>
      </c>
      <c r="D10" s="60">
        <v>0</v>
      </c>
      <c r="E10" s="60">
        <v>-2</v>
      </c>
      <c r="F10" s="60">
        <v>-4</v>
      </c>
      <c r="G10" s="60">
        <v>-6</v>
      </c>
      <c r="H10" s="60">
        <v>-4</v>
      </c>
      <c r="I10" s="60">
        <v>-6</v>
      </c>
      <c r="J10" s="60">
        <v>-4</v>
      </c>
      <c r="K10" s="60">
        <v>-4</v>
      </c>
      <c r="L10" s="60">
        <v>-4</v>
      </c>
      <c r="M10" s="60">
        <v>-4</v>
      </c>
      <c r="N10" s="60">
        <v>0</v>
      </c>
      <c r="O10" s="60">
        <v>-2</v>
      </c>
      <c r="P10" s="60">
        <v>0</v>
      </c>
      <c r="R10" s="61">
        <f>(ROW(R10)-ROW($C$6))</f>
        <v>4</v>
      </c>
      <c r="S10" s="60">
        <f ca="1">100+HLOOKUP(S$4,$D$7:$P$336,$R10,FALSE)-HLOOKUP(S$3,$D$7:$P$336,$R10,FALSE)</f>
        <v>100</v>
      </c>
      <c r="T10" s="60">
        <f ca="1">100+HLOOKUP(T$4,$D$7:$P$336,$R10,FALSE)-HLOOKUP(T$3,$D$7:$P$336,$R10,FALSE)</f>
        <v>98</v>
      </c>
      <c r="U10" s="60">
        <f ca="1">100+HLOOKUP(U$4,$D$7:$P$336,$R10,FALSE)-HLOOKUP(U$3,$D$7:$P$336,$R10,FALSE)</f>
        <v>98</v>
      </c>
      <c r="V10" s="60">
        <f ca="1">100+HLOOKUP(V$4,$D$7:$P$336,$R10,FALSE)-HLOOKUP(V$3,$D$7:$P$336,$R10,FALSE)</f>
        <v>94</v>
      </c>
      <c r="W10" s="60">
        <f ca="1">100+HLOOKUP(W$4,$D$7:$P$336,$R10,FALSE)-HLOOKUP(W$3,$D$7:$P$336,$R10,FALSE)</f>
        <v>96</v>
      </c>
      <c r="X10" s="60">
        <f ca="1">100+HLOOKUP(X$4,$D$7:$P$336,$R10,FALSE)-HLOOKUP(X$3,$D$7:$P$336,$R10,FALSE)</f>
        <v>100</v>
      </c>
      <c r="Y10" s="60">
        <f ca="1">100+HLOOKUP(Y$4,$D$7:$P$336,$R10,FALSE)-HLOOKUP(Y$3,$D$7:$P$336,$R10,FALSE)</f>
        <v>98</v>
      </c>
      <c r="Z10" s="60">
        <f ca="1">100+HLOOKUP(Z$4,$D$7:$P$336,$R10,FALSE)-HLOOKUP(Z$3,$D$7:$P$336,$R10,FALSE)</f>
        <v>98</v>
      </c>
      <c r="AA10" s="60">
        <f ca="1">100+HLOOKUP(AA$4,$D$7:$P$336,$R10,FALSE)-HLOOKUP(AA$3,$D$7:$P$336,$R10,FALSE)</f>
        <v>94</v>
      </c>
      <c r="AB10" s="60">
        <f ca="1">100+HLOOKUP(AB$4,$D$7:$P$336,$R10,FALSE)-HLOOKUP(AB$3,$D$7:$P$336,$R10,FALSE)</f>
        <v>96</v>
      </c>
      <c r="AC10" s="60">
        <f ca="1">100+HLOOKUP(AC$4,$D$7:$P$336,$R10,FALSE)-HLOOKUP(AC$3,$D$7:$P$336,$R10,FALSE)</f>
        <v>100</v>
      </c>
      <c r="AD10" s="60">
        <f ca="1">100+HLOOKUP(AD$4,$D$7:$P$336,$R10,FALSE)-HLOOKUP(AD$3,$D$7:$P$336,$R10,FALSE)</f>
        <v>102</v>
      </c>
      <c r="AE10" s="60">
        <f ca="1">100+HLOOKUP(AE$4,$D$7:$P$336,$R10,FALSE)-HLOOKUP(AE$3,$D$7:$P$336,$R10,FALSE)</f>
        <v>102</v>
      </c>
      <c r="AF10" s="60">
        <f ca="1">100+HLOOKUP(AF$4,$D$7:$P$336,$R10,FALSE)-HLOOKUP(AF$3,$D$7:$P$336,$R10,FALSE)</f>
        <v>98</v>
      </c>
      <c r="AG10" s="60">
        <f ca="1">100+HLOOKUP(AG$4,$D$7:$P$336,$R10,FALSE)-HLOOKUP(AG$3,$D$7:$P$336,$R10,FALSE)</f>
        <v>94</v>
      </c>
      <c r="AH10" s="60" t="e">
        <f>100+HLOOKUP(AH$4,$D$7:$P$336,$R10,FALSE)-HLOOKUP(AH$3,$D$7:$P$336,$R10,FALSE)</f>
        <v>#N/A</v>
      </c>
      <c r="AI10" s="60" t="e">
        <f>100+HLOOKUP(AI$4,$D$7:$P$336,$R10,FALSE)-HLOOKUP(AI$3,$D$7:$P$336,$R10,FALSE)</f>
        <v>#N/A</v>
      </c>
      <c r="AJ10" s="60" t="e">
        <f>100+HLOOKUP(AJ$4,$D$7:$P$336,$R10,FALSE)-HLOOKUP(AJ$3,$D$7:$P$336,$R10,FALSE)</f>
        <v>#N/A</v>
      </c>
      <c r="AK10" s="60" t="e">
        <f>100+HLOOKUP(AK$4,$D$7:$P$336,$R10,FALSE)-HLOOKUP(AK$3,$D$7:$P$336,$R10,FALSE)</f>
        <v>#N/A</v>
      </c>
      <c r="AL10" s="60" t="e">
        <f>100+HLOOKUP(AL$4,$D$7:$P$336,$R10,FALSE)-HLOOKUP(AL$3,$D$7:$P$336,$R10,FALSE)</f>
        <v>#N/A</v>
      </c>
      <c r="AM10" s="60" t="e">
        <f>100+HLOOKUP(AM$4,$D$7:$P$336,$R10,FALSE)-HLOOKUP(AM$3,$D$7:$P$336,$R10,FALSE)</f>
        <v>#N/A</v>
      </c>
      <c r="AN10" s="60" t="e">
        <f>100+HLOOKUP(AN$4,$D$7:$P$336,$R10,FALSE)-HLOOKUP(AN$3,$D$7:$P$336,$R10,FALSE)</f>
        <v>#N/A</v>
      </c>
      <c r="AO10" s="60" t="e">
        <f>100+HLOOKUP(AO$4,$D$7:$P$336,$R10,FALSE)-HLOOKUP(AO$3,$D$7:$P$336,$R10,FALSE)</f>
        <v>#N/A</v>
      </c>
      <c r="AP10" s="60" t="e">
        <f>100+HLOOKUP(AP$4,$D$7:$P$336,$R10,FALSE)-HLOOKUP(AP$3,$D$7:$P$336,$R10,FALSE)</f>
        <v>#N/A</v>
      </c>
      <c r="AQ10" s="60" t="e">
        <f>100+HLOOKUP(AQ$4,$D$7:$P$336,$R10,FALSE)-HLOOKUP(AQ$3,$D$7:$P$336,$R10,FALSE)</f>
        <v>#N/A</v>
      </c>
      <c r="AV10" s="60">
        <f ca="1">AV$5-S10</f>
        <v>3.1903994267964322</v>
      </c>
      <c r="AW10" s="60">
        <f ca="1">AW$5-T10</f>
        <v>-3.7793494702422521</v>
      </c>
      <c r="AX10" s="60">
        <f ca="1">AX$5-U10</f>
        <v>3.7759154036680513</v>
      </c>
      <c r="AY10" s="60">
        <f ca="1">AY$5-V10</f>
        <v>-0.39698559847219883</v>
      </c>
      <c r="AZ10" s="60">
        <f ca="1">AZ$5-W10</f>
        <v>1.4544821725960304</v>
      </c>
      <c r="BA10" s="60">
        <f ca="1">BA$5-X10</f>
        <v>-1.5349409410172967</v>
      </c>
      <c r="BB10" s="60">
        <f ca="1">BB$5-Y10</f>
        <v>-4.6494072726188733</v>
      </c>
      <c r="BC10" s="60">
        <f ca="1">BC$5-Z10</f>
        <v>9.4374659098821638</v>
      </c>
      <c r="BD10" s="60">
        <f ca="1">BD$5-AA10</f>
        <v>3.936518664382362</v>
      </c>
      <c r="BE10" s="60">
        <f ca="1">BE$5-AB10</f>
        <v>-4.170609408007806</v>
      </c>
      <c r="BF10" s="60">
        <f ca="1">BF$5-AC10</f>
        <v>1.0173043164770803</v>
      </c>
      <c r="BG10" s="60">
        <f ca="1">BG$5-AD10</f>
        <v>1.9852587050185093</v>
      </c>
      <c r="BH10" s="60">
        <f ca="1">BH$5-AE10</f>
        <v>-3.0454077696324333</v>
      </c>
      <c r="BI10" s="60">
        <f ca="1">BI$5-AF10</f>
        <v>-7.3914944887451952</v>
      </c>
      <c r="BJ10" s="60">
        <f ca="1">BJ$5-AG10</f>
        <v>-2.56044894232123</v>
      </c>
      <c r="BK10" s="60" t="e">
        <f>BK$5-AH10</f>
        <v>#N/A</v>
      </c>
      <c r="BL10" s="60" t="e">
        <f>BL$5-AI10</f>
        <v>#N/A</v>
      </c>
      <c r="BM10" s="60" t="e">
        <f>BM$5-AJ10</f>
        <v>#N/A</v>
      </c>
      <c r="BN10" s="60" t="e">
        <f>BN$5-AK10</f>
        <v>#N/A</v>
      </c>
      <c r="BO10" s="60" t="e">
        <f>BO$5-AL10</f>
        <v>#N/A</v>
      </c>
      <c r="BP10" s="60" t="e">
        <f>BP$5-AM10</f>
        <v>#N/A</v>
      </c>
      <c r="BQ10" s="60" t="e">
        <f>BQ$5-AN10</f>
        <v>#N/A</v>
      </c>
      <c r="BR10" s="60" t="e">
        <f>BR$5-AO10</f>
        <v>#N/A</v>
      </c>
      <c r="BS10" s="60" t="e">
        <f>BS$5-AP10</f>
        <v>#N/A</v>
      </c>
      <c r="BT10" s="60" t="e">
        <f>BT$5-AQ10</f>
        <v>#N/A</v>
      </c>
      <c r="BV10" s="60" cm="1">
        <f t="array" aca="1" ref="BV10" ca="1">SQRT(SUMSQ(_xlfn._xlws.FILTER(AV10:BT10,ISNUMBER(AV10:BT10)))/COUNT(_xlfn._xlws.FILTER(AV10:BT10,ISNUMBER(AV10:BT10))))</f>
        <v>4.1822043530937609</v>
      </c>
    </row>
    <row r="11" spans="2:75" x14ac:dyDescent="0.2">
      <c r="C11" s="60" t="s">
        <v>302</v>
      </c>
      <c r="D11" s="60">
        <v>0</v>
      </c>
      <c r="E11" s="60">
        <v>-2</v>
      </c>
      <c r="F11" s="60">
        <v>-4</v>
      </c>
      <c r="G11" s="60">
        <v>-6</v>
      </c>
      <c r="H11" s="60">
        <v>-4</v>
      </c>
      <c r="I11" s="60">
        <v>-6</v>
      </c>
      <c r="J11" s="60">
        <v>-4</v>
      </c>
      <c r="K11" s="60">
        <v>-4</v>
      </c>
      <c r="L11" s="60">
        <v>-4</v>
      </c>
      <c r="M11" s="60">
        <v>-4</v>
      </c>
      <c r="N11" s="60">
        <v>0</v>
      </c>
      <c r="O11" s="60">
        <v>-2</v>
      </c>
      <c r="P11" s="60">
        <v>0</v>
      </c>
      <c r="R11" s="61">
        <f>(ROW(R11)-ROW($C$6))</f>
        <v>5</v>
      </c>
      <c r="S11" s="60">
        <f ca="1">100+HLOOKUP(S$4,$D$7:$P$336,$R11,FALSE)-HLOOKUP(S$3,$D$7:$P$336,$R11,FALSE)</f>
        <v>100</v>
      </c>
      <c r="T11" s="60">
        <f ca="1">100+HLOOKUP(T$4,$D$7:$P$336,$R11,FALSE)-HLOOKUP(T$3,$D$7:$P$336,$R11,FALSE)</f>
        <v>98</v>
      </c>
      <c r="U11" s="60">
        <f ca="1">100+HLOOKUP(U$4,$D$7:$P$336,$R11,FALSE)-HLOOKUP(U$3,$D$7:$P$336,$R11,FALSE)</f>
        <v>98</v>
      </c>
      <c r="V11" s="60">
        <f ca="1">100+HLOOKUP(V$4,$D$7:$P$336,$R11,FALSE)-HLOOKUP(V$3,$D$7:$P$336,$R11,FALSE)</f>
        <v>94</v>
      </c>
      <c r="W11" s="60">
        <f ca="1">100+HLOOKUP(W$4,$D$7:$P$336,$R11,FALSE)-HLOOKUP(W$3,$D$7:$P$336,$R11,FALSE)</f>
        <v>96</v>
      </c>
      <c r="X11" s="60">
        <f ca="1">100+HLOOKUP(X$4,$D$7:$P$336,$R11,FALSE)-HLOOKUP(X$3,$D$7:$P$336,$R11,FALSE)</f>
        <v>100</v>
      </c>
      <c r="Y11" s="60">
        <f ca="1">100+HLOOKUP(Y$4,$D$7:$P$336,$R11,FALSE)-HLOOKUP(Y$3,$D$7:$P$336,$R11,FALSE)</f>
        <v>98</v>
      </c>
      <c r="Z11" s="60">
        <f ca="1">100+HLOOKUP(Z$4,$D$7:$P$336,$R11,FALSE)-HLOOKUP(Z$3,$D$7:$P$336,$R11,FALSE)</f>
        <v>98</v>
      </c>
      <c r="AA11" s="60">
        <f ca="1">100+HLOOKUP(AA$4,$D$7:$P$336,$R11,FALSE)-HLOOKUP(AA$3,$D$7:$P$336,$R11,FALSE)</f>
        <v>94</v>
      </c>
      <c r="AB11" s="60">
        <f ca="1">100+HLOOKUP(AB$4,$D$7:$P$336,$R11,FALSE)-HLOOKUP(AB$3,$D$7:$P$336,$R11,FALSE)</f>
        <v>96</v>
      </c>
      <c r="AC11" s="60">
        <f ca="1">100+HLOOKUP(AC$4,$D$7:$P$336,$R11,FALSE)-HLOOKUP(AC$3,$D$7:$P$336,$R11,FALSE)</f>
        <v>100</v>
      </c>
      <c r="AD11" s="60">
        <f ca="1">100+HLOOKUP(AD$4,$D$7:$P$336,$R11,FALSE)-HLOOKUP(AD$3,$D$7:$P$336,$R11,FALSE)</f>
        <v>102</v>
      </c>
      <c r="AE11" s="60">
        <f ca="1">100+HLOOKUP(AE$4,$D$7:$P$336,$R11,FALSE)-HLOOKUP(AE$3,$D$7:$P$336,$R11,FALSE)</f>
        <v>102</v>
      </c>
      <c r="AF11" s="60">
        <f ca="1">100+HLOOKUP(AF$4,$D$7:$P$336,$R11,FALSE)-HLOOKUP(AF$3,$D$7:$P$336,$R11,FALSE)</f>
        <v>98</v>
      </c>
      <c r="AG11" s="60">
        <f ca="1">100+HLOOKUP(AG$4,$D$7:$P$336,$R11,FALSE)-HLOOKUP(AG$3,$D$7:$P$336,$R11,FALSE)</f>
        <v>94</v>
      </c>
      <c r="AH11" s="60" t="e">
        <f>100+HLOOKUP(AH$4,$D$7:$P$336,$R11,FALSE)-HLOOKUP(AH$3,$D$7:$P$336,$R11,FALSE)</f>
        <v>#N/A</v>
      </c>
      <c r="AI11" s="60" t="e">
        <f>100+HLOOKUP(AI$4,$D$7:$P$336,$R11,FALSE)-HLOOKUP(AI$3,$D$7:$P$336,$R11,FALSE)</f>
        <v>#N/A</v>
      </c>
      <c r="AJ11" s="60" t="e">
        <f>100+HLOOKUP(AJ$4,$D$7:$P$336,$R11,FALSE)-HLOOKUP(AJ$3,$D$7:$P$336,$R11,FALSE)</f>
        <v>#N/A</v>
      </c>
      <c r="AK11" s="60" t="e">
        <f>100+HLOOKUP(AK$4,$D$7:$P$336,$R11,FALSE)-HLOOKUP(AK$3,$D$7:$P$336,$R11,FALSE)</f>
        <v>#N/A</v>
      </c>
      <c r="AL11" s="60" t="e">
        <f>100+HLOOKUP(AL$4,$D$7:$P$336,$R11,FALSE)-HLOOKUP(AL$3,$D$7:$P$336,$R11,FALSE)</f>
        <v>#N/A</v>
      </c>
      <c r="AM11" s="60" t="e">
        <f>100+HLOOKUP(AM$4,$D$7:$P$336,$R11,FALSE)-HLOOKUP(AM$3,$D$7:$P$336,$R11,FALSE)</f>
        <v>#N/A</v>
      </c>
      <c r="AN11" s="60" t="e">
        <f>100+HLOOKUP(AN$4,$D$7:$P$336,$R11,FALSE)-HLOOKUP(AN$3,$D$7:$P$336,$R11,FALSE)</f>
        <v>#N/A</v>
      </c>
      <c r="AO11" s="60" t="e">
        <f>100+HLOOKUP(AO$4,$D$7:$P$336,$R11,FALSE)-HLOOKUP(AO$3,$D$7:$P$336,$R11,FALSE)</f>
        <v>#N/A</v>
      </c>
      <c r="AP11" s="60" t="e">
        <f>100+HLOOKUP(AP$4,$D$7:$P$336,$R11,FALSE)-HLOOKUP(AP$3,$D$7:$P$336,$R11,FALSE)</f>
        <v>#N/A</v>
      </c>
      <c r="AQ11" s="60" t="e">
        <f>100+HLOOKUP(AQ$4,$D$7:$P$336,$R11,FALSE)-HLOOKUP(AQ$3,$D$7:$P$336,$R11,FALSE)</f>
        <v>#N/A</v>
      </c>
      <c r="AV11" s="60">
        <f ca="1">AV$5-S11</f>
        <v>3.1903994267964322</v>
      </c>
      <c r="AW11" s="60">
        <f ca="1">AW$5-T11</f>
        <v>-3.7793494702422521</v>
      </c>
      <c r="AX11" s="60">
        <f ca="1">AX$5-U11</f>
        <v>3.7759154036680513</v>
      </c>
      <c r="AY11" s="60">
        <f ca="1">AY$5-V11</f>
        <v>-0.39698559847219883</v>
      </c>
      <c r="AZ11" s="60">
        <f ca="1">AZ$5-W11</f>
        <v>1.4544821725960304</v>
      </c>
      <c r="BA11" s="60">
        <f ca="1">BA$5-X11</f>
        <v>-1.5349409410172967</v>
      </c>
      <c r="BB11" s="60">
        <f ca="1">BB$5-Y11</f>
        <v>-4.6494072726188733</v>
      </c>
      <c r="BC11" s="60">
        <f ca="1">BC$5-Z11</f>
        <v>9.4374659098821638</v>
      </c>
      <c r="BD11" s="60">
        <f ca="1">BD$5-AA11</f>
        <v>3.936518664382362</v>
      </c>
      <c r="BE11" s="60">
        <f ca="1">BE$5-AB11</f>
        <v>-4.170609408007806</v>
      </c>
      <c r="BF11" s="60">
        <f ca="1">BF$5-AC11</f>
        <v>1.0173043164770803</v>
      </c>
      <c r="BG11" s="60">
        <f ca="1">BG$5-AD11</f>
        <v>1.9852587050185093</v>
      </c>
      <c r="BH11" s="60">
        <f ca="1">BH$5-AE11</f>
        <v>-3.0454077696324333</v>
      </c>
      <c r="BI11" s="60">
        <f ca="1">BI$5-AF11</f>
        <v>-7.3914944887451952</v>
      </c>
      <c r="BJ11" s="60">
        <f ca="1">BJ$5-AG11</f>
        <v>-2.56044894232123</v>
      </c>
      <c r="BK11" s="60" t="e">
        <f>BK$5-AH11</f>
        <v>#N/A</v>
      </c>
      <c r="BL11" s="60" t="e">
        <f>BL$5-AI11</f>
        <v>#N/A</v>
      </c>
      <c r="BM11" s="60" t="e">
        <f>BM$5-AJ11</f>
        <v>#N/A</v>
      </c>
      <c r="BN11" s="60" t="e">
        <f>BN$5-AK11</f>
        <v>#N/A</v>
      </c>
      <c r="BO11" s="60" t="e">
        <f>BO$5-AL11</f>
        <v>#N/A</v>
      </c>
      <c r="BP11" s="60" t="e">
        <f>BP$5-AM11</f>
        <v>#N/A</v>
      </c>
      <c r="BQ11" s="60" t="e">
        <f>BQ$5-AN11</f>
        <v>#N/A</v>
      </c>
      <c r="BR11" s="60" t="e">
        <f>BR$5-AO11</f>
        <v>#N/A</v>
      </c>
      <c r="BS11" s="60" t="e">
        <f>BS$5-AP11</f>
        <v>#N/A</v>
      </c>
      <c r="BT11" s="60" t="e">
        <f>BT$5-AQ11</f>
        <v>#N/A</v>
      </c>
      <c r="BV11" s="60" cm="1">
        <f t="array" aca="1" ref="BV11" ca="1">SQRT(SUMSQ(_xlfn._xlws.FILTER(AV11:BT11,ISNUMBER(AV11:BT11)))/COUNT(_xlfn._xlws.FILTER(AV11:BT11,ISNUMBER(AV11:BT11))))</f>
        <v>4.1822043530937609</v>
      </c>
    </row>
    <row r="12" spans="2:75" x14ac:dyDescent="0.2">
      <c r="C12" s="60" t="s">
        <v>401</v>
      </c>
      <c r="D12" s="60">
        <v>0</v>
      </c>
      <c r="E12" s="60">
        <v>-2</v>
      </c>
      <c r="F12" s="60">
        <v>-4</v>
      </c>
      <c r="G12" s="60">
        <v>-6</v>
      </c>
      <c r="H12" s="60">
        <v>-6</v>
      </c>
      <c r="I12" s="60">
        <v>-6</v>
      </c>
      <c r="J12" s="60">
        <v>-6</v>
      </c>
      <c r="K12" s="60">
        <v>-4</v>
      </c>
      <c r="L12" s="60">
        <v>-2</v>
      </c>
      <c r="M12" s="60">
        <v>0</v>
      </c>
      <c r="N12" s="60">
        <v>0</v>
      </c>
      <c r="O12" s="60">
        <v>0</v>
      </c>
      <c r="P12" s="60">
        <v>0</v>
      </c>
      <c r="R12" s="61">
        <f>(ROW(R12)-ROW($C$6))</f>
        <v>6</v>
      </c>
      <c r="S12" s="60">
        <f ca="1">100+HLOOKUP(S$4,$D$7:$P$336,$R12,FALSE)-HLOOKUP(S$3,$D$7:$P$336,$R12,FALSE)</f>
        <v>94</v>
      </c>
      <c r="T12" s="60">
        <f ca="1">100+HLOOKUP(T$4,$D$7:$P$336,$R12,FALSE)-HLOOKUP(T$3,$D$7:$P$336,$R12,FALSE)</f>
        <v>94</v>
      </c>
      <c r="U12" s="60">
        <f ca="1">100+HLOOKUP(U$4,$D$7:$P$336,$R12,FALSE)-HLOOKUP(U$3,$D$7:$P$336,$R12,FALSE)</f>
        <v>100</v>
      </c>
      <c r="V12" s="60">
        <f ca="1">100+HLOOKUP(V$4,$D$7:$P$336,$R12,FALSE)-HLOOKUP(V$3,$D$7:$P$336,$R12,FALSE)</f>
        <v>94</v>
      </c>
      <c r="W12" s="60">
        <f ca="1">100+HLOOKUP(W$4,$D$7:$P$336,$R12,FALSE)-HLOOKUP(W$3,$D$7:$P$336,$R12,FALSE)</f>
        <v>96</v>
      </c>
      <c r="X12" s="60">
        <f ca="1">100+HLOOKUP(X$4,$D$7:$P$336,$R12,FALSE)-HLOOKUP(X$3,$D$7:$P$336,$R12,FALSE)</f>
        <v>94</v>
      </c>
      <c r="Y12" s="60">
        <f ca="1">100+HLOOKUP(Y$4,$D$7:$P$336,$R12,FALSE)-HLOOKUP(Y$3,$D$7:$P$336,$R12,FALSE)</f>
        <v>94</v>
      </c>
      <c r="Z12" s="60">
        <f ca="1">100+HLOOKUP(Z$4,$D$7:$P$336,$R12,FALSE)-HLOOKUP(Z$3,$D$7:$P$336,$R12,FALSE)</f>
        <v>100</v>
      </c>
      <c r="AA12" s="60">
        <f ca="1">100+HLOOKUP(AA$4,$D$7:$P$336,$R12,FALSE)-HLOOKUP(AA$3,$D$7:$P$336,$R12,FALSE)</f>
        <v>94</v>
      </c>
      <c r="AB12" s="60">
        <f ca="1">100+HLOOKUP(AB$4,$D$7:$P$336,$R12,FALSE)-HLOOKUP(AB$3,$D$7:$P$336,$R12,FALSE)</f>
        <v>96</v>
      </c>
      <c r="AC12" s="60">
        <f ca="1">100+HLOOKUP(AC$4,$D$7:$P$336,$R12,FALSE)-HLOOKUP(AC$3,$D$7:$P$336,$R12,FALSE)</f>
        <v>104</v>
      </c>
      <c r="AD12" s="60">
        <f ca="1">100+HLOOKUP(AD$4,$D$7:$P$336,$R12,FALSE)-HLOOKUP(AD$3,$D$7:$P$336,$R12,FALSE)</f>
        <v>106</v>
      </c>
      <c r="AE12" s="60">
        <f ca="1">100+HLOOKUP(AE$4,$D$7:$P$336,$R12,FALSE)-HLOOKUP(AE$3,$D$7:$P$336,$R12,FALSE)</f>
        <v>104</v>
      </c>
      <c r="AF12" s="60">
        <f ca="1">100+HLOOKUP(AF$4,$D$7:$P$336,$R12,FALSE)-HLOOKUP(AF$3,$D$7:$P$336,$R12,FALSE)</f>
        <v>96</v>
      </c>
      <c r="AG12" s="60">
        <f ca="1">100+HLOOKUP(AG$4,$D$7:$P$336,$R12,FALSE)-HLOOKUP(AG$3,$D$7:$P$336,$R12,FALSE)</f>
        <v>94</v>
      </c>
      <c r="AH12" s="60" t="e">
        <f>100+HLOOKUP(AH$4,$D$7:$P$336,$R12,FALSE)-HLOOKUP(AH$3,$D$7:$P$336,$R12,FALSE)</f>
        <v>#N/A</v>
      </c>
      <c r="AI12" s="60" t="e">
        <f>100+HLOOKUP(AI$4,$D$7:$P$336,$R12,FALSE)-HLOOKUP(AI$3,$D$7:$P$336,$R12,FALSE)</f>
        <v>#N/A</v>
      </c>
      <c r="AJ12" s="60" t="e">
        <f>100+HLOOKUP(AJ$4,$D$7:$P$336,$R12,FALSE)-HLOOKUP(AJ$3,$D$7:$P$336,$R12,FALSE)</f>
        <v>#N/A</v>
      </c>
      <c r="AK12" s="60" t="e">
        <f>100+HLOOKUP(AK$4,$D$7:$P$336,$R12,FALSE)-HLOOKUP(AK$3,$D$7:$P$336,$R12,FALSE)</f>
        <v>#N/A</v>
      </c>
      <c r="AL12" s="60" t="e">
        <f>100+HLOOKUP(AL$4,$D$7:$P$336,$R12,FALSE)-HLOOKUP(AL$3,$D$7:$P$336,$R12,FALSE)</f>
        <v>#N/A</v>
      </c>
      <c r="AM12" s="60" t="e">
        <f>100+HLOOKUP(AM$4,$D$7:$P$336,$R12,FALSE)-HLOOKUP(AM$3,$D$7:$P$336,$R12,FALSE)</f>
        <v>#N/A</v>
      </c>
      <c r="AN12" s="60" t="e">
        <f>100+HLOOKUP(AN$4,$D$7:$P$336,$R12,FALSE)-HLOOKUP(AN$3,$D$7:$P$336,$R12,FALSE)</f>
        <v>#N/A</v>
      </c>
      <c r="AO12" s="60" t="e">
        <f>100+HLOOKUP(AO$4,$D$7:$P$336,$R12,FALSE)-HLOOKUP(AO$3,$D$7:$P$336,$R12,FALSE)</f>
        <v>#N/A</v>
      </c>
      <c r="AP12" s="60" t="e">
        <f>100+HLOOKUP(AP$4,$D$7:$P$336,$R12,FALSE)-HLOOKUP(AP$3,$D$7:$P$336,$R12,FALSE)</f>
        <v>#N/A</v>
      </c>
      <c r="AQ12" s="60" t="e">
        <f>100+HLOOKUP(AQ$4,$D$7:$P$336,$R12,FALSE)-HLOOKUP(AQ$3,$D$7:$P$336,$R12,FALSE)</f>
        <v>#N/A</v>
      </c>
      <c r="AV12" s="60">
        <f ca="1">AV$5-S12</f>
        <v>9.1903994267964322</v>
      </c>
      <c r="AW12" s="60">
        <f ca="1">AW$5-T12</f>
        <v>0.2206505297577479</v>
      </c>
      <c r="AX12" s="60">
        <f ca="1">AX$5-U12</f>
        <v>1.7759154036680513</v>
      </c>
      <c r="AY12" s="60">
        <f ca="1">AY$5-V12</f>
        <v>-0.39698559847219883</v>
      </c>
      <c r="AZ12" s="60">
        <f ca="1">AZ$5-W12</f>
        <v>1.4544821725960304</v>
      </c>
      <c r="BA12" s="60">
        <f ca="1">BA$5-X12</f>
        <v>4.4650590589827033</v>
      </c>
      <c r="BB12" s="60">
        <f ca="1">BB$5-Y12</f>
        <v>-0.64940727261887332</v>
      </c>
      <c r="BC12" s="60">
        <f ca="1">BC$5-Z12</f>
        <v>7.4374659098821638</v>
      </c>
      <c r="BD12" s="60">
        <f ca="1">BD$5-AA12</f>
        <v>3.936518664382362</v>
      </c>
      <c r="BE12" s="60">
        <f ca="1">BE$5-AB12</f>
        <v>-4.170609408007806</v>
      </c>
      <c r="BF12" s="60">
        <f ca="1">BF$5-AC12</f>
        <v>-2.9826956835229197</v>
      </c>
      <c r="BG12" s="60">
        <f ca="1">BG$5-AD12</f>
        <v>-2.0147412949814907</v>
      </c>
      <c r="BH12" s="60">
        <f ca="1">BH$5-AE12</f>
        <v>-5.0454077696324333</v>
      </c>
      <c r="BI12" s="60">
        <f ca="1">BI$5-AF12</f>
        <v>-5.3914944887451952</v>
      </c>
      <c r="BJ12" s="60">
        <f ca="1">BJ$5-AG12</f>
        <v>-2.56044894232123</v>
      </c>
      <c r="BK12" s="60" t="e">
        <f>BK$5-AH12</f>
        <v>#N/A</v>
      </c>
      <c r="BL12" s="60" t="e">
        <f>BL$5-AI12</f>
        <v>#N/A</v>
      </c>
      <c r="BM12" s="60" t="e">
        <f>BM$5-AJ12</f>
        <v>#N/A</v>
      </c>
      <c r="BN12" s="60" t="e">
        <f>BN$5-AK12</f>
        <v>#N/A</v>
      </c>
      <c r="BO12" s="60" t="e">
        <f>BO$5-AL12</f>
        <v>#N/A</v>
      </c>
      <c r="BP12" s="60" t="e">
        <f>BP$5-AM12</f>
        <v>#N/A</v>
      </c>
      <c r="BQ12" s="60" t="e">
        <f>BQ$5-AN12</f>
        <v>#N/A</v>
      </c>
      <c r="BR12" s="60" t="e">
        <f>BR$5-AO12</f>
        <v>#N/A</v>
      </c>
      <c r="BS12" s="60" t="e">
        <f>BS$5-AP12</f>
        <v>#N/A</v>
      </c>
      <c r="BT12" s="60" t="e">
        <f>BT$5-AQ12</f>
        <v>#N/A</v>
      </c>
      <c r="BV12" s="60" cm="1">
        <f t="array" aca="1" ref="BV12" ca="1">SQRT(SUMSQ(_xlfn._xlws.FILTER(AV12:BT12,ISNUMBER(AV12:BT12)))/COUNT(_xlfn._xlws.FILTER(AV12:BT12,ISNUMBER(AV12:BT12))))</f>
        <v>4.2625467375689077</v>
      </c>
    </row>
    <row r="13" spans="2:75" x14ac:dyDescent="0.2">
      <c r="C13" s="60" t="s">
        <v>460</v>
      </c>
      <c r="D13" s="60">
        <v>0</v>
      </c>
      <c r="E13" s="60">
        <v>-2</v>
      </c>
      <c r="F13" s="60">
        <v>-4</v>
      </c>
      <c r="G13" s="60">
        <v>-6</v>
      </c>
      <c r="H13" s="60">
        <v>-4</v>
      </c>
      <c r="I13" s="60">
        <v>-6</v>
      </c>
      <c r="J13" s="60">
        <v>-6</v>
      </c>
      <c r="K13" s="60">
        <v>-6</v>
      </c>
      <c r="L13" s="60">
        <v>-4</v>
      </c>
      <c r="M13" s="60">
        <v>-2</v>
      </c>
      <c r="N13" s="60">
        <v>-2</v>
      </c>
      <c r="O13" s="60">
        <v>-2</v>
      </c>
      <c r="P13" s="60">
        <v>0</v>
      </c>
      <c r="R13" s="61">
        <f>(ROW(R13)-ROW($C$6))</f>
        <v>7</v>
      </c>
      <c r="S13" s="60">
        <f ca="1">100+HLOOKUP(S$4,$D$7:$P$336,$R13,FALSE)-HLOOKUP(S$3,$D$7:$P$336,$R13,FALSE)</f>
        <v>98</v>
      </c>
      <c r="T13" s="60">
        <f ca="1">100+HLOOKUP(T$4,$D$7:$P$336,$R13,FALSE)-HLOOKUP(T$3,$D$7:$P$336,$R13,FALSE)</f>
        <v>96</v>
      </c>
      <c r="U13" s="60">
        <f ca="1">100+HLOOKUP(U$4,$D$7:$P$336,$R13,FALSE)-HLOOKUP(U$3,$D$7:$P$336,$R13,FALSE)</f>
        <v>98</v>
      </c>
      <c r="V13" s="60">
        <f ca="1">100+HLOOKUP(V$4,$D$7:$P$336,$R13,FALSE)-HLOOKUP(V$3,$D$7:$P$336,$R13,FALSE)</f>
        <v>96</v>
      </c>
      <c r="W13" s="60">
        <f ca="1">100+HLOOKUP(W$4,$D$7:$P$336,$R13,FALSE)-HLOOKUP(W$3,$D$7:$P$336,$R13,FALSE)</f>
        <v>94</v>
      </c>
      <c r="X13" s="60">
        <f ca="1">100+HLOOKUP(X$4,$D$7:$P$336,$R13,FALSE)-HLOOKUP(X$3,$D$7:$P$336,$R13,FALSE)</f>
        <v>98</v>
      </c>
      <c r="Y13" s="60">
        <f ca="1">100+HLOOKUP(Y$4,$D$7:$P$336,$R13,FALSE)-HLOOKUP(Y$3,$D$7:$P$336,$R13,FALSE)</f>
        <v>96</v>
      </c>
      <c r="Z13" s="60">
        <f ca="1">100+HLOOKUP(Z$4,$D$7:$P$336,$R13,FALSE)-HLOOKUP(Z$3,$D$7:$P$336,$R13,FALSE)</f>
        <v>98</v>
      </c>
      <c r="AA13" s="60">
        <f ca="1">100+HLOOKUP(AA$4,$D$7:$P$336,$R13,FALSE)-HLOOKUP(AA$3,$D$7:$P$336,$R13,FALSE)</f>
        <v>96</v>
      </c>
      <c r="AB13" s="60">
        <f ca="1">100+HLOOKUP(AB$4,$D$7:$P$336,$R13,FALSE)-HLOOKUP(AB$3,$D$7:$P$336,$R13,FALSE)</f>
        <v>94</v>
      </c>
      <c r="AC13" s="60">
        <f ca="1">100+HLOOKUP(AC$4,$D$7:$P$336,$R13,FALSE)-HLOOKUP(AC$3,$D$7:$P$336,$R13,FALSE)</f>
        <v>102</v>
      </c>
      <c r="AD13" s="60">
        <f ca="1">100+HLOOKUP(AD$4,$D$7:$P$336,$R13,FALSE)-HLOOKUP(AD$3,$D$7:$P$336,$R13,FALSE)</f>
        <v>102</v>
      </c>
      <c r="AE13" s="60">
        <f ca="1">100+HLOOKUP(AE$4,$D$7:$P$336,$R13,FALSE)-HLOOKUP(AE$3,$D$7:$P$336,$R13,FALSE)</f>
        <v>104</v>
      </c>
      <c r="AF13" s="60">
        <f ca="1">100+HLOOKUP(AF$4,$D$7:$P$336,$R13,FALSE)-HLOOKUP(AF$3,$D$7:$P$336,$R13,FALSE)</f>
        <v>98</v>
      </c>
      <c r="AG13" s="60">
        <f ca="1">100+HLOOKUP(AG$4,$D$7:$P$336,$R13,FALSE)-HLOOKUP(AG$3,$D$7:$P$336,$R13,FALSE)</f>
        <v>96</v>
      </c>
      <c r="AH13" s="60" t="e">
        <f>100+HLOOKUP(AH$4,$D$7:$P$336,$R13,FALSE)-HLOOKUP(AH$3,$D$7:$P$336,$R13,FALSE)</f>
        <v>#N/A</v>
      </c>
      <c r="AI13" s="60" t="e">
        <f>100+HLOOKUP(AI$4,$D$7:$P$336,$R13,FALSE)-HLOOKUP(AI$3,$D$7:$P$336,$R13,FALSE)</f>
        <v>#N/A</v>
      </c>
      <c r="AJ13" s="60" t="e">
        <f>100+HLOOKUP(AJ$4,$D$7:$P$336,$R13,FALSE)-HLOOKUP(AJ$3,$D$7:$P$336,$R13,FALSE)</f>
        <v>#N/A</v>
      </c>
      <c r="AK13" s="60" t="e">
        <f>100+HLOOKUP(AK$4,$D$7:$P$336,$R13,FALSE)-HLOOKUP(AK$3,$D$7:$P$336,$R13,FALSE)</f>
        <v>#N/A</v>
      </c>
      <c r="AL13" s="60" t="e">
        <f>100+HLOOKUP(AL$4,$D$7:$P$336,$R13,FALSE)-HLOOKUP(AL$3,$D$7:$P$336,$R13,FALSE)</f>
        <v>#N/A</v>
      </c>
      <c r="AM13" s="60" t="e">
        <f>100+HLOOKUP(AM$4,$D$7:$P$336,$R13,FALSE)-HLOOKUP(AM$3,$D$7:$P$336,$R13,FALSE)</f>
        <v>#N/A</v>
      </c>
      <c r="AN13" s="60" t="e">
        <f>100+HLOOKUP(AN$4,$D$7:$P$336,$R13,FALSE)-HLOOKUP(AN$3,$D$7:$P$336,$R13,FALSE)</f>
        <v>#N/A</v>
      </c>
      <c r="AO13" s="60" t="e">
        <f>100+HLOOKUP(AO$4,$D$7:$P$336,$R13,FALSE)-HLOOKUP(AO$3,$D$7:$P$336,$R13,FALSE)</f>
        <v>#N/A</v>
      </c>
      <c r="AP13" s="60" t="e">
        <f>100+HLOOKUP(AP$4,$D$7:$P$336,$R13,FALSE)-HLOOKUP(AP$3,$D$7:$P$336,$R13,FALSE)</f>
        <v>#N/A</v>
      </c>
      <c r="AQ13" s="60" t="e">
        <f>100+HLOOKUP(AQ$4,$D$7:$P$336,$R13,FALSE)-HLOOKUP(AQ$3,$D$7:$P$336,$R13,FALSE)</f>
        <v>#N/A</v>
      </c>
      <c r="AV13" s="60">
        <f ca="1">AV$5-S13</f>
        <v>5.1903994267964322</v>
      </c>
      <c r="AW13" s="60">
        <f ca="1">AW$5-T13</f>
        <v>-1.7793494702422521</v>
      </c>
      <c r="AX13" s="60">
        <f ca="1">AX$5-U13</f>
        <v>3.7759154036680513</v>
      </c>
      <c r="AY13" s="60">
        <f ca="1">AY$5-V13</f>
        <v>-2.3969855984721988</v>
      </c>
      <c r="AZ13" s="60">
        <f ca="1">AZ$5-W13</f>
        <v>3.4544821725960304</v>
      </c>
      <c r="BA13" s="60">
        <f ca="1">BA$5-X13</f>
        <v>0.46505905898270328</v>
      </c>
      <c r="BB13" s="60">
        <f ca="1">BB$5-Y13</f>
        <v>-2.6494072726188733</v>
      </c>
      <c r="BC13" s="60">
        <f ca="1">BC$5-Z13</f>
        <v>9.4374659098821638</v>
      </c>
      <c r="BD13" s="60">
        <f ca="1">BD$5-AA13</f>
        <v>1.936518664382362</v>
      </c>
      <c r="BE13" s="60">
        <f ca="1">BE$5-AB13</f>
        <v>-2.170609408007806</v>
      </c>
      <c r="BF13" s="60">
        <f ca="1">BF$5-AC13</f>
        <v>-0.98269568352291969</v>
      </c>
      <c r="BG13" s="60">
        <f ca="1">BG$5-AD13</f>
        <v>1.9852587050185093</v>
      </c>
      <c r="BH13" s="60">
        <f ca="1">BH$5-AE13</f>
        <v>-5.0454077696324333</v>
      </c>
      <c r="BI13" s="60">
        <f ca="1">BI$5-AF13</f>
        <v>-7.3914944887451952</v>
      </c>
      <c r="BJ13" s="60">
        <f ca="1">BJ$5-AG13</f>
        <v>-4.56044894232123</v>
      </c>
      <c r="BK13" s="60" t="e">
        <f>BK$5-AH13</f>
        <v>#N/A</v>
      </c>
      <c r="BL13" s="60" t="e">
        <f>BL$5-AI13</f>
        <v>#N/A</v>
      </c>
      <c r="BM13" s="60" t="e">
        <f>BM$5-AJ13</f>
        <v>#N/A</v>
      </c>
      <c r="BN13" s="60" t="e">
        <f>BN$5-AK13</f>
        <v>#N/A</v>
      </c>
      <c r="BO13" s="60" t="e">
        <f>BO$5-AL13</f>
        <v>#N/A</v>
      </c>
      <c r="BP13" s="60" t="e">
        <f>BP$5-AM13</f>
        <v>#N/A</v>
      </c>
      <c r="BQ13" s="60" t="e">
        <f>BQ$5-AN13</f>
        <v>#N/A</v>
      </c>
      <c r="BR13" s="60" t="e">
        <f>BR$5-AO13</f>
        <v>#N/A</v>
      </c>
      <c r="BS13" s="60" t="e">
        <f>BS$5-AP13</f>
        <v>#N/A</v>
      </c>
      <c r="BT13" s="60" t="e">
        <f>BT$5-AQ13</f>
        <v>#N/A</v>
      </c>
      <c r="BV13" s="60" cm="1">
        <f t="array" aca="1" ref="BV13" ca="1">SQRT(SUMSQ(_xlfn._xlws.FILTER(AV13:BT13,ISNUMBER(AV13:BT13)))/COUNT(_xlfn._xlws.FILTER(AV13:BT13,ISNUMBER(AV13:BT13))))</f>
        <v>4.2630261091845441</v>
      </c>
    </row>
    <row r="14" spans="2:75" x14ac:dyDescent="0.2">
      <c r="C14" s="60" t="s">
        <v>404</v>
      </c>
      <c r="D14" s="60">
        <v>0</v>
      </c>
      <c r="E14" s="60">
        <v>-2</v>
      </c>
      <c r="F14" s="60">
        <v>-4</v>
      </c>
      <c r="G14" s="60">
        <v>-6</v>
      </c>
      <c r="H14" s="60">
        <v>-6</v>
      </c>
      <c r="I14" s="60">
        <v>-4</v>
      </c>
      <c r="J14" s="60">
        <v>-4</v>
      </c>
      <c r="K14" s="60">
        <v>-4</v>
      </c>
      <c r="L14" s="60">
        <v>-2</v>
      </c>
      <c r="M14" s="60">
        <v>-2</v>
      </c>
      <c r="N14" s="60">
        <v>-2</v>
      </c>
      <c r="O14" s="60">
        <v>-2</v>
      </c>
      <c r="P14" s="60">
        <v>0</v>
      </c>
      <c r="R14" s="61">
        <f>(ROW(R14)-ROW($C$6))</f>
        <v>8</v>
      </c>
      <c r="S14" s="60">
        <f ca="1">100+HLOOKUP(S$4,$D$7:$P$336,$R14,FALSE)-HLOOKUP(S$3,$D$7:$P$336,$R14,FALSE)</f>
        <v>96</v>
      </c>
      <c r="T14" s="60">
        <f ca="1">100+HLOOKUP(T$4,$D$7:$P$336,$R14,FALSE)-HLOOKUP(T$3,$D$7:$P$336,$R14,FALSE)</f>
        <v>98</v>
      </c>
      <c r="U14" s="60">
        <f ca="1">100+HLOOKUP(U$4,$D$7:$P$336,$R14,FALSE)-HLOOKUP(U$3,$D$7:$P$336,$R14,FALSE)</f>
        <v>100</v>
      </c>
      <c r="V14" s="60">
        <f ca="1">100+HLOOKUP(V$4,$D$7:$P$336,$R14,FALSE)-HLOOKUP(V$3,$D$7:$P$336,$R14,FALSE)</f>
        <v>98</v>
      </c>
      <c r="W14" s="60">
        <f ca="1">100+HLOOKUP(W$4,$D$7:$P$336,$R14,FALSE)-HLOOKUP(W$3,$D$7:$P$336,$R14,FALSE)</f>
        <v>96</v>
      </c>
      <c r="X14" s="60">
        <f ca="1">100+HLOOKUP(X$4,$D$7:$P$336,$R14,FALSE)-HLOOKUP(X$3,$D$7:$P$336,$R14,FALSE)</f>
        <v>96</v>
      </c>
      <c r="Y14" s="60">
        <f ca="1">100+HLOOKUP(Y$4,$D$7:$P$336,$R14,FALSE)-HLOOKUP(Y$3,$D$7:$P$336,$R14,FALSE)</f>
        <v>98</v>
      </c>
      <c r="Z14" s="60">
        <f ca="1">100+HLOOKUP(Z$4,$D$7:$P$336,$R14,FALSE)-HLOOKUP(Z$3,$D$7:$P$336,$R14,FALSE)</f>
        <v>100</v>
      </c>
      <c r="AA14" s="60">
        <f ca="1">100+HLOOKUP(AA$4,$D$7:$P$336,$R14,FALSE)-HLOOKUP(AA$3,$D$7:$P$336,$R14,FALSE)</f>
        <v>98</v>
      </c>
      <c r="AB14" s="60">
        <f ca="1">100+HLOOKUP(AB$4,$D$7:$P$336,$R14,FALSE)-HLOOKUP(AB$3,$D$7:$P$336,$R14,FALSE)</f>
        <v>96</v>
      </c>
      <c r="AC14" s="60">
        <f ca="1">100+HLOOKUP(AC$4,$D$7:$P$336,$R14,FALSE)-HLOOKUP(AC$3,$D$7:$P$336,$R14,FALSE)</f>
        <v>102</v>
      </c>
      <c r="AD14" s="60">
        <f ca="1">100+HLOOKUP(AD$4,$D$7:$P$336,$R14,FALSE)-HLOOKUP(AD$3,$D$7:$P$336,$R14,FALSE)</f>
        <v>104</v>
      </c>
      <c r="AE14" s="60">
        <f ca="1">100+HLOOKUP(AE$4,$D$7:$P$336,$R14,FALSE)-HLOOKUP(AE$3,$D$7:$P$336,$R14,FALSE)</f>
        <v>102</v>
      </c>
      <c r="AF14" s="60">
        <f ca="1">100+HLOOKUP(AF$4,$D$7:$P$336,$R14,FALSE)-HLOOKUP(AF$3,$D$7:$P$336,$R14,FALSE)</f>
        <v>96</v>
      </c>
      <c r="AG14" s="60">
        <f ca="1">100+HLOOKUP(AG$4,$D$7:$P$336,$R14,FALSE)-HLOOKUP(AG$3,$D$7:$P$336,$R14,FALSE)</f>
        <v>98</v>
      </c>
      <c r="AH14" s="60" t="e">
        <f>100+HLOOKUP(AH$4,$D$7:$P$336,$R14,FALSE)-HLOOKUP(AH$3,$D$7:$P$336,$R14,FALSE)</f>
        <v>#N/A</v>
      </c>
      <c r="AI14" s="60" t="e">
        <f>100+HLOOKUP(AI$4,$D$7:$P$336,$R14,FALSE)-HLOOKUP(AI$3,$D$7:$P$336,$R14,FALSE)</f>
        <v>#N/A</v>
      </c>
      <c r="AJ14" s="60" t="e">
        <f>100+HLOOKUP(AJ$4,$D$7:$P$336,$R14,FALSE)-HLOOKUP(AJ$3,$D$7:$P$336,$R14,FALSE)</f>
        <v>#N/A</v>
      </c>
      <c r="AK14" s="60" t="e">
        <f>100+HLOOKUP(AK$4,$D$7:$P$336,$R14,FALSE)-HLOOKUP(AK$3,$D$7:$P$336,$R14,FALSE)</f>
        <v>#N/A</v>
      </c>
      <c r="AL14" s="60" t="e">
        <f>100+HLOOKUP(AL$4,$D$7:$P$336,$R14,FALSE)-HLOOKUP(AL$3,$D$7:$P$336,$R14,FALSE)</f>
        <v>#N/A</v>
      </c>
      <c r="AM14" s="60" t="e">
        <f>100+HLOOKUP(AM$4,$D$7:$P$336,$R14,FALSE)-HLOOKUP(AM$3,$D$7:$P$336,$R14,FALSE)</f>
        <v>#N/A</v>
      </c>
      <c r="AN14" s="60" t="e">
        <f>100+HLOOKUP(AN$4,$D$7:$P$336,$R14,FALSE)-HLOOKUP(AN$3,$D$7:$P$336,$R14,FALSE)</f>
        <v>#N/A</v>
      </c>
      <c r="AO14" s="60" t="e">
        <f>100+HLOOKUP(AO$4,$D$7:$P$336,$R14,FALSE)-HLOOKUP(AO$3,$D$7:$P$336,$R14,FALSE)</f>
        <v>#N/A</v>
      </c>
      <c r="AP14" s="60" t="e">
        <f>100+HLOOKUP(AP$4,$D$7:$P$336,$R14,FALSE)-HLOOKUP(AP$3,$D$7:$P$336,$R14,FALSE)</f>
        <v>#N/A</v>
      </c>
      <c r="AQ14" s="60" t="e">
        <f>100+HLOOKUP(AQ$4,$D$7:$P$336,$R14,FALSE)-HLOOKUP(AQ$3,$D$7:$P$336,$R14,FALSE)</f>
        <v>#N/A</v>
      </c>
      <c r="AV14" s="60">
        <f ca="1">AV$5-S14</f>
        <v>7.1903994267964322</v>
      </c>
      <c r="AW14" s="60">
        <f ca="1">AW$5-T14</f>
        <v>-3.7793494702422521</v>
      </c>
      <c r="AX14" s="60">
        <f ca="1">AX$5-U14</f>
        <v>1.7759154036680513</v>
      </c>
      <c r="AY14" s="60">
        <f ca="1">AY$5-V14</f>
        <v>-4.3969855984721988</v>
      </c>
      <c r="AZ14" s="60">
        <f ca="1">AZ$5-W14</f>
        <v>1.4544821725960304</v>
      </c>
      <c r="BA14" s="60">
        <f ca="1">BA$5-X14</f>
        <v>2.4650590589827033</v>
      </c>
      <c r="BB14" s="60">
        <f ca="1">BB$5-Y14</f>
        <v>-4.6494072726188733</v>
      </c>
      <c r="BC14" s="60">
        <f ca="1">BC$5-Z14</f>
        <v>7.4374659098821638</v>
      </c>
      <c r="BD14" s="60">
        <f ca="1">BD$5-AA14</f>
        <v>-6.3481335617638024E-2</v>
      </c>
      <c r="BE14" s="60">
        <f ca="1">BE$5-AB14</f>
        <v>-4.170609408007806</v>
      </c>
      <c r="BF14" s="60">
        <f ca="1">BF$5-AC14</f>
        <v>-0.98269568352291969</v>
      </c>
      <c r="BG14" s="60">
        <f ca="1">BG$5-AD14</f>
        <v>-1.4741294981490682E-2</v>
      </c>
      <c r="BH14" s="60">
        <f ca="1">BH$5-AE14</f>
        <v>-3.0454077696324333</v>
      </c>
      <c r="BI14" s="60">
        <f ca="1">BI$5-AF14</f>
        <v>-5.3914944887451952</v>
      </c>
      <c r="BJ14" s="60">
        <f ca="1">BJ$5-AG14</f>
        <v>-6.56044894232123</v>
      </c>
      <c r="BK14" s="60" t="e">
        <f>BK$5-AH14</f>
        <v>#N/A</v>
      </c>
      <c r="BL14" s="60" t="e">
        <f>BL$5-AI14</f>
        <v>#N/A</v>
      </c>
      <c r="BM14" s="60" t="e">
        <f>BM$5-AJ14</f>
        <v>#N/A</v>
      </c>
      <c r="BN14" s="60" t="e">
        <f>BN$5-AK14</f>
        <v>#N/A</v>
      </c>
      <c r="BO14" s="60" t="e">
        <f>BO$5-AL14</f>
        <v>#N/A</v>
      </c>
      <c r="BP14" s="60" t="e">
        <f>BP$5-AM14</f>
        <v>#N/A</v>
      </c>
      <c r="BQ14" s="60" t="e">
        <f>BQ$5-AN14</f>
        <v>#N/A</v>
      </c>
      <c r="BR14" s="60" t="e">
        <f>BR$5-AO14</f>
        <v>#N/A</v>
      </c>
      <c r="BS14" s="60" t="e">
        <f>BS$5-AP14</f>
        <v>#N/A</v>
      </c>
      <c r="BT14" s="60" t="e">
        <f>BT$5-AQ14</f>
        <v>#N/A</v>
      </c>
      <c r="BV14" s="60" cm="1">
        <f t="array" aca="1" ref="BV14" ca="1">SQRT(SUMSQ(_xlfn._xlws.FILTER(AV14:BT14,ISNUMBER(AV14:BT14)))/COUNT(_xlfn._xlws.FILTER(AV14:BT14,ISNUMBER(AV14:BT14))))</f>
        <v>4.268830740518248</v>
      </c>
    </row>
    <row r="15" spans="2:75" x14ac:dyDescent="0.2">
      <c r="C15" s="60" t="s">
        <v>503</v>
      </c>
      <c r="D15" s="60">
        <v>0</v>
      </c>
      <c r="E15" s="60">
        <v>-1.94</v>
      </c>
      <c r="F15" s="60">
        <v>-3.9</v>
      </c>
      <c r="G15" s="60">
        <v>-5.85</v>
      </c>
      <c r="H15" s="60">
        <v>-5.86</v>
      </c>
      <c r="I15" s="60">
        <v>-3.9</v>
      </c>
      <c r="J15" s="60">
        <v>-3.9</v>
      </c>
      <c r="K15" s="60">
        <v>-3.9</v>
      </c>
      <c r="L15" s="60">
        <v>-3.9</v>
      </c>
      <c r="M15" s="60">
        <v>-1.94</v>
      </c>
      <c r="N15" s="60">
        <v>0.02</v>
      </c>
      <c r="O15" s="60">
        <v>0.01</v>
      </c>
      <c r="P15" s="60">
        <v>0</v>
      </c>
      <c r="R15" s="61">
        <f>(ROW(R15)-ROW($C$6))</f>
        <v>9</v>
      </c>
      <c r="S15" s="60">
        <f ca="1">100+HLOOKUP(S$4,$D$7:$P$336,$R15,FALSE)-HLOOKUP(S$3,$D$7:$P$336,$R15,FALSE)</f>
        <v>96.08</v>
      </c>
      <c r="T15" s="60">
        <f ca="1">100+HLOOKUP(T$4,$D$7:$P$336,$R15,FALSE)-HLOOKUP(T$3,$D$7:$P$336,$R15,FALSE)</f>
        <v>96.089999999999989</v>
      </c>
      <c r="U15" s="60">
        <f ca="1">100+HLOOKUP(U$4,$D$7:$P$336,$R15,FALSE)-HLOOKUP(U$3,$D$7:$P$336,$R15,FALSE)</f>
        <v>98.039999999999992</v>
      </c>
      <c r="V15" s="60">
        <f ca="1">100+HLOOKUP(V$4,$D$7:$P$336,$R15,FALSE)-HLOOKUP(V$3,$D$7:$P$336,$R15,FALSE)</f>
        <v>96.08</v>
      </c>
      <c r="W15" s="60">
        <f ca="1">100+HLOOKUP(W$4,$D$7:$P$336,$R15,FALSE)-HLOOKUP(W$3,$D$7:$P$336,$R15,FALSE)</f>
        <v>96.1</v>
      </c>
      <c r="X15" s="60">
        <f ca="1">100+HLOOKUP(X$4,$D$7:$P$336,$R15,FALSE)-HLOOKUP(X$3,$D$7:$P$336,$R15,FALSE)</f>
        <v>96.08</v>
      </c>
      <c r="Y15" s="60">
        <f ca="1">100+HLOOKUP(Y$4,$D$7:$P$336,$R15,FALSE)-HLOOKUP(Y$3,$D$7:$P$336,$R15,FALSE)</f>
        <v>96.089999999999989</v>
      </c>
      <c r="Z15" s="60">
        <f ca="1">100+HLOOKUP(Z$4,$D$7:$P$336,$R15,FALSE)-HLOOKUP(Z$3,$D$7:$P$336,$R15,FALSE)</f>
        <v>98.039999999999992</v>
      </c>
      <c r="AA15" s="60">
        <f ca="1">100+HLOOKUP(AA$4,$D$7:$P$336,$R15,FALSE)-HLOOKUP(AA$3,$D$7:$P$336,$R15,FALSE)</f>
        <v>96.08</v>
      </c>
      <c r="AB15" s="60">
        <f ca="1">100+HLOOKUP(AB$4,$D$7:$P$336,$R15,FALSE)-HLOOKUP(AB$3,$D$7:$P$336,$R15,FALSE)</f>
        <v>96.1</v>
      </c>
      <c r="AC15" s="60">
        <f ca="1">100+HLOOKUP(AC$4,$D$7:$P$336,$R15,FALSE)-HLOOKUP(AC$3,$D$7:$P$336,$R15,FALSE)</f>
        <v>101.96000000000001</v>
      </c>
      <c r="AD15" s="60">
        <f ca="1">100+HLOOKUP(AD$4,$D$7:$P$336,$R15,FALSE)-HLOOKUP(AD$3,$D$7:$P$336,$R15,FALSE)</f>
        <v>105.87</v>
      </c>
      <c r="AE15" s="60">
        <f ca="1">100+HLOOKUP(AE$4,$D$7:$P$336,$R15,FALSE)-HLOOKUP(AE$3,$D$7:$P$336,$R15,FALSE)</f>
        <v>101.96000000000001</v>
      </c>
      <c r="AF15" s="60">
        <f ca="1">100+HLOOKUP(AF$4,$D$7:$P$336,$R15,FALSE)-HLOOKUP(AF$3,$D$7:$P$336,$R15,FALSE)</f>
        <v>98.050000000000011</v>
      </c>
      <c r="AG15" s="60">
        <f ca="1">100+HLOOKUP(AG$4,$D$7:$P$336,$R15,FALSE)-HLOOKUP(AG$3,$D$7:$P$336,$R15,FALSE)</f>
        <v>96.08</v>
      </c>
      <c r="AH15" s="60" t="e">
        <f>100+HLOOKUP(AH$4,$D$7:$P$336,$R15,FALSE)-HLOOKUP(AH$3,$D$7:$P$336,$R15,FALSE)</f>
        <v>#N/A</v>
      </c>
      <c r="AI15" s="60" t="e">
        <f>100+HLOOKUP(AI$4,$D$7:$P$336,$R15,FALSE)-HLOOKUP(AI$3,$D$7:$P$336,$R15,FALSE)</f>
        <v>#N/A</v>
      </c>
      <c r="AJ15" s="60" t="e">
        <f>100+HLOOKUP(AJ$4,$D$7:$P$336,$R15,FALSE)-HLOOKUP(AJ$3,$D$7:$P$336,$R15,FALSE)</f>
        <v>#N/A</v>
      </c>
      <c r="AK15" s="60" t="e">
        <f>100+HLOOKUP(AK$4,$D$7:$P$336,$R15,FALSE)-HLOOKUP(AK$3,$D$7:$P$336,$R15,FALSE)</f>
        <v>#N/A</v>
      </c>
      <c r="AL15" s="60" t="e">
        <f>100+HLOOKUP(AL$4,$D$7:$P$336,$R15,FALSE)-HLOOKUP(AL$3,$D$7:$P$336,$R15,FALSE)</f>
        <v>#N/A</v>
      </c>
      <c r="AM15" s="60" t="e">
        <f>100+HLOOKUP(AM$4,$D$7:$P$336,$R15,FALSE)-HLOOKUP(AM$3,$D$7:$P$336,$R15,FALSE)</f>
        <v>#N/A</v>
      </c>
      <c r="AN15" s="60" t="e">
        <f>100+HLOOKUP(AN$4,$D$7:$P$336,$R15,FALSE)-HLOOKUP(AN$3,$D$7:$P$336,$R15,FALSE)</f>
        <v>#N/A</v>
      </c>
      <c r="AO15" s="60" t="e">
        <f>100+HLOOKUP(AO$4,$D$7:$P$336,$R15,FALSE)-HLOOKUP(AO$3,$D$7:$P$336,$R15,FALSE)</f>
        <v>#N/A</v>
      </c>
      <c r="AP15" s="60" t="e">
        <f>100+HLOOKUP(AP$4,$D$7:$P$336,$R15,FALSE)-HLOOKUP(AP$3,$D$7:$P$336,$R15,FALSE)</f>
        <v>#N/A</v>
      </c>
      <c r="AQ15" s="60" t="e">
        <f>100+HLOOKUP(AQ$4,$D$7:$P$336,$R15,FALSE)-HLOOKUP(AQ$3,$D$7:$P$336,$R15,FALSE)</f>
        <v>#N/A</v>
      </c>
      <c r="AV15" s="60">
        <f ca="1">AV$5-S15</f>
        <v>7.1103994267964339</v>
      </c>
      <c r="AW15" s="60">
        <f ca="1">AW$5-T15</f>
        <v>-1.8693494702422413</v>
      </c>
      <c r="AX15" s="60">
        <f ca="1">AX$5-U15</f>
        <v>3.7359154036680593</v>
      </c>
      <c r="AY15" s="60">
        <f ca="1">AY$5-V15</f>
        <v>-2.4769855984721971</v>
      </c>
      <c r="AZ15" s="60">
        <f ca="1">AZ$5-W15</f>
        <v>1.3544821725960361</v>
      </c>
      <c r="BA15" s="60">
        <f ca="1">BA$5-X15</f>
        <v>2.385059058982705</v>
      </c>
      <c r="BB15" s="60">
        <f ca="1">BB$5-Y15</f>
        <v>-2.7394072726188625</v>
      </c>
      <c r="BC15" s="60">
        <f ca="1">BC$5-Z15</f>
        <v>9.3974659098821718</v>
      </c>
      <c r="BD15" s="60">
        <f ca="1">BD$5-AA15</f>
        <v>1.8565186643823637</v>
      </c>
      <c r="BE15" s="60">
        <f ca="1">BE$5-AB15</f>
        <v>-4.2706094080078003</v>
      </c>
      <c r="BF15" s="60">
        <f ca="1">BF$5-AC15</f>
        <v>-0.94269568352292765</v>
      </c>
      <c r="BG15" s="60">
        <f ca="1">BG$5-AD15</f>
        <v>-1.8847412949814952</v>
      </c>
      <c r="BH15" s="60">
        <f ca="1">BH$5-AE15</f>
        <v>-3.0054077696324413</v>
      </c>
      <c r="BI15" s="60">
        <f ca="1">BI$5-AF15</f>
        <v>-7.4414944887452066</v>
      </c>
      <c r="BJ15" s="60">
        <f ca="1">BJ$5-AG15</f>
        <v>-4.6404489423212283</v>
      </c>
      <c r="BK15" s="60" t="e">
        <f>BK$5-AH15</f>
        <v>#N/A</v>
      </c>
      <c r="BL15" s="60" t="e">
        <f>BL$5-AI15</f>
        <v>#N/A</v>
      </c>
      <c r="BM15" s="60" t="e">
        <f>BM$5-AJ15</f>
        <v>#N/A</v>
      </c>
      <c r="BN15" s="60" t="e">
        <f>BN$5-AK15</f>
        <v>#N/A</v>
      </c>
      <c r="BO15" s="60" t="e">
        <f>BO$5-AL15</f>
        <v>#N/A</v>
      </c>
      <c r="BP15" s="60" t="e">
        <f>BP$5-AM15</f>
        <v>#N/A</v>
      </c>
      <c r="BQ15" s="60" t="e">
        <f>BQ$5-AN15</f>
        <v>#N/A</v>
      </c>
      <c r="BR15" s="60" t="e">
        <f>BR$5-AO15</f>
        <v>#N/A</v>
      </c>
      <c r="BS15" s="60" t="e">
        <f>BS$5-AP15</f>
        <v>#N/A</v>
      </c>
      <c r="BT15" s="60" t="e">
        <f>BT$5-AQ15</f>
        <v>#N/A</v>
      </c>
      <c r="BV15" s="60" cm="1">
        <f t="array" aca="1" ref="BV15" ca="1">SQRT(SUMSQ(_xlfn._xlws.FILTER(AV15:BT15,ISNUMBER(AV15:BT15)))/COUNT(_xlfn._xlws.FILTER(AV15:BT15,ISNUMBER(AV15:BT15))))</f>
        <v>4.3935740125328806</v>
      </c>
    </row>
    <row r="16" spans="2:75" x14ac:dyDescent="0.2">
      <c r="C16" s="60" t="s">
        <v>298</v>
      </c>
      <c r="D16" s="60">
        <v>0</v>
      </c>
      <c r="E16" s="60">
        <v>-2</v>
      </c>
      <c r="F16" s="60">
        <v>-3</v>
      </c>
      <c r="G16" s="60">
        <v>-4</v>
      </c>
      <c r="H16" s="60">
        <v>-4</v>
      </c>
      <c r="I16" s="60">
        <v>-5</v>
      </c>
      <c r="J16" s="60">
        <v>-5</v>
      </c>
      <c r="K16" s="60">
        <v>-6</v>
      </c>
      <c r="L16" s="60">
        <v>-4</v>
      </c>
      <c r="M16" s="60">
        <v>-1</v>
      </c>
      <c r="N16" s="60">
        <v>1</v>
      </c>
      <c r="O16" s="60">
        <v>1</v>
      </c>
      <c r="P16" s="60">
        <v>0</v>
      </c>
      <c r="R16" s="61">
        <f>(ROW(R16)-ROW($C$6))</f>
        <v>10</v>
      </c>
      <c r="S16" s="60">
        <f ca="1">100+HLOOKUP(S$4,$D$7:$P$336,$R16,FALSE)-HLOOKUP(S$3,$D$7:$P$336,$R16,FALSE)</f>
        <v>97</v>
      </c>
      <c r="T16" s="60">
        <f ca="1">100+HLOOKUP(T$4,$D$7:$P$336,$R16,FALSE)-HLOOKUP(T$3,$D$7:$P$336,$R16,FALSE)</f>
        <v>94</v>
      </c>
      <c r="U16" s="60">
        <f ca="1">100+HLOOKUP(U$4,$D$7:$P$336,$R16,FALSE)-HLOOKUP(U$3,$D$7:$P$336,$R16,FALSE)</f>
        <v>98</v>
      </c>
      <c r="V16" s="60">
        <f ca="1">100+HLOOKUP(V$4,$D$7:$P$336,$R16,FALSE)-HLOOKUP(V$3,$D$7:$P$336,$R16,FALSE)</f>
        <v>94</v>
      </c>
      <c r="W16" s="60">
        <f ca="1">100+HLOOKUP(W$4,$D$7:$P$336,$R16,FALSE)-HLOOKUP(W$3,$D$7:$P$336,$R16,FALSE)</f>
        <v>94</v>
      </c>
      <c r="X16" s="60">
        <f ca="1">100+HLOOKUP(X$4,$D$7:$P$336,$R16,FALSE)-HLOOKUP(X$3,$D$7:$P$336,$R16,FALSE)</f>
        <v>97</v>
      </c>
      <c r="Y16" s="60">
        <f ca="1">100+HLOOKUP(Y$4,$D$7:$P$336,$R16,FALSE)-HLOOKUP(Y$3,$D$7:$P$336,$R16,FALSE)</f>
        <v>94</v>
      </c>
      <c r="Z16" s="60">
        <f ca="1">100+HLOOKUP(Z$4,$D$7:$P$336,$R16,FALSE)-HLOOKUP(Z$3,$D$7:$P$336,$R16,FALSE)</f>
        <v>98</v>
      </c>
      <c r="AA16" s="60">
        <f ca="1">100+HLOOKUP(AA$4,$D$7:$P$336,$R16,FALSE)-HLOOKUP(AA$3,$D$7:$P$336,$R16,FALSE)</f>
        <v>94</v>
      </c>
      <c r="AB16" s="60">
        <f ca="1">100+HLOOKUP(AB$4,$D$7:$P$336,$R16,FALSE)-HLOOKUP(AB$3,$D$7:$P$336,$R16,FALSE)</f>
        <v>94</v>
      </c>
      <c r="AC16" s="60">
        <f ca="1">100+HLOOKUP(AC$4,$D$7:$P$336,$R16,FALSE)-HLOOKUP(AC$3,$D$7:$P$336,$R16,FALSE)</f>
        <v>102</v>
      </c>
      <c r="AD16" s="60">
        <f ca="1">100+HLOOKUP(AD$4,$D$7:$P$336,$R16,FALSE)-HLOOKUP(AD$3,$D$7:$P$336,$R16,FALSE)</f>
        <v>105</v>
      </c>
      <c r="AE16" s="60">
        <f ca="1">100+HLOOKUP(AE$4,$D$7:$P$336,$R16,FALSE)-HLOOKUP(AE$3,$D$7:$P$336,$R16,FALSE)</f>
        <v>103</v>
      </c>
      <c r="AF16" s="60">
        <f ca="1">100+HLOOKUP(AF$4,$D$7:$P$336,$R16,FALSE)-HLOOKUP(AF$3,$D$7:$P$336,$R16,FALSE)</f>
        <v>100</v>
      </c>
      <c r="AG16" s="60">
        <f ca="1">100+HLOOKUP(AG$4,$D$7:$P$336,$R16,FALSE)-HLOOKUP(AG$3,$D$7:$P$336,$R16,FALSE)</f>
        <v>94</v>
      </c>
      <c r="AH16" s="60" t="e">
        <f>100+HLOOKUP(AH$4,$D$7:$P$336,$R16,FALSE)-HLOOKUP(AH$3,$D$7:$P$336,$R16,FALSE)</f>
        <v>#N/A</v>
      </c>
      <c r="AI16" s="60" t="e">
        <f>100+HLOOKUP(AI$4,$D$7:$P$336,$R16,FALSE)-HLOOKUP(AI$3,$D$7:$P$336,$R16,FALSE)</f>
        <v>#N/A</v>
      </c>
      <c r="AJ16" s="60" t="e">
        <f>100+HLOOKUP(AJ$4,$D$7:$P$336,$R16,FALSE)-HLOOKUP(AJ$3,$D$7:$P$336,$R16,FALSE)</f>
        <v>#N/A</v>
      </c>
      <c r="AK16" s="60" t="e">
        <f>100+HLOOKUP(AK$4,$D$7:$P$336,$R16,FALSE)-HLOOKUP(AK$3,$D$7:$P$336,$R16,FALSE)</f>
        <v>#N/A</v>
      </c>
      <c r="AL16" s="60" t="e">
        <f>100+HLOOKUP(AL$4,$D$7:$P$336,$R16,FALSE)-HLOOKUP(AL$3,$D$7:$P$336,$R16,FALSE)</f>
        <v>#N/A</v>
      </c>
      <c r="AM16" s="60" t="e">
        <f>100+HLOOKUP(AM$4,$D$7:$P$336,$R16,FALSE)-HLOOKUP(AM$3,$D$7:$P$336,$R16,FALSE)</f>
        <v>#N/A</v>
      </c>
      <c r="AN16" s="60" t="e">
        <f>100+HLOOKUP(AN$4,$D$7:$P$336,$R16,FALSE)-HLOOKUP(AN$3,$D$7:$P$336,$R16,FALSE)</f>
        <v>#N/A</v>
      </c>
      <c r="AO16" s="60" t="e">
        <f>100+HLOOKUP(AO$4,$D$7:$P$336,$R16,FALSE)-HLOOKUP(AO$3,$D$7:$P$336,$R16,FALSE)</f>
        <v>#N/A</v>
      </c>
      <c r="AP16" s="60" t="e">
        <f>100+HLOOKUP(AP$4,$D$7:$P$336,$R16,FALSE)-HLOOKUP(AP$3,$D$7:$P$336,$R16,FALSE)</f>
        <v>#N/A</v>
      </c>
      <c r="AQ16" s="60" t="e">
        <f>100+HLOOKUP(AQ$4,$D$7:$P$336,$R16,FALSE)-HLOOKUP(AQ$3,$D$7:$P$336,$R16,FALSE)</f>
        <v>#N/A</v>
      </c>
      <c r="AV16" s="60">
        <f ca="1">AV$5-S16</f>
        <v>6.1903994267964322</v>
      </c>
      <c r="AW16" s="60">
        <f ca="1">AW$5-T16</f>
        <v>0.2206505297577479</v>
      </c>
      <c r="AX16" s="60">
        <f ca="1">AX$5-U16</f>
        <v>3.7759154036680513</v>
      </c>
      <c r="AY16" s="60">
        <f ca="1">AY$5-V16</f>
        <v>-0.39698559847219883</v>
      </c>
      <c r="AZ16" s="60">
        <f ca="1">AZ$5-W16</f>
        <v>3.4544821725960304</v>
      </c>
      <c r="BA16" s="60">
        <f ca="1">BA$5-X16</f>
        <v>1.4650590589827033</v>
      </c>
      <c r="BB16" s="60">
        <f ca="1">BB$5-Y16</f>
        <v>-0.64940727261887332</v>
      </c>
      <c r="BC16" s="60">
        <f ca="1">BC$5-Z16</f>
        <v>9.4374659098821638</v>
      </c>
      <c r="BD16" s="60">
        <f ca="1">BD$5-AA16</f>
        <v>3.936518664382362</v>
      </c>
      <c r="BE16" s="60">
        <f ca="1">BE$5-AB16</f>
        <v>-2.170609408007806</v>
      </c>
      <c r="BF16" s="60">
        <f ca="1">BF$5-AC16</f>
        <v>-0.98269568352291969</v>
      </c>
      <c r="BG16" s="60">
        <f ca="1">BG$5-AD16</f>
        <v>-1.0147412949814907</v>
      </c>
      <c r="BH16" s="60">
        <f ca="1">BH$5-AE16</f>
        <v>-4.0454077696324333</v>
      </c>
      <c r="BI16" s="60">
        <f ca="1">BI$5-AF16</f>
        <v>-9.3914944887451952</v>
      </c>
      <c r="BJ16" s="60">
        <f ca="1">BJ$5-AG16</f>
        <v>-2.56044894232123</v>
      </c>
      <c r="BK16" s="60" t="e">
        <f>BK$5-AH16</f>
        <v>#N/A</v>
      </c>
      <c r="BL16" s="60" t="e">
        <f>BL$5-AI16</f>
        <v>#N/A</v>
      </c>
      <c r="BM16" s="60" t="e">
        <f>BM$5-AJ16</f>
        <v>#N/A</v>
      </c>
      <c r="BN16" s="60" t="e">
        <f>BN$5-AK16</f>
        <v>#N/A</v>
      </c>
      <c r="BO16" s="60" t="e">
        <f>BO$5-AL16</f>
        <v>#N/A</v>
      </c>
      <c r="BP16" s="60" t="e">
        <f>BP$5-AM16</f>
        <v>#N/A</v>
      </c>
      <c r="BQ16" s="60" t="e">
        <f>BQ$5-AN16</f>
        <v>#N/A</v>
      </c>
      <c r="BR16" s="60" t="e">
        <f>BR$5-AO16</f>
        <v>#N/A</v>
      </c>
      <c r="BS16" s="60" t="e">
        <f>BS$5-AP16</f>
        <v>#N/A</v>
      </c>
      <c r="BT16" s="60" t="e">
        <f>BT$5-AQ16</f>
        <v>#N/A</v>
      </c>
      <c r="BV16" s="60" cm="1">
        <f t="array" aca="1" ref="BV16" ca="1">SQRT(SUMSQ(_xlfn._xlws.FILTER(AV16:BT16,ISNUMBER(AV16:BT16)))/COUNT(_xlfn._xlws.FILTER(AV16:BT16,ISNUMBER(AV16:BT16))))</f>
        <v>4.3945171201844317</v>
      </c>
    </row>
    <row r="17" spans="3:74" x14ac:dyDescent="0.2">
      <c r="C17" s="60" t="s">
        <v>276</v>
      </c>
      <c r="D17" s="60">
        <v>0</v>
      </c>
      <c r="E17" s="60">
        <v>-2</v>
      </c>
      <c r="F17" s="60">
        <v>-4</v>
      </c>
      <c r="G17" s="60">
        <v>-6</v>
      </c>
      <c r="H17" s="60">
        <v>-6</v>
      </c>
      <c r="I17" s="60">
        <v>-4</v>
      </c>
      <c r="J17" s="60">
        <v>-4</v>
      </c>
      <c r="K17" s="60">
        <v>-4</v>
      </c>
      <c r="L17" s="60">
        <v>-4</v>
      </c>
      <c r="M17" s="60">
        <v>-2</v>
      </c>
      <c r="N17" s="60">
        <v>0</v>
      </c>
      <c r="O17" s="60">
        <v>0</v>
      </c>
      <c r="P17" s="60">
        <v>0</v>
      </c>
      <c r="R17" s="61">
        <f>(ROW(R17)-ROW($C$6))</f>
        <v>11</v>
      </c>
      <c r="S17" s="60">
        <f ca="1">100+HLOOKUP(S$4,$D$7:$P$336,$R17,FALSE)-HLOOKUP(S$3,$D$7:$P$336,$R17,FALSE)</f>
        <v>96</v>
      </c>
      <c r="T17" s="60">
        <f ca="1">100+HLOOKUP(T$4,$D$7:$P$336,$R17,FALSE)-HLOOKUP(T$3,$D$7:$P$336,$R17,FALSE)</f>
        <v>96</v>
      </c>
      <c r="U17" s="60">
        <f ca="1">100+HLOOKUP(U$4,$D$7:$P$336,$R17,FALSE)-HLOOKUP(U$3,$D$7:$P$336,$R17,FALSE)</f>
        <v>98</v>
      </c>
      <c r="V17" s="60">
        <f ca="1">100+HLOOKUP(V$4,$D$7:$P$336,$R17,FALSE)-HLOOKUP(V$3,$D$7:$P$336,$R17,FALSE)</f>
        <v>96</v>
      </c>
      <c r="W17" s="60">
        <f ca="1">100+HLOOKUP(W$4,$D$7:$P$336,$R17,FALSE)-HLOOKUP(W$3,$D$7:$P$336,$R17,FALSE)</f>
        <v>96</v>
      </c>
      <c r="X17" s="60">
        <f ca="1">100+HLOOKUP(X$4,$D$7:$P$336,$R17,FALSE)-HLOOKUP(X$3,$D$7:$P$336,$R17,FALSE)</f>
        <v>96</v>
      </c>
      <c r="Y17" s="60">
        <f ca="1">100+HLOOKUP(Y$4,$D$7:$P$336,$R17,FALSE)-HLOOKUP(Y$3,$D$7:$P$336,$R17,FALSE)</f>
        <v>96</v>
      </c>
      <c r="Z17" s="60">
        <f ca="1">100+HLOOKUP(Z$4,$D$7:$P$336,$R17,FALSE)-HLOOKUP(Z$3,$D$7:$P$336,$R17,FALSE)</f>
        <v>98</v>
      </c>
      <c r="AA17" s="60">
        <f ca="1">100+HLOOKUP(AA$4,$D$7:$P$336,$R17,FALSE)-HLOOKUP(AA$3,$D$7:$P$336,$R17,FALSE)</f>
        <v>96</v>
      </c>
      <c r="AB17" s="60">
        <f ca="1">100+HLOOKUP(AB$4,$D$7:$P$336,$R17,FALSE)-HLOOKUP(AB$3,$D$7:$P$336,$R17,FALSE)</f>
        <v>96</v>
      </c>
      <c r="AC17" s="60">
        <f ca="1">100+HLOOKUP(AC$4,$D$7:$P$336,$R17,FALSE)-HLOOKUP(AC$3,$D$7:$P$336,$R17,FALSE)</f>
        <v>102</v>
      </c>
      <c r="AD17" s="60">
        <f ca="1">100+HLOOKUP(AD$4,$D$7:$P$336,$R17,FALSE)-HLOOKUP(AD$3,$D$7:$P$336,$R17,FALSE)</f>
        <v>106</v>
      </c>
      <c r="AE17" s="60">
        <f ca="1">100+HLOOKUP(AE$4,$D$7:$P$336,$R17,FALSE)-HLOOKUP(AE$3,$D$7:$P$336,$R17,FALSE)</f>
        <v>102</v>
      </c>
      <c r="AF17" s="60">
        <f ca="1">100+HLOOKUP(AF$4,$D$7:$P$336,$R17,FALSE)-HLOOKUP(AF$3,$D$7:$P$336,$R17,FALSE)</f>
        <v>98</v>
      </c>
      <c r="AG17" s="60">
        <f ca="1">100+HLOOKUP(AG$4,$D$7:$P$336,$R17,FALSE)-HLOOKUP(AG$3,$D$7:$P$336,$R17,FALSE)</f>
        <v>96</v>
      </c>
      <c r="AH17" s="60" t="e">
        <f>100+HLOOKUP(AH$4,$D$7:$P$336,$R17,FALSE)-HLOOKUP(AH$3,$D$7:$P$336,$R17,FALSE)</f>
        <v>#N/A</v>
      </c>
      <c r="AI17" s="60" t="e">
        <f>100+HLOOKUP(AI$4,$D$7:$P$336,$R17,FALSE)-HLOOKUP(AI$3,$D$7:$P$336,$R17,FALSE)</f>
        <v>#N/A</v>
      </c>
      <c r="AJ17" s="60" t="e">
        <f>100+HLOOKUP(AJ$4,$D$7:$P$336,$R17,FALSE)-HLOOKUP(AJ$3,$D$7:$P$336,$R17,FALSE)</f>
        <v>#N/A</v>
      </c>
      <c r="AK17" s="60" t="e">
        <f>100+HLOOKUP(AK$4,$D$7:$P$336,$R17,FALSE)-HLOOKUP(AK$3,$D$7:$P$336,$R17,FALSE)</f>
        <v>#N/A</v>
      </c>
      <c r="AL17" s="60" t="e">
        <f>100+HLOOKUP(AL$4,$D$7:$P$336,$R17,FALSE)-HLOOKUP(AL$3,$D$7:$P$336,$R17,FALSE)</f>
        <v>#N/A</v>
      </c>
      <c r="AM17" s="60" t="e">
        <f>100+HLOOKUP(AM$4,$D$7:$P$336,$R17,FALSE)-HLOOKUP(AM$3,$D$7:$P$336,$R17,FALSE)</f>
        <v>#N/A</v>
      </c>
      <c r="AN17" s="60" t="e">
        <f>100+HLOOKUP(AN$4,$D$7:$P$336,$R17,FALSE)-HLOOKUP(AN$3,$D$7:$P$336,$R17,FALSE)</f>
        <v>#N/A</v>
      </c>
      <c r="AO17" s="60" t="e">
        <f>100+HLOOKUP(AO$4,$D$7:$P$336,$R17,FALSE)-HLOOKUP(AO$3,$D$7:$P$336,$R17,FALSE)</f>
        <v>#N/A</v>
      </c>
      <c r="AP17" s="60" t="e">
        <f>100+HLOOKUP(AP$4,$D$7:$P$336,$R17,FALSE)-HLOOKUP(AP$3,$D$7:$P$336,$R17,FALSE)</f>
        <v>#N/A</v>
      </c>
      <c r="AQ17" s="60" t="e">
        <f>100+HLOOKUP(AQ$4,$D$7:$P$336,$R17,FALSE)-HLOOKUP(AQ$3,$D$7:$P$336,$R17,FALSE)</f>
        <v>#N/A</v>
      </c>
      <c r="AV17" s="60">
        <f ca="1">AV$5-S17</f>
        <v>7.1903994267964322</v>
      </c>
      <c r="AW17" s="60">
        <f ca="1">AW$5-T17</f>
        <v>-1.7793494702422521</v>
      </c>
      <c r="AX17" s="60">
        <f ca="1">AX$5-U17</f>
        <v>3.7759154036680513</v>
      </c>
      <c r="AY17" s="60">
        <f ca="1">AY$5-V17</f>
        <v>-2.3969855984721988</v>
      </c>
      <c r="AZ17" s="60">
        <f ca="1">AZ$5-W17</f>
        <v>1.4544821725960304</v>
      </c>
      <c r="BA17" s="60">
        <f ca="1">BA$5-X17</f>
        <v>2.4650590589827033</v>
      </c>
      <c r="BB17" s="60">
        <f ca="1">BB$5-Y17</f>
        <v>-2.6494072726188733</v>
      </c>
      <c r="BC17" s="60">
        <f ca="1">BC$5-Z17</f>
        <v>9.4374659098821638</v>
      </c>
      <c r="BD17" s="60">
        <f ca="1">BD$5-AA17</f>
        <v>1.936518664382362</v>
      </c>
      <c r="BE17" s="60">
        <f ca="1">BE$5-AB17</f>
        <v>-4.170609408007806</v>
      </c>
      <c r="BF17" s="60">
        <f ca="1">BF$5-AC17</f>
        <v>-0.98269568352291969</v>
      </c>
      <c r="BG17" s="60">
        <f ca="1">BG$5-AD17</f>
        <v>-2.0147412949814907</v>
      </c>
      <c r="BH17" s="60">
        <f ca="1">BH$5-AE17</f>
        <v>-3.0454077696324333</v>
      </c>
      <c r="BI17" s="60">
        <f ca="1">BI$5-AF17</f>
        <v>-7.3914944887451952</v>
      </c>
      <c r="BJ17" s="60">
        <f ca="1">BJ$5-AG17</f>
        <v>-4.56044894232123</v>
      </c>
      <c r="BK17" s="60" t="e">
        <f>BK$5-AH17</f>
        <v>#N/A</v>
      </c>
      <c r="BL17" s="60" t="e">
        <f>BL$5-AI17</f>
        <v>#N/A</v>
      </c>
      <c r="BM17" s="60" t="e">
        <f>BM$5-AJ17</f>
        <v>#N/A</v>
      </c>
      <c r="BN17" s="60" t="e">
        <f>BN$5-AK17</f>
        <v>#N/A</v>
      </c>
      <c r="BO17" s="60" t="e">
        <f>BO$5-AL17</f>
        <v>#N/A</v>
      </c>
      <c r="BP17" s="60" t="e">
        <f>BP$5-AM17</f>
        <v>#N/A</v>
      </c>
      <c r="BQ17" s="60" t="e">
        <f>BQ$5-AN17</f>
        <v>#N/A</v>
      </c>
      <c r="BR17" s="60" t="e">
        <f>BR$5-AO17</f>
        <v>#N/A</v>
      </c>
      <c r="BS17" s="60" t="e">
        <f>BS$5-AP17</f>
        <v>#N/A</v>
      </c>
      <c r="BT17" s="60" t="e">
        <f>BT$5-AQ17</f>
        <v>#N/A</v>
      </c>
      <c r="BV17" s="60" cm="1">
        <f t="array" aca="1" ref="BV17" ca="1">SQRT(SUMSQ(_xlfn._xlws.FILTER(AV17:BT17,ISNUMBER(AV17:BT17)))/COUNT(_xlfn._xlws.FILTER(AV17:BT17,ISNUMBER(AV17:BT17))))</f>
        <v>4.397146925601664</v>
      </c>
    </row>
    <row r="18" spans="3:74" x14ac:dyDescent="0.2">
      <c r="C18" s="60" t="s">
        <v>502</v>
      </c>
      <c r="D18" s="60">
        <v>0</v>
      </c>
      <c r="E18" s="60">
        <v>-2</v>
      </c>
      <c r="F18" s="60">
        <v>-4</v>
      </c>
      <c r="G18" s="60">
        <v>-6</v>
      </c>
      <c r="H18" s="60">
        <v>-6</v>
      </c>
      <c r="I18" s="60">
        <v>-4</v>
      </c>
      <c r="J18" s="60">
        <v>-4</v>
      </c>
      <c r="K18" s="60">
        <v>-4</v>
      </c>
      <c r="L18" s="60">
        <v>-4</v>
      </c>
      <c r="M18" s="60">
        <v>-2</v>
      </c>
      <c r="N18" s="60">
        <v>0</v>
      </c>
      <c r="O18" s="60">
        <v>0</v>
      </c>
      <c r="P18" s="60">
        <v>0</v>
      </c>
      <c r="R18" s="61">
        <f>(ROW(R18)-ROW($C$6))</f>
        <v>12</v>
      </c>
      <c r="S18" s="60">
        <f ca="1">100+HLOOKUP(S$4,$D$7:$P$336,$R18,FALSE)-HLOOKUP(S$3,$D$7:$P$336,$R18,FALSE)</f>
        <v>96</v>
      </c>
      <c r="T18" s="60">
        <f ca="1">100+HLOOKUP(T$4,$D$7:$P$336,$R18,FALSE)-HLOOKUP(T$3,$D$7:$P$336,$R18,FALSE)</f>
        <v>96</v>
      </c>
      <c r="U18" s="60">
        <f ca="1">100+HLOOKUP(U$4,$D$7:$P$336,$R18,FALSE)-HLOOKUP(U$3,$D$7:$P$336,$R18,FALSE)</f>
        <v>98</v>
      </c>
      <c r="V18" s="60">
        <f ca="1">100+HLOOKUP(V$4,$D$7:$P$336,$R18,FALSE)-HLOOKUP(V$3,$D$7:$P$336,$R18,FALSE)</f>
        <v>96</v>
      </c>
      <c r="W18" s="60">
        <f ca="1">100+HLOOKUP(W$4,$D$7:$P$336,$R18,FALSE)-HLOOKUP(W$3,$D$7:$P$336,$R18,FALSE)</f>
        <v>96</v>
      </c>
      <c r="X18" s="60">
        <f ca="1">100+HLOOKUP(X$4,$D$7:$P$336,$R18,FALSE)-HLOOKUP(X$3,$D$7:$P$336,$R18,FALSE)</f>
        <v>96</v>
      </c>
      <c r="Y18" s="60">
        <f ca="1">100+HLOOKUP(Y$4,$D$7:$P$336,$R18,FALSE)-HLOOKUP(Y$3,$D$7:$P$336,$R18,FALSE)</f>
        <v>96</v>
      </c>
      <c r="Z18" s="60">
        <f ca="1">100+HLOOKUP(Z$4,$D$7:$P$336,$R18,FALSE)-HLOOKUP(Z$3,$D$7:$P$336,$R18,FALSE)</f>
        <v>98</v>
      </c>
      <c r="AA18" s="60">
        <f ca="1">100+HLOOKUP(AA$4,$D$7:$P$336,$R18,FALSE)-HLOOKUP(AA$3,$D$7:$P$336,$R18,FALSE)</f>
        <v>96</v>
      </c>
      <c r="AB18" s="60">
        <f ca="1">100+HLOOKUP(AB$4,$D$7:$P$336,$R18,FALSE)-HLOOKUP(AB$3,$D$7:$P$336,$R18,FALSE)</f>
        <v>96</v>
      </c>
      <c r="AC18" s="60">
        <f ca="1">100+HLOOKUP(AC$4,$D$7:$P$336,$R18,FALSE)-HLOOKUP(AC$3,$D$7:$P$336,$R18,FALSE)</f>
        <v>102</v>
      </c>
      <c r="AD18" s="60">
        <f ca="1">100+HLOOKUP(AD$4,$D$7:$P$336,$R18,FALSE)-HLOOKUP(AD$3,$D$7:$P$336,$R18,FALSE)</f>
        <v>106</v>
      </c>
      <c r="AE18" s="60">
        <f ca="1">100+HLOOKUP(AE$4,$D$7:$P$336,$R18,FALSE)-HLOOKUP(AE$3,$D$7:$P$336,$R18,FALSE)</f>
        <v>102</v>
      </c>
      <c r="AF18" s="60">
        <f ca="1">100+HLOOKUP(AF$4,$D$7:$P$336,$R18,FALSE)-HLOOKUP(AF$3,$D$7:$P$336,$R18,FALSE)</f>
        <v>98</v>
      </c>
      <c r="AG18" s="60">
        <f ca="1">100+HLOOKUP(AG$4,$D$7:$P$336,$R18,FALSE)-HLOOKUP(AG$3,$D$7:$P$336,$R18,FALSE)</f>
        <v>96</v>
      </c>
      <c r="AH18" s="60" t="e">
        <f>100+HLOOKUP(AH$4,$D$7:$P$336,$R18,FALSE)-HLOOKUP(AH$3,$D$7:$P$336,$R18,FALSE)</f>
        <v>#N/A</v>
      </c>
      <c r="AI18" s="60" t="e">
        <f>100+HLOOKUP(AI$4,$D$7:$P$336,$R18,FALSE)-HLOOKUP(AI$3,$D$7:$P$336,$R18,FALSE)</f>
        <v>#N/A</v>
      </c>
      <c r="AJ18" s="60" t="e">
        <f>100+HLOOKUP(AJ$4,$D$7:$P$336,$R18,FALSE)-HLOOKUP(AJ$3,$D$7:$P$336,$R18,FALSE)</f>
        <v>#N/A</v>
      </c>
      <c r="AK18" s="60" t="e">
        <f>100+HLOOKUP(AK$4,$D$7:$P$336,$R18,FALSE)-HLOOKUP(AK$3,$D$7:$P$336,$R18,FALSE)</f>
        <v>#N/A</v>
      </c>
      <c r="AL18" s="60" t="e">
        <f>100+HLOOKUP(AL$4,$D$7:$P$336,$R18,FALSE)-HLOOKUP(AL$3,$D$7:$P$336,$R18,FALSE)</f>
        <v>#N/A</v>
      </c>
      <c r="AM18" s="60" t="e">
        <f>100+HLOOKUP(AM$4,$D$7:$P$336,$R18,FALSE)-HLOOKUP(AM$3,$D$7:$P$336,$R18,FALSE)</f>
        <v>#N/A</v>
      </c>
      <c r="AN18" s="60" t="e">
        <f>100+HLOOKUP(AN$4,$D$7:$P$336,$R18,FALSE)-HLOOKUP(AN$3,$D$7:$P$336,$R18,FALSE)</f>
        <v>#N/A</v>
      </c>
      <c r="AO18" s="60" t="e">
        <f>100+HLOOKUP(AO$4,$D$7:$P$336,$R18,FALSE)-HLOOKUP(AO$3,$D$7:$P$336,$R18,FALSE)</f>
        <v>#N/A</v>
      </c>
      <c r="AP18" s="60" t="e">
        <f>100+HLOOKUP(AP$4,$D$7:$P$336,$R18,FALSE)-HLOOKUP(AP$3,$D$7:$P$336,$R18,FALSE)</f>
        <v>#N/A</v>
      </c>
      <c r="AQ18" s="60" t="e">
        <f>100+HLOOKUP(AQ$4,$D$7:$P$336,$R18,FALSE)-HLOOKUP(AQ$3,$D$7:$P$336,$R18,FALSE)</f>
        <v>#N/A</v>
      </c>
      <c r="AV18" s="60">
        <f ca="1">AV$5-S18</f>
        <v>7.1903994267964322</v>
      </c>
      <c r="AW18" s="60">
        <f ca="1">AW$5-T18</f>
        <v>-1.7793494702422521</v>
      </c>
      <c r="AX18" s="60">
        <f ca="1">AX$5-U18</f>
        <v>3.7759154036680513</v>
      </c>
      <c r="AY18" s="60">
        <f ca="1">AY$5-V18</f>
        <v>-2.3969855984721988</v>
      </c>
      <c r="AZ18" s="60">
        <f ca="1">AZ$5-W18</f>
        <v>1.4544821725960304</v>
      </c>
      <c r="BA18" s="60">
        <f ca="1">BA$5-X18</f>
        <v>2.4650590589827033</v>
      </c>
      <c r="BB18" s="60">
        <f ca="1">BB$5-Y18</f>
        <v>-2.6494072726188733</v>
      </c>
      <c r="BC18" s="60">
        <f ca="1">BC$5-Z18</f>
        <v>9.4374659098821638</v>
      </c>
      <c r="BD18" s="60">
        <f ca="1">BD$5-AA18</f>
        <v>1.936518664382362</v>
      </c>
      <c r="BE18" s="60">
        <f ca="1">BE$5-AB18</f>
        <v>-4.170609408007806</v>
      </c>
      <c r="BF18" s="60">
        <f ca="1">BF$5-AC18</f>
        <v>-0.98269568352291969</v>
      </c>
      <c r="BG18" s="60">
        <f ca="1">BG$5-AD18</f>
        <v>-2.0147412949814907</v>
      </c>
      <c r="BH18" s="60">
        <f ca="1">BH$5-AE18</f>
        <v>-3.0454077696324333</v>
      </c>
      <c r="BI18" s="60">
        <f ca="1">BI$5-AF18</f>
        <v>-7.3914944887451952</v>
      </c>
      <c r="BJ18" s="60">
        <f ca="1">BJ$5-AG18</f>
        <v>-4.56044894232123</v>
      </c>
      <c r="BK18" s="60" t="e">
        <f>BK$5-AH18</f>
        <v>#N/A</v>
      </c>
      <c r="BL18" s="60" t="e">
        <f>BL$5-AI18</f>
        <v>#N/A</v>
      </c>
      <c r="BM18" s="60" t="e">
        <f>BM$5-AJ18</f>
        <v>#N/A</v>
      </c>
      <c r="BN18" s="60" t="e">
        <f>BN$5-AK18</f>
        <v>#N/A</v>
      </c>
      <c r="BO18" s="60" t="e">
        <f>BO$5-AL18</f>
        <v>#N/A</v>
      </c>
      <c r="BP18" s="60" t="e">
        <f>BP$5-AM18</f>
        <v>#N/A</v>
      </c>
      <c r="BQ18" s="60" t="e">
        <f>BQ$5-AN18</f>
        <v>#N/A</v>
      </c>
      <c r="BR18" s="60" t="e">
        <f>BR$5-AO18</f>
        <v>#N/A</v>
      </c>
      <c r="BS18" s="60" t="e">
        <f>BS$5-AP18</f>
        <v>#N/A</v>
      </c>
      <c r="BT18" s="60" t="e">
        <f>BT$5-AQ18</f>
        <v>#N/A</v>
      </c>
      <c r="BV18" s="60" cm="1">
        <f t="array" aca="1" ref="BV18" ca="1">SQRT(SUMSQ(_xlfn._xlws.FILTER(AV18:BT18,ISNUMBER(AV18:BT18)))/COUNT(_xlfn._xlws.FILTER(AV18:BT18,ISNUMBER(AV18:BT18))))</f>
        <v>4.397146925601664</v>
      </c>
    </row>
    <row r="19" spans="3:74" x14ac:dyDescent="0.2">
      <c r="C19" s="60" t="s">
        <v>418</v>
      </c>
      <c r="D19" s="60">
        <v>0</v>
      </c>
      <c r="E19" s="60">
        <v>-2</v>
      </c>
      <c r="F19" s="60">
        <v>-4</v>
      </c>
      <c r="G19" s="60">
        <v>-6</v>
      </c>
      <c r="H19" s="60">
        <v>-6</v>
      </c>
      <c r="I19" s="60">
        <v>-4</v>
      </c>
      <c r="J19" s="60">
        <v>-4</v>
      </c>
      <c r="K19" s="60">
        <v>-4</v>
      </c>
      <c r="L19" s="60">
        <v>-4</v>
      </c>
      <c r="M19" s="60">
        <v>-2</v>
      </c>
      <c r="N19" s="60">
        <v>0</v>
      </c>
      <c r="O19" s="60">
        <v>0</v>
      </c>
      <c r="P19" s="60">
        <v>0</v>
      </c>
      <c r="R19" s="61">
        <f>(ROW(R19)-ROW($C$6))</f>
        <v>13</v>
      </c>
      <c r="S19" s="60">
        <f ca="1">100+HLOOKUP(S$4,$D$7:$P$336,$R19,FALSE)-HLOOKUP(S$3,$D$7:$P$336,$R19,FALSE)</f>
        <v>96</v>
      </c>
      <c r="T19" s="60">
        <f ca="1">100+HLOOKUP(T$4,$D$7:$P$336,$R19,FALSE)-HLOOKUP(T$3,$D$7:$P$336,$R19,FALSE)</f>
        <v>96</v>
      </c>
      <c r="U19" s="60">
        <f ca="1">100+HLOOKUP(U$4,$D$7:$P$336,$R19,FALSE)-HLOOKUP(U$3,$D$7:$P$336,$R19,FALSE)</f>
        <v>98</v>
      </c>
      <c r="V19" s="60">
        <f ca="1">100+HLOOKUP(V$4,$D$7:$P$336,$R19,FALSE)-HLOOKUP(V$3,$D$7:$P$336,$R19,FALSE)</f>
        <v>96</v>
      </c>
      <c r="W19" s="60">
        <f ca="1">100+HLOOKUP(W$4,$D$7:$P$336,$R19,FALSE)-HLOOKUP(W$3,$D$7:$P$336,$R19,FALSE)</f>
        <v>96</v>
      </c>
      <c r="X19" s="60">
        <f ca="1">100+HLOOKUP(X$4,$D$7:$P$336,$R19,FALSE)-HLOOKUP(X$3,$D$7:$P$336,$R19,FALSE)</f>
        <v>96</v>
      </c>
      <c r="Y19" s="60">
        <f ca="1">100+HLOOKUP(Y$4,$D$7:$P$336,$R19,FALSE)-HLOOKUP(Y$3,$D$7:$P$336,$R19,FALSE)</f>
        <v>96</v>
      </c>
      <c r="Z19" s="60">
        <f ca="1">100+HLOOKUP(Z$4,$D$7:$P$336,$R19,FALSE)-HLOOKUP(Z$3,$D$7:$P$336,$R19,FALSE)</f>
        <v>98</v>
      </c>
      <c r="AA19" s="60">
        <f ca="1">100+HLOOKUP(AA$4,$D$7:$P$336,$R19,FALSE)-HLOOKUP(AA$3,$D$7:$P$336,$R19,FALSE)</f>
        <v>96</v>
      </c>
      <c r="AB19" s="60">
        <f ca="1">100+HLOOKUP(AB$4,$D$7:$P$336,$R19,FALSE)-HLOOKUP(AB$3,$D$7:$P$336,$R19,FALSE)</f>
        <v>96</v>
      </c>
      <c r="AC19" s="60">
        <f ca="1">100+HLOOKUP(AC$4,$D$7:$P$336,$R19,FALSE)-HLOOKUP(AC$3,$D$7:$P$336,$R19,FALSE)</f>
        <v>102</v>
      </c>
      <c r="AD19" s="60">
        <f ca="1">100+HLOOKUP(AD$4,$D$7:$P$336,$R19,FALSE)-HLOOKUP(AD$3,$D$7:$P$336,$R19,FALSE)</f>
        <v>106</v>
      </c>
      <c r="AE19" s="60">
        <f ca="1">100+HLOOKUP(AE$4,$D$7:$P$336,$R19,FALSE)-HLOOKUP(AE$3,$D$7:$P$336,$R19,FALSE)</f>
        <v>102</v>
      </c>
      <c r="AF19" s="60">
        <f ca="1">100+HLOOKUP(AF$4,$D$7:$P$336,$R19,FALSE)-HLOOKUP(AF$3,$D$7:$P$336,$R19,FALSE)</f>
        <v>98</v>
      </c>
      <c r="AG19" s="60">
        <f ca="1">100+HLOOKUP(AG$4,$D$7:$P$336,$R19,FALSE)-HLOOKUP(AG$3,$D$7:$P$336,$R19,FALSE)</f>
        <v>96</v>
      </c>
      <c r="AH19" s="60" t="e">
        <f>100+HLOOKUP(AH$4,$D$7:$P$336,$R19,FALSE)-HLOOKUP(AH$3,$D$7:$P$336,$R19,FALSE)</f>
        <v>#N/A</v>
      </c>
      <c r="AI19" s="60" t="e">
        <f>100+HLOOKUP(AI$4,$D$7:$P$336,$R19,FALSE)-HLOOKUP(AI$3,$D$7:$P$336,$R19,FALSE)</f>
        <v>#N/A</v>
      </c>
      <c r="AJ19" s="60" t="e">
        <f>100+HLOOKUP(AJ$4,$D$7:$P$336,$R19,FALSE)-HLOOKUP(AJ$3,$D$7:$P$336,$R19,FALSE)</f>
        <v>#N/A</v>
      </c>
      <c r="AK19" s="60" t="e">
        <f>100+HLOOKUP(AK$4,$D$7:$P$336,$R19,FALSE)-HLOOKUP(AK$3,$D$7:$P$336,$R19,FALSE)</f>
        <v>#N/A</v>
      </c>
      <c r="AL19" s="60" t="e">
        <f>100+HLOOKUP(AL$4,$D$7:$P$336,$R19,FALSE)-HLOOKUP(AL$3,$D$7:$P$336,$R19,FALSE)</f>
        <v>#N/A</v>
      </c>
      <c r="AM19" s="60" t="e">
        <f>100+HLOOKUP(AM$4,$D$7:$P$336,$R19,FALSE)-HLOOKUP(AM$3,$D$7:$P$336,$R19,FALSE)</f>
        <v>#N/A</v>
      </c>
      <c r="AN19" s="60" t="e">
        <f>100+HLOOKUP(AN$4,$D$7:$P$336,$R19,FALSE)-HLOOKUP(AN$3,$D$7:$P$336,$R19,FALSE)</f>
        <v>#N/A</v>
      </c>
      <c r="AO19" s="60" t="e">
        <f>100+HLOOKUP(AO$4,$D$7:$P$336,$R19,FALSE)-HLOOKUP(AO$3,$D$7:$P$336,$R19,FALSE)</f>
        <v>#N/A</v>
      </c>
      <c r="AP19" s="60" t="e">
        <f>100+HLOOKUP(AP$4,$D$7:$P$336,$R19,FALSE)-HLOOKUP(AP$3,$D$7:$P$336,$R19,FALSE)</f>
        <v>#N/A</v>
      </c>
      <c r="AQ19" s="60" t="e">
        <f>100+HLOOKUP(AQ$4,$D$7:$P$336,$R19,FALSE)-HLOOKUP(AQ$3,$D$7:$P$336,$R19,FALSE)</f>
        <v>#N/A</v>
      </c>
      <c r="AV19" s="60">
        <f ca="1">AV$5-S19</f>
        <v>7.1903994267964322</v>
      </c>
      <c r="AW19" s="60">
        <f ca="1">AW$5-T19</f>
        <v>-1.7793494702422521</v>
      </c>
      <c r="AX19" s="60">
        <f ca="1">AX$5-U19</f>
        <v>3.7759154036680513</v>
      </c>
      <c r="AY19" s="60">
        <f ca="1">AY$5-V19</f>
        <v>-2.3969855984721988</v>
      </c>
      <c r="AZ19" s="60">
        <f ca="1">AZ$5-W19</f>
        <v>1.4544821725960304</v>
      </c>
      <c r="BA19" s="60">
        <f ca="1">BA$5-X19</f>
        <v>2.4650590589827033</v>
      </c>
      <c r="BB19" s="60">
        <f ca="1">BB$5-Y19</f>
        <v>-2.6494072726188733</v>
      </c>
      <c r="BC19" s="60">
        <f ca="1">BC$5-Z19</f>
        <v>9.4374659098821638</v>
      </c>
      <c r="BD19" s="60">
        <f ca="1">BD$5-AA19</f>
        <v>1.936518664382362</v>
      </c>
      <c r="BE19" s="60">
        <f ca="1">BE$5-AB19</f>
        <v>-4.170609408007806</v>
      </c>
      <c r="BF19" s="60">
        <f ca="1">BF$5-AC19</f>
        <v>-0.98269568352291969</v>
      </c>
      <c r="BG19" s="60">
        <f ca="1">BG$5-AD19</f>
        <v>-2.0147412949814907</v>
      </c>
      <c r="BH19" s="60">
        <f ca="1">BH$5-AE19</f>
        <v>-3.0454077696324333</v>
      </c>
      <c r="BI19" s="60">
        <f ca="1">BI$5-AF19</f>
        <v>-7.3914944887451952</v>
      </c>
      <c r="BJ19" s="60">
        <f ca="1">BJ$5-AG19</f>
        <v>-4.56044894232123</v>
      </c>
      <c r="BK19" s="60" t="e">
        <f>BK$5-AH19</f>
        <v>#N/A</v>
      </c>
      <c r="BL19" s="60" t="e">
        <f>BL$5-AI19</f>
        <v>#N/A</v>
      </c>
      <c r="BM19" s="60" t="e">
        <f>BM$5-AJ19</f>
        <v>#N/A</v>
      </c>
      <c r="BN19" s="60" t="e">
        <f>BN$5-AK19</f>
        <v>#N/A</v>
      </c>
      <c r="BO19" s="60" t="e">
        <f>BO$5-AL19</f>
        <v>#N/A</v>
      </c>
      <c r="BP19" s="60" t="e">
        <f>BP$5-AM19</f>
        <v>#N/A</v>
      </c>
      <c r="BQ19" s="60" t="e">
        <f>BQ$5-AN19</f>
        <v>#N/A</v>
      </c>
      <c r="BR19" s="60" t="e">
        <f>BR$5-AO19</f>
        <v>#N/A</v>
      </c>
      <c r="BS19" s="60" t="e">
        <f>BS$5-AP19</f>
        <v>#N/A</v>
      </c>
      <c r="BT19" s="60" t="e">
        <f>BT$5-AQ19</f>
        <v>#N/A</v>
      </c>
      <c r="BV19" s="60" cm="1">
        <f t="array" aca="1" ref="BV19" ca="1">SQRT(SUMSQ(_xlfn._xlws.FILTER(AV19:BT19,ISNUMBER(AV19:BT19)))/COUNT(_xlfn._xlws.FILTER(AV19:BT19,ISNUMBER(AV19:BT19))))</f>
        <v>4.397146925601664</v>
      </c>
    </row>
    <row r="20" spans="3:74" x14ac:dyDescent="0.2">
      <c r="C20" s="60" t="s">
        <v>403</v>
      </c>
      <c r="D20" s="60">
        <v>0</v>
      </c>
      <c r="E20" s="60">
        <v>-2</v>
      </c>
      <c r="F20" s="60">
        <v>-4</v>
      </c>
      <c r="G20" s="60">
        <v>-4</v>
      </c>
      <c r="H20" s="60">
        <v>-4</v>
      </c>
      <c r="I20" s="60">
        <v>-2</v>
      </c>
      <c r="J20" s="60">
        <v>-2</v>
      </c>
      <c r="K20" s="60">
        <v>-2</v>
      </c>
      <c r="L20" s="60">
        <v>0</v>
      </c>
      <c r="M20" s="60">
        <v>2</v>
      </c>
      <c r="N20" s="60">
        <v>2</v>
      </c>
      <c r="O20" s="60">
        <v>0</v>
      </c>
      <c r="P20" s="60">
        <v>0</v>
      </c>
      <c r="R20" s="61">
        <f>(ROW(R20)-ROW($C$6))</f>
        <v>14</v>
      </c>
      <c r="S20" s="60">
        <f ca="1">100+HLOOKUP(S$4,$D$7:$P$336,$R20,FALSE)-HLOOKUP(S$3,$D$7:$P$336,$R20,FALSE)</f>
        <v>94</v>
      </c>
      <c r="T20" s="60">
        <f ca="1">100+HLOOKUP(T$4,$D$7:$P$336,$R20,FALSE)-HLOOKUP(T$3,$D$7:$P$336,$R20,FALSE)</f>
        <v>98</v>
      </c>
      <c r="U20" s="60">
        <f ca="1">100+HLOOKUP(U$4,$D$7:$P$336,$R20,FALSE)-HLOOKUP(U$3,$D$7:$P$336,$R20,FALSE)</f>
        <v>102</v>
      </c>
      <c r="V20" s="60">
        <f ca="1">100+HLOOKUP(V$4,$D$7:$P$336,$R20,FALSE)-HLOOKUP(V$3,$D$7:$P$336,$R20,FALSE)</f>
        <v>96</v>
      </c>
      <c r="W20" s="60">
        <f ca="1">100+HLOOKUP(W$4,$D$7:$P$336,$R20,FALSE)-HLOOKUP(W$3,$D$7:$P$336,$R20,FALSE)</f>
        <v>98</v>
      </c>
      <c r="X20" s="60">
        <f ca="1">100+HLOOKUP(X$4,$D$7:$P$336,$R20,FALSE)-HLOOKUP(X$3,$D$7:$P$336,$R20,FALSE)</f>
        <v>94</v>
      </c>
      <c r="Y20" s="60">
        <f ca="1">100+HLOOKUP(Y$4,$D$7:$P$336,$R20,FALSE)-HLOOKUP(Y$3,$D$7:$P$336,$R20,FALSE)</f>
        <v>98</v>
      </c>
      <c r="Z20" s="60">
        <f ca="1">100+HLOOKUP(Z$4,$D$7:$P$336,$R20,FALSE)-HLOOKUP(Z$3,$D$7:$P$336,$R20,FALSE)</f>
        <v>102</v>
      </c>
      <c r="AA20" s="60">
        <f ca="1">100+HLOOKUP(AA$4,$D$7:$P$336,$R20,FALSE)-HLOOKUP(AA$3,$D$7:$P$336,$R20,FALSE)</f>
        <v>96</v>
      </c>
      <c r="AB20" s="60">
        <f ca="1">100+HLOOKUP(AB$4,$D$7:$P$336,$R20,FALSE)-HLOOKUP(AB$3,$D$7:$P$336,$R20,FALSE)</f>
        <v>98</v>
      </c>
      <c r="AC20" s="60">
        <f ca="1">100+HLOOKUP(AC$4,$D$7:$P$336,$R20,FALSE)-HLOOKUP(AC$3,$D$7:$P$336,$R20,FALSE)</f>
        <v>106</v>
      </c>
      <c r="AD20" s="60">
        <f ca="1">100+HLOOKUP(AD$4,$D$7:$P$336,$R20,FALSE)-HLOOKUP(AD$3,$D$7:$P$336,$R20,FALSE)</f>
        <v>104</v>
      </c>
      <c r="AE20" s="60">
        <f ca="1">100+HLOOKUP(AE$4,$D$7:$P$336,$R20,FALSE)-HLOOKUP(AE$3,$D$7:$P$336,$R20,FALSE)</f>
        <v>100</v>
      </c>
      <c r="AF20" s="60">
        <f ca="1">100+HLOOKUP(AF$4,$D$7:$P$336,$R20,FALSE)-HLOOKUP(AF$3,$D$7:$P$336,$R20,FALSE)</f>
        <v>96</v>
      </c>
      <c r="AG20" s="60">
        <f ca="1">100+HLOOKUP(AG$4,$D$7:$P$336,$R20,FALSE)-HLOOKUP(AG$3,$D$7:$P$336,$R20,FALSE)</f>
        <v>96</v>
      </c>
      <c r="AH20" s="60" t="e">
        <f>100+HLOOKUP(AH$4,$D$7:$P$336,$R20,FALSE)-HLOOKUP(AH$3,$D$7:$P$336,$R20,FALSE)</f>
        <v>#N/A</v>
      </c>
      <c r="AI20" s="60" t="e">
        <f>100+HLOOKUP(AI$4,$D$7:$P$336,$R20,FALSE)-HLOOKUP(AI$3,$D$7:$P$336,$R20,FALSE)</f>
        <v>#N/A</v>
      </c>
      <c r="AJ20" s="60" t="e">
        <f>100+HLOOKUP(AJ$4,$D$7:$P$336,$R20,FALSE)-HLOOKUP(AJ$3,$D$7:$P$336,$R20,FALSE)</f>
        <v>#N/A</v>
      </c>
      <c r="AK20" s="60" t="e">
        <f>100+HLOOKUP(AK$4,$D$7:$P$336,$R20,FALSE)-HLOOKUP(AK$3,$D$7:$P$336,$R20,FALSE)</f>
        <v>#N/A</v>
      </c>
      <c r="AL20" s="60" t="e">
        <f>100+HLOOKUP(AL$4,$D$7:$P$336,$R20,FALSE)-HLOOKUP(AL$3,$D$7:$P$336,$R20,FALSE)</f>
        <v>#N/A</v>
      </c>
      <c r="AM20" s="60" t="e">
        <f>100+HLOOKUP(AM$4,$D$7:$P$336,$R20,FALSE)-HLOOKUP(AM$3,$D$7:$P$336,$R20,FALSE)</f>
        <v>#N/A</v>
      </c>
      <c r="AN20" s="60" t="e">
        <f>100+HLOOKUP(AN$4,$D$7:$P$336,$R20,FALSE)-HLOOKUP(AN$3,$D$7:$P$336,$R20,FALSE)</f>
        <v>#N/A</v>
      </c>
      <c r="AO20" s="60" t="e">
        <f>100+HLOOKUP(AO$4,$D$7:$P$336,$R20,FALSE)-HLOOKUP(AO$3,$D$7:$P$336,$R20,FALSE)</f>
        <v>#N/A</v>
      </c>
      <c r="AP20" s="60" t="e">
        <f>100+HLOOKUP(AP$4,$D$7:$P$336,$R20,FALSE)-HLOOKUP(AP$3,$D$7:$P$336,$R20,FALSE)</f>
        <v>#N/A</v>
      </c>
      <c r="AQ20" s="60" t="e">
        <f>100+HLOOKUP(AQ$4,$D$7:$P$336,$R20,FALSE)-HLOOKUP(AQ$3,$D$7:$P$336,$R20,FALSE)</f>
        <v>#N/A</v>
      </c>
      <c r="AV20" s="60">
        <f ca="1">AV$5-S20</f>
        <v>9.1903994267964322</v>
      </c>
      <c r="AW20" s="60">
        <f ca="1">AW$5-T20</f>
        <v>-3.7793494702422521</v>
      </c>
      <c r="AX20" s="60">
        <f ca="1">AX$5-U20</f>
        <v>-0.22408459633194866</v>
      </c>
      <c r="AY20" s="60">
        <f ca="1">AY$5-V20</f>
        <v>-2.3969855984721988</v>
      </c>
      <c r="AZ20" s="60">
        <f ca="1">AZ$5-W20</f>
        <v>-0.54551782740396959</v>
      </c>
      <c r="BA20" s="60">
        <f ca="1">BA$5-X20</f>
        <v>4.4650590589827033</v>
      </c>
      <c r="BB20" s="60">
        <f ca="1">BB$5-Y20</f>
        <v>-4.6494072726188733</v>
      </c>
      <c r="BC20" s="60">
        <f ca="1">BC$5-Z20</f>
        <v>5.4374659098821638</v>
      </c>
      <c r="BD20" s="60">
        <f ca="1">BD$5-AA20</f>
        <v>1.936518664382362</v>
      </c>
      <c r="BE20" s="60">
        <f ca="1">BE$5-AB20</f>
        <v>-6.170609408007806</v>
      </c>
      <c r="BF20" s="60">
        <f ca="1">BF$5-AC20</f>
        <v>-4.9826956835229197</v>
      </c>
      <c r="BG20" s="60">
        <f ca="1">BG$5-AD20</f>
        <v>-1.4741294981490682E-2</v>
      </c>
      <c r="BH20" s="60">
        <f ca="1">BH$5-AE20</f>
        <v>-1.0454077696324333</v>
      </c>
      <c r="BI20" s="60">
        <f ca="1">BI$5-AF20</f>
        <v>-5.3914944887451952</v>
      </c>
      <c r="BJ20" s="60">
        <f ca="1">BJ$5-AG20</f>
        <v>-4.56044894232123</v>
      </c>
      <c r="BK20" s="60" t="e">
        <f>BK$5-AH20</f>
        <v>#N/A</v>
      </c>
      <c r="BL20" s="60" t="e">
        <f>BL$5-AI20</f>
        <v>#N/A</v>
      </c>
      <c r="BM20" s="60" t="e">
        <f>BM$5-AJ20</f>
        <v>#N/A</v>
      </c>
      <c r="BN20" s="60" t="e">
        <f>BN$5-AK20</f>
        <v>#N/A</v>
      </c>
      <c r="BO20" s="60" t="e">
        <f>BO$5-AL20</f>
        <v>#N/A</v>
      </c>
      <c r="BP20" s="60" t="e">
        <f>BP$5-AM20</f>
        <v>#N/A</v>
      </c>
      <c r="BQ20" s="60" t="e">
        <f>BQ$5-AN20</f>
        <v>#N/A</v>
      </c>
      <c r="BR20" s="60" t="e">
        <f>BR$5-AO20</f>
        <v>#N/A</v>
      </c>
      <c r="BS20" s="60" t="e">
        <f>BS$5-AP20</f>
        <v>#N/A</v>
      </c>
      <c r="BT20" s="60" t="e">
        <f>BT$5-AQ20</f>
        <v>#N/A</v>
      </c>
      <c r="BV20" s="60" cm="1">
        <f t="array" aca="1" ref="BV20" ca="1">SQRT(SUMSQ(_xlfn._xlws.FILTER(AV20:BT20,ISNUMBER(AV20:BT20)))/COUNT(_xlfn._xlws.FILTER(AV20:BT20,ISNUMBER(AV20:BT20))))</f>
        <v>4.4239712693647837</v>
      </c>
    </row>
    <row r="21" spans="3:74" x14ac:dyDescent="0.2">
      <c r="C21" s="60" t="s">
        <v>240</v>
      </c>
      <c r="D21" s="60">
        <v>0</v>
      </c>
      <c r="E21" s="60">
        <v>-1</v>
      </c>
      <c r="F21" s="60">
        <v>-2</v>
      </c>
      <c r="G21" s="60">
        <v>-3</v>
      </c>
      <c r="H21" s="60">
        <v>-4</v>
      </c>
      <c r="I21" s="60">
        <v>-5</v>
      </c>
      <c r="J21" s="60">
        <v>-6</v>
      </c>
      <c r="K21" s="60">
        <v>-4</v>
      </c>
      <c r="L21" s="60">
        <v>-2</v>
      </c>
      <c r="M21" s="60">
        <v>0</v>
      </c>
      <c r="N21" s="60">
        <v>2</v>
      </c>
      <c r="O21" s="60">
        <v>1</v>
      </c>
      <c r="P21" s="60">
        <v>0</v>
      </c>
      <c r="R21" s="61">
        <f>(ROW(R21)-ROW($C$6))</f>
        <v>15</v>
      </c>
      <c r="S21" s="60">
        <f ca="1">100+HLOOKUP(S$4,$D$7:$P$336,$R21,FALSE)-HLOOKUP(S$3,$D$7:$P$336,$R21,FALSE)</f>
        <v>96</v>
      </c>
      <c r="T21" s="60">
        <f ca="1">100+HLOOKUP(T$4,$D$7:$P$336,$R21,FALSE)-HLOOKUP(T$3,$D$7:$P$336,$R21,FALSE)</f>
        <v>93</v>
      </c>
      <c r="U21" s="60">
        <f ca="1">100+HLOOKUP(U$4,$D$7:$P$336,$R21,FALSE)-HLOOKUP(U$3,$D$7:$P$336,$R21,FALSE)</f>
        <v>99</v>
      </c>
      <c r="V21" s="60">
        <f ca="1">100+HLOOKUP(V$4,$D$7:$P$336,$R21,FALSE)-HLOOKUP(V$3,$D$7:$P$336,$R21,FALSE)</f>
        <v>93</v>
      </c>
      <c r="W21" s="60">
        <f ca="1">100+HLOOKUP(W$4,$D$7:$P$336,$R21,FALSE)-HLOOKUP(W$3,$D$7:$P$336,$R21,FALSE)</f>
        <v>96</v>
      </c>
      <c r="X21" s="60">
        <f ca="1">100+HLOOKUP(X$4,$D$7:$P$336,$R21,FALSE)-HLOOKUP(X$3,$D$7:$P$336,$R21,FALSE)</f>
        <v>96</v>
      </c>
      <c r="Y21" s="60">
        <f ca="1">100+HLOOKUP(Y$4,$D$7:$P$336,$R21,FALSE)-HLOOKUP(Y$3,$D$7:$P$336,$R21,FALSE)</f>
        <v>93</v>
      </c>
      <c r="Z21" s="60">
        <f ca="1">100+HLOOKUP(Z$4,$D$7:$P$336,$R21,FALSE)-HLOOKUP(Z$3,$D$7:$P$336,$R21,FALSE)</f>
        <v>99</v>
      </c>
      <c r="AA21" s="60">
        <f ca="1">100+HLOOKUP(AA$4,$D$7:$P$336,$R21,FALSE)-HLOOKUP(AA$3,$D$7:$P$336,$R21,FALSE)</f>
        <v>93</v>
      </c>
      <c r="AB21" s="60">
        <f ca="1">100+HLOOKUP(AB$4,$D$7:$P$336,$R21,FALSE)-HLOOKUP(AB$3,$D$7:$P$336,$R21,FALSE)</f>
        <v>96</v>
      </c>
      <c r="AC21" s="60">
        <f ca="1">100+HLOOKUP(AC$4,$D$7:$P$336,$R21,FALSE)-HLOOKUP(AC$3,$D$7:$P$336,$R21,FALSE)</f>
        <v>102</v>
      </c>
      <c r="AD21" s="60">
        <f ca="1">100+HLOOKUP(AD$4,$D$7:$P$336,$R21,FALSE)-HLOOKUP(AD$3,$D$7:$P$336,$R21,FALSE)</f>
        <v>105</v>
      </c>
      <c r="AE21" s="60">
        <f ca="1">100+HLOOKUP(AE$4,$D$7:$P$336,$R21,FALSE)-HLOOKUP(AE$3,$D$7:$P$336,$R21,FALSE)</f>
        <v>105</v>
      </c>
      <c r="AF21" s="60">
        <f ca="1">100+HLOOKUP(AF$4,$D$7:$P$336,$R21,FALSE)-HLOOKUP(AF$3,$D$7:$P$336,$R21,FALSE)</f>
        <v>99</v>
      </c>
      <c r="AG21" s="60">
        <f ca="1">100+HLOOKUP(AG$4,$D$7:$P$336,$R21,FALSE)-HLOOKUP(AG$3,$D$7:$P$336,$R21,FALSE)</f>
        <v>93</v>
      </c>
      <c r="AH21" s="60" t="e">
        <f>100+HLOOKUP(AH$4,$D$7:$P$336,$R21,FALSE)-HLOOKUP(AH$3,$D$7:$P$336,$R21,FALSE)</f>
        <v>#N/A</v>
      </c>
      <c r="AI21" s="60" t="e">
        <f>100+HLOOKUP(AI$4,$D$7:$P$336,$R21,FALSE)-HLOOKUP(AI$3,$D$7:$P$336,$R21,FALSE)</f>
        <v>#N/A</v>
      </c>
      <c r="AJ21" s="60" t="e">
        <f>100+HLOOKUP(AJ$4,$D$7:$P$336,$R21,FALSE)-HLOOKUP(AJ$3,$D$7:$P$336,$R21,FALSE)</f>
        <v>#N/A</v>
      </c>
      <c r="AK21" s="60" t="e">
        <f>100+HLOOKUP(AK$4,$D$7:$P$336,$R21,FALSE)-HLOOKUP(AK$3,$D$7:$P$336,$R21,FALSE)</f>
        <v>#N/A</v>
      </c>
      <c r="AL21" s="60" t="e">
        <f>100+HLOOKUP(AL$4,$D$7:$P$336,$R21,FALSE)-HLOOKUP(AL$3,$D$7:$P$336,$R21,FALSE)</f>
        <v>#N/A</v>
      </c>
      <c r="AM21" s="60" t="e">
        <f>100+HLOOKUP(AM$4,$D$7:$P$336,$R21,FALSE)-HLOOKUP(AM$3,$D$7:$P$336,$R21,FALSE)</f>
        <v>#N/A</v>
      </c>
      <c r="AN21" s="60" t="e">
        <f>100+HLOOKUP(AN$4,$D$7:$P$336,$R21,FALSE)-HLOOKUP(AN$3,$D$7:$P$336,$R21,FALSE)</f>
        <v>#N/A</v>
      </c>
      <c r="AO21" s="60" t="e">
        <f>100+HLOOKUP(AO$4,$D$7:$P$336,$R21,FALSE)-HLOOKUP(AO$3,$D$7:$P$336,$R21,FALSE)</f>
        <v>#N/A</v>
      </c>
      <c r="AP21" s="60" t="e">
        <f>100+HLOOKUP(AP$4,$D$7:$P$336,$R21,FALSE)-HLOOKUP(AP$3,$D$7:$P$336,$R21,FALSE)</f>
        <v>#N/A</v>
      </c>
      <c r="AQ21" s="60" t="e">
        <f>100+HLOOKUP(AQ$4,$D$7:$P$336,$R21,FALSE)-HLOOKUP(AQ$3,$D$7:$P$336,$R21,FALSE)</f>
        <v>#N/A</v>
      </c>
      <c r="AV21" s="60">
        <f ca="1">AV$5-S21</f>
        <v>7.1903994267964322</v>
      </c>
      <c r="AW21" s="60">
        <f ca="1">AW$5-T21</f>
        <v>1.2206505297577479</v>
      </c>
      <c r="AX21" s="60">
        <f ca="1">AX$5-U21</f>
        <v>2.7759154036680513</v>
      </c>
      <c r="AY21" s="60">
        <f ca="1">AY$5-V21</f>
        <v>0.60301440152780117</v>
      </c>
      <c r="AZ21" s="60">
        <f ca="1">AZ$5-W21</f>
        <v>1.4544821725960304</v>
      </c>
      <c r="BA21" s="60">
        <f ca="1">BA$5-X21</f>
        <v>2.4650590589827033</v>
      </c>
      <c r="BB21" s="60">
        <f ca="1">BB$5-Y21</f>
        <v>0.35059272738112668</v>
      </c>
      <c r="BC21" s="60">
        <f ca="1">BC$5-Z21</f>
        <v>8.4374659098821638</v>
      </c>
      <c r="BD21" s="60">
        <f ca="1">BD$5-AA21</f>
        <v>4.936518664382362</v>
      </c>
      <c r="BE21" s="60">
        <f ca="1">BE$5-AB21</f>
        <v>-4.170609408007806</v>
      </c>
      <c r="BF21" s="60">
        <f ca="1">BF$5-AC21</f>
        <v>-0.98269568352291969</v>
      </c>
      <c r="BG21" s="60">
        <f ca="1">BG$5-AD21</f>
        <v>-1.0147412949814907</v>
      </c>
      <c r="BH21" s="60">
        <f ca="1">BH$5-AE21</f>
        <v>-6.0454077696324333</v>
      </c>
      <c r="BI21" s="60">
        <f ca="1">BI$5-AF21</f>
        <v>-8.3914944887451952</v>
      </c>
      <c r="BJ21" s="60">
        <f ca="1">BJ$5-AG21</f>
        <v>-1.56044894232123</v>
      </c>
      <c r="BK21" s="60" t="e">
        <f>BK$5-AH21</f>
        <v>#N/A</v>
      </c>
      <c r="BL21" s="60" t="e">
        <f>BL$5-AI21</f>
        <v>#N/A</v>
      </c>
      <c r="BM21" s="60" t="e">
        <f>BM$5-AJ21</f>
        <v>#N/A</v>
      </c>
      <c r="BN21" s="60" t="e">
        <f>BN$5-AK21</f>
        <v>#N/A</v>
      </c>
      <c r="BO21" s="60" t="e">
        <f>BO$5-AL21</f>
        <v>#N/A</v>
      </c>
      <c r="BP21" s="60" t="e">
        <f>BP$5-AM21</f>
        <v>#N/A</v>
      </c>
      <c r="BQ21" s="60" t="e">
        <f>BQ$5-AN21</f>
        <v>#N/A</v>
      </c>
      <c r="BR21" s="60" t="e">
        <f>BR$5-AO21</f>
        <v>#N/A</v>
      </c>
      <c r="BS21" s="60" t="e">
        <f>BS$5-AP21</f>
        <v>#N/A</v>
      </c>
      <c r="BT21" s="60" t="e">
        <f>BT$5-AQ21</f>
        <v>#N/A</v>
      </c>
      <c r="BV21" s="60" cm="1">
        <f t="array" aca="1" ref="BV21" ca="1">SQRT(SUMSQ(_xlfn._xlws.FILTER(AV21:BT21,ISNUMBER(AV21:BT21)))/COUNT(_xlfn._xlws.FILTER(AV21:BT21,ISNUMBER(AV21:BT21))))</f>
        <v>4.4266215179111548</v>
      </c>
    </row>
    <row r="22" spans="3:74" x14ac:dyDescent="0.2">
      <c r="C22" s="60" t="s">
        <v>459</v>
      </c>
      <c r="D22" s="60">
        <v>0</v>
      </c>
      <c r="E22" s="60">
        <v>-2</v>
      </c>
      <c r="F22" s="60">
        <v>-4</v>
      </c>
      <c r="G22" s="60">
        <v>-6</v>
      </c>
      <c r="H22" s="60">
        <v>-4</v>
      </c>
      <c r="I22" s="60">
        <v>-6</v>
      </c>
      <c r="J22" s="60">
        <v>-4</v>
      </c>
      <c r="K22" s="60">
        <v>-4</v>
      </c>
      <c r="L22" s="60">
        <v>-4</v>
      </c>
      <c r="M22" s="60">
        <v>-4</v>
      </c>
      <c r="N22" s="60">
        <v>-4</v>
      </c>
      <c r="O22" s="60">
        <v>-2</v>
      </c>
      <c r="P22" s="60">
        <v>0</v>
      </c>
      <c r="R22" s="61">
        <f>(ROW(R22)-ROW($C$6))</f>
        <v>16</v>
      </c>
      <c r="S22" s="60">
        <f ca="1">100+HLOOKUP(S$4,$D$7:$P$336,$R22,FALSE)-HLOOKUP(S$3,$D$7:$P$336,$R22,FALSE)</f>
        <v>100</v>
      </c>
      <c r="T22" s="60">
        <f ca="1">100+HLOOKUP(T$4,$D$7:$P$336,$R22,FALSE)-HLOOKUP(T$3,$D$7:$P$336,$R22,FALSE)</f>
        <v>98</v>
      </c>
      <c r="U22" s="60">
        <f ca="1">100+HLOOKUP(U$4,$D$7:$P$336,$R22,FALSE)-HLOOKUP(U$3,$D$7:$P$336,$R22,FALSE)</f>
        <v>98</v>
      </c>
      <c r="V22" s="60">
        <f ca="1">100+HLOOKUP(V$4,$D$7:$P$336,$R22,FALSE)-HLOOKUP(V$3,$D$7:$P$336,$R22,FALSE)</f>
        <v>98</v>
      </c>
      <c r="W22" s="60">
        <f ca="1">100+HLOOKUP(W$4,$D$7:$P$336,$R22,FALSE)-HLOOKUP(W$3,$D$7:$P$336,$R22,FALSE)</f>
        <v>96</v>
      </c>
      <c r="X22" s="60">
        <f ca="1">100+HLOOKUP(X$4,$D$7:$P$336,$R22,FALSE)-HLOOKUP(X$3,$D$7:$P$336,$R22,FALSE)</f>
        <v>100</v>
      </c>
      <c r="Y22" s="60">
        <f ca="1">100+HLOOKUP(Y$4,$D$7:$P$336,$R22,FALSE)-HLOOKUP(Y$3,$D$7:$P$336,$R22,FALSE)</f>
        <v>98</v>
      </c>
      <c r="Z22" s="60">
        <f ca="1">100+HLOOKUP(Z$4,$D$7:$P$336,$R22,FALSE)-HLOOKUP(Z$3,$D$7:$P$336,$R22,FALSE)</f>
        <v>98</v>
      </c>
      <c r="AA22" s="60">
        <f ca="1">100+HLOOKUP(AA$4,$D$7:$P$336,$R22,FALSE)-HLOOKUP(AA$3,$D$7:$P$336,$R22,FALSE)</f>
        <v>98</v>
      </c>
      <c r="AB22" s="60">
        <f ca="1">100+HLOOKUP(AB$4,$D$7:$P$336,$R22,FALSE)-HLOOKUP(AB$3,$D$7:$P$336,$R22,FALSE)</f>
        <v>96</v>
      </c>
      <c r="AC22" s="60">
        <f ca="1">100+HLOOKUP(AC$4,$D$7:$P$336,$R22,FALSE)-HLOOKUP(AC$3,$D$7:$P$336,$R22,FALSE)</f>
        <v>100</v>
      </c>
      <c r="AD22" s="60">
        <f ca="1">100+HLOOKUP(AD$4,$D$7:$P$336,$R22,FALSE)-HLOOKUP(AD$3,$D$7:$P$336,$R22,FALSE)</f>
        <v>102</v>
      </c>
      <c r="AE22" s="60">
        <f ca="1">100+HLOOKUP(AE$4,$D$7:$P$336,$R22,FALSE)-HLOOKUP(AE$3,$D$7:$P$336,$R22,FALSE)</f>
        <v>102</v>
      </c>
      <c r="AF22" s="60">
        <f ca="1">100+HLOOKUP(AF$4,$D$7:$P$336,$R22,FALSE)-HLOOKUP(AF$3,$D$7:$P$336,$R22,FALSE)</f>
        <v>98</v>
      </c>
      <c r="AG22" s="60">
        <f ca="1">100+HLOOKUP(AG$4,$D$7:$P$336,$R22,FALSE)-HLOOKUP(AG$3,$D$7:$P$336,$R22,FALSE)</f>
        <v>98</v>
      </c>
      <c r="AH22" s="60" t="e">
        <f>100+HLOOKUP(AH$4,$D$7:$P$336,$R22,FALSE)-HLOOKUP(AH$3,$D$7:$P$336,$R22,FALSE)</f>
        <v>#N/A</v>
      </c>
      <c r="AI22" s="60" t="e">
        <f>100+HLOOKUP(AI$4,$D$7:$P$336,$R22,FALSE)-HLOOKUP(AI$3,$D$7:$P$336,$R22,FALSE)</f>
        <v>#N/A</v>
      </c>
      <c r="AJ22" s="60" t="e">
        <f>100+HLOOKUP(AJ$4,$D$7:$P$336,$R22,FALSE)-HLOOKUP(AJ$3,$D$7:$P$336,$R22,FALSE)</f>
        <v>#N/A</v>
      </c>
      <c r="AK22" s="60" t="e">
        <f>100+HLOOKUP(AK$4,$D$7:$P$336,$R22,FALSE)-HLOOKUP(AK$3,$D$7:$P$336,$R22,FALSE)</f>
        <v>#N/A</v>
      </c>
      <c r="AL22" s="60" t="e">
        <f>100+HLOOKUP(AL$4,$D$7:$P$336,$R22,FALSE)-HLOOKUP(AL$3,$D$7:$P$336,$R22,FALSE)</f>
        <v>#N/A</v>
      </c>
      <c r="AM22" s="60" t="e">
        <f>100+HLOOKUP(AM$4,$D$7:$P$336,$R22,FALSE)-HLOOKUP(AM$3,$D$7:$P$336,$R22,FALSE)</f>
        <v>#N/A</v>
      </c>
      <c r="AN22" s="60" t="e">
        <f>100+HLOOKUP(AN$4,$D$7:$P$336,$R22,FALSE)-HLOOKUP(AN$3,$D$7:$P$336,$R22,FALSE)</f>
        <v>#N/A</v>
      </c>
      <c r="AO22" s="60" t="e">
        <f>100+HLOOKUP(AO$4,$D$7:$P$336,$R22,FALSE)-HLOOKUP(AO$3,$D$7:$P$336,$R22,FALSE)</f>
        <v>#N/A</v>
      </c>
      <c r="AP22" s="60" t="e">
        <f>100+HLOOKUP(AP$4,$D$7:$P$336,$R22,FALSE)-HLOOKUP(AP$3,$D$7:$P$336,$R22,FALSE)</f>
        <v>#N/A</v>
      </c>
      <c r="AQ22" s="60" t="e">
        <f>100+HLOOKUP(AQ$4,$D$7:$P$336,$R22,FALSE)-HLOOKUP(AQ$3,$D$7:$P$336,$R22,FALSE)</f>
        <v>#N/A</v>
      </c>
      <c r="AV22" s="60">
        <f ca="1">AV$5-S22</f>
        <v>3.1903994267964322</v>
      </c>
      <c r="AW22" s="60">
        <f ca="1">AW$5-T22</f>
        <v>-3.7793494702422521</v>
      </c>
      <c r="AX22" s="60">
        <f ca="1">AX$5-U22</f>
        <v>3.7759154036680513</v>
      </c>
      <c r="AY22" s="60">
        <f ca="1">AY$5-V22</f>
        <v>-4.3969855984721988</v>
      </c>
      <c r="AZ22" s="60">
        <f ca="1">AZ$5-W22</f>
        <v>1.4544821725960304</v>
      </c>
      <c r="BA22" s="60">
        <f ca="1">BA$5-X22</f>
        <v>-1.5349409410172967</v>
      </c>
      <c r="BB22" s="60">
        <f ca="1">BB$5-Y22</f>
        <v>-4.6494072726188733</v>
      </c>
      <c r="BC22" s="60">
        <f ca="1">BC$5-Z22</f>
        <v>9.4374659098821638</v>
      </c>
      <c r="BD22" s="60">
        <f ca="1">BD$5-AA22</f>
        <v>-6.3481335617638024E-2</v>
      </c>
      <c r="BE22" s="60">
        <f ca="1">BE$5-AB22</f>
        <v>-4.170609408007806</v>
      </c>
      <c r="BF22" s="60">
        <f ca="1">BF$5-AC22</f>
        <v>1.0173043164770803</v>
      </c>
      <c r="BG22" s="60">
        <f ca="1">BG$5-AD22</f>
        <v>1.9852587050185093</v>
      </c>
      <c r="BH22" s="60">
        <f ca="1">BH$5-AE22</f>
        <v>-3.0454077696324333</v>
      </c>
      <c r="BI22" s="60">
        <f ca="1">BI$5-AF22</f>
        <v>-7.3914944887451952</v>
      </c>
      <c r="BJ22" s="60">
        <f ca="1">BJ$5-AG22</f>
        <v>-6.56044894232123</v>
      </c>
      <c r="BK22" s="60" t="e">
        <f>BK$5-AH22</f>
        <v>#N/A</v>
      </c>
      <c r="BL22" s="60" t="e">
        <f>BL$5-AI22</f>
        <v>#N/A</v>
      </c>
      <c r="BM22" s="60" t="e">
        <f>BM$5-AJ22</f>
        <v>#N/A</v>
      </c>
      <c r="BN22" s="60" t="e">
        <f>BN$5-AK22</f>
        <v>#N/A</v>
      </c>
      <c r="BO22" s="60" t="e">
        <f>BO$5-AL22</f>
        <v>#N/A</v>
      </c>
      <c r="BP22" s="60" t="e">
        <f>BP$5-AM22</f>
        <v>#N/A</v>
      </c>
      <c r="BQ22" s="60" t="e">
        <f>BQ$5-AN22</f>
        <v>#N/A</v>
      </c>
      <c r="BR22" s="60" t="e">
        <f>BR$5-AO22</f>
        <v>#N/A</v>
      </c>
      <c r="BS22" s="60" t="e">
        <f>BS$5-AP22</f>
        <v>#N/A</v>
      </c>
      <c r="BT22" s="60" t="e">
        <f>BT$5-AQ22</f>
        <v>#N/A</v>
      </c>
      <c r="BV22" s="60" cm="1">
        <f t="array" aca="1" ref="BV22" ca="1">SQRT(SUMSQ(_xlfn._xlws.FILTER(AV22:BT22,ISNUMBER(AV22:BT22)))/COUNT(_xlfn._xlws.FILTER(AV22:BT22,ISNUMBER(AV22:BT22))))</f>
        <v>4.4909525773257695</v>
      </c>
    </row>
    <row r="23" spans="3:74" x14ac:dyDescent="0.2">
      <c r="C23" s="60" t="s">
        <v>465</v>
      </c>
      <c r="D23" s="60">
        <v>0</v>
      </c>
      <c r="E23" s="60">
        <v>-2</v>
      </c>
      <c r="F23" s="60">
        <v>-4</v>
      </c>
      <c r="G23" s="60">
        <v>-6</v>
      </c>
      <c r="H23" s="60">
        <v>-8</v>
      </c>
      <c r="I23" s="60">
        <v>-6</v>
      </c>
      <c r="J23" s="60">
        <v>-4</v>
      </c>
      <c r="K23" s="60">
        <v>-2</v>
      </c>
      <c r="L23" s="60">
        <v>-2</v>
      </c>
      <c r="M23" s="60">
        <v>-2</v>
      </c>
      <c r="N23" s="60">
        <v>-2</v>
      </c>
      <c r="O23" s="60">
        <v>2</v>
      </c>
      <c r="P23" s="60">
        <v>0</v>
      </c>
      <c r="R23" s="61">
        <f>(ROW(R23)-ROW($C$6))</f>
        <v>17</v>
      </c>
      <c r="S23" s="60">
        <f ca="1">100+HLOOKUP(S$4,$D$7:$P$336,$R23,FALSE)-HLOOKUP(S$3,$D$7:$P$336,$R23,FALSE)</f>
        <v>94</v>
      </c>
      <c r="T23" s="60">
        <f ca="1">100+HLOOKUP(T$4,$D$7:$P$336,$R23,FALSE)-HLOOKUP(T$3,$D$7:$P$336,$R23,FALSE)</f>
        <v>94</v>
      </c>
      <c r="U23" s="60">
        <f ca="1">100+HLOOKUP(U$4,$D$7:$P$336,$R23,FALSE)-HLOOKUP(U$3,$D$7:$P$336,$R23,FALSE)</f>
        <v>100</v>
      </c>
      <c r="V23" s="60">
        <f ca="1">100+HLOOKUP(V$4,$D$7:$P$336,$R23,FALSE)-HLOOKUP(V$3,$D$7:$P$336,$R23,FALSE)</f>
        <v>96</v>
      </c>
      <c r="W23" s="60">
        <f ca="1">100+HLOOKUP(W$4,$D$7:$P$336,$R23,FALSE)-HLOOKUP(W$3,$D$7:$P$336,$R23,FALSE)</f>
        <v>98</v>
      </c>
      <c r="X23" s="60">
        <f ca="1">100+HLOOKUP(X$4,$D$7:$P$336,$R23,FALSE)-HLOOKUP(X$3,$D$7:$P$336,$R23,FALSE)</f>
        <v>94</v>
      </c>
      <c r="Y23" s="60">
        <f ca="1">100+HLOOKUP(Y$4,$D$7:$P$336,$R23,FALSE)-HLOOKUP(Y$3,$D$7:$P$336,$R23,FALSE)</f>
        <v>94</v>
      </c>
      <c r="Z23" s="60">
        <f ca="1">100+HLOOKUP(Z$4,$D$7:$P$336,$R23,FALSE)-HLOOKUP(Z$3,$D$7:$P$336,$R23,FALSE)</f>
        <v>100</v>
      </c>
      <c r="AA23" s="60">
        <f ca="1">100+HLOOKUP(AA$4,$D$7:$P$336,$R23,FALSE)-HLOOKUP(AA$3,$D$7:$P$336,$R23,FALSE)</f>
        <v>96</v>
      </c>
      <c r="AB23" s="60">
        <f ca="1">100+HLOOKUP(AB$4,$D$7:$P$336,$R23,FALSE)-HLOOKUP(AB$3,$D$7:$P$336,$R23,FALSE)</f>
        <v>98</v>
      </c>
      <c r="AC23" s="60">
        <f ca="1">100+HLOOKUP(AC$4,$D$7:$P$336,$R23,FALSE)-HLOOKUP(AC$3,$D$7:$P$336,$R23,FALSE)</f>
        <v>102</v>
      </c>
      <c r="AD23" s="60">
        <f ca="1">100+HLOOKUP(AD$4,$D$7:$P$336,$R23,FALSE)-HLOOKUP(AD$3,$D$7:$P$336,$R23,FALSE)</f>
        <v>110</v>
      </c>
      <c r="AE23" s="60">
        <f ca="1">100+HLOOKUP(AE$4,$D$7:$P$336,$R23,FALSE)-HLOOKUP(AE$3,$D$7:$P$336,$R23,FALSE)</f>
        <v>102</v>
      </c>
      <c r="AF23" s="60">
        <f ca="1">100+HLOOKUP(AF$4,$D$7:$P$336,$R23,FALSE)-HLOOKUP(AF$3,$D$7:$P$336,$R23,FALSE)</f>
        <v>96</v>
      </c>
      <c r="AG23" s="60">
        <f ca="1">100+HLOOKUP(AG$4,$D$7:$P$336,$R23,FALSE)-HLOOKUP(AG$3,$D$7:$P$336,$R23,FALSE)</f>
        <v>96</v>
      </c>
      <c r="AH23" s="60" t="e">
        <f>100+HLOOKUP(AH$4,$D$7:$P$336,$R23,FALSE)-HLOOKUP(AH$3,$D$7:$P$336,$R23,FALSE)</f>
        <v>#N/A</v>
      </c>
      <c r="AI23" s="60" t="e">
        <f>100+HLOOKUP(AI$4,$D$7:$P$336,$R23,FALSE)-HLOOKUP(AI$3,$D$7:$P$336,$R23,FALSE)</f>
        <v>#N/A</v>
      </c>
      <c r="AJ23" s="60" t="e">
        <f>100+HLOOKUP(AJ$4,$D$7:$P$336,$R23,FALSE)-HLOOKUP(AJ$3,$D$7:$P$336,$R23,FALSE)</f>
        <v>#N/A</v>
      </c>
      <c r="AK23" s="60" t="e">
        <f>100+HLOOKUP(AK$4,$D$7:$P$336,$R23,FALSE)-HLOOKUP(AK$3,$D$7:$P$336,$R23,FALSE)</f>
        <v>#N/A</v>
      </c>
      <c r="AL23" s="60" t="e">
        <f>100+HLOOKUP(AL$4,$D$7:$P$336,$R23,FALSE)-HLOOKUP(AL$3,$D$7:$P$336,$R23,FALSE)</f>
        <v>#N/A</v>
      </c>
      <c r="AM23" s="60" t="e">
        <f>100+HLOOKUP(AM$4,$D$7:$P$336,$R23,FALSE)-HLOOKUP(AM$3,$D$7:$P$336,$R23,FALSE)</f>
        <v>#N/A</v>
      </c>
      <c r="AN23" s="60" t="e">
        <f>100+HLOOKUP(AN$4,$D$7:$P$336,$R23,FALSE)-HLOOKUP(AN$3,$D$7:$P$336,$R23,FALSE)</f>
        <v>#N/A</v>
      </c>
      <c r="AO23" s="60" t="e">
        <f>100+HLOOKUP(AO$4,$D$7:$P$336,$R23,FALSE)-HLOOKUP(AO$3,$D$7:$P$336,$R23,FALSE)</f>
        <v>#N/A</v>
      </c>
      <c r="AP23" s="60" t="e">
        <f>100+HLOOKUP(AP$4,$D$7:$P$336,$R23,FALSE)-HLOOKUP(AP$3,$D$7:$P$336,$R23,FALSE)</f>
        <v>#N/A</v>
      </c>
      <c r="AQ23" s="60" t="e">
        <f>100+HLOOKUP(AQ$4,$D$7:$P$336,$R23,FALSE)-HLOOKUP(AQ$3,$D$7:$P$336,$R23,FALSE)</f>
        <v>#N/A</v>
      </c>
      <c r="AV23" s="60">
        <f ca="1">AV$5-S23</f>
        <v>9.1903994267964322</v>
      </c>
      <c r="AW23" s="60">
        <f ca="1">AW$5-T23</f>
        <v>0.2206505297577479</v>
      </c>
      <c r="AX23" s="60">
        <f ca="1">AX$5-U23</f>
        <v>1.7759154036680513</v>
      </c>
      <c r="AY23" s="60">
        <f ca="1">AY$5-V23</f>
        <v>-2.3969855984721988</v>
      </c>
      <c r="AZ23" s="60">
        <f ca="1">AZ$5-W23</f>
        <v>-0.54551782740396959</v>
      </c>
      <c r="BA23" s="60">
        <f ca="1">BA$5-X23</f>
        <v>4.4650590589827033</v>
      </c>
      <c r="BB23" s="60">
        <f ca="1">BB$5-Y23</f>
        <v>-0.64940727261887332</v>
      </c>
      <c r="BC23" s="60">
        <f ca="1">BC$5-Z23</f>
        <v>7.4374659098821638</v>
      </c>
      <c r="BD23" s="60">
        <f ca="1">BD$5-AA23</f>
        <v>1.936518664382362</v>
      </c>
      <c r="BE23" s="60">
        <f ca="1">BE$5-AB23</f>
        <v>-6.170609408007806</v>
      </c>
      <c r="BF23" s="60">
        <f ca="1">BF$5-AC23</f>
        <v>-0.98269568352291969</v>
      </c>
      <c r="BG23" s="60">
        <f ca="1">BG$5-AD23</f>
        <v>-6.0147412949814907</v>
      </c>
      <c r="BH23" s="60">
        <f ca="1">BH$5-AE23</f>
        <v>-3.0454077696324333</v>
      </c>
      <c r="BI23" s="60">
        <f ca="1">BI$5-AF23</f>
        <v>-5.3914944887451952</v>
      </c>
      <c r="BJ23" s="60">
        <f ca="1">BJ$5-AG23</f>
        <v>-4.56044894232123</v>
      </c>
      <c r="BK23" s="60" t="e">
        <f>BK$5-AH23</f>
        <v>#N/A</v>
      </c>
      <c r="BL23" s="60" t="e">
        <f>BL$5-AI23</f>
        <v>#N/A</v>
      </c>
      <c r="BM23" s="60" t="e">
        <f>BM$5-AJ23</f>
        <v>#N/A</v>
      </c>
      <c r="BN23" s="60" t="e">
        <f>BN$5-AK23</f>
        <v>#N/A</v>
      </c>
      <c r="BO23" s="60" t="e">
        <f>BO$5-AL23</f>
        <v>#N/A</v>
      </c>
      <c r="BP23" s="60" t="e">
        <f>BP$5-AM23</f>
        <v>#N/A</v>
      </c>
      <c r="BQ23" s="60" t="e">
        <f>BQ$5-AN23</f>
        <v>#N/A</v>
      </c>
      <c r="BR23" s="60" t="e">
        <f>BR$5-AO23</f>
        <v>#N/A</v>
      </c>
      <c r="BS23" s="60" t="e">
        <f>BS$5-AP23</f>
        <v>#N/A</v>
      </c>
      <c r="BT23" s="60" t="e">
        <f>BT$5-AQ23</f>
        <v>#N/A</v>
      </c>
      <c r="BV23" s="60" cm="1">
        <f t="array" aca="1" ref="BV23" ca="1">SQRT(SUMSQ(_xlfn._xlws.FILTER(AV23:BT23,ISNUMBER(AV23:BT23)))/COUNT(_xlfn._xlws.FILTER(AV23:BT23,ISNUMBER(AV23:BT23))))</f>
        <v>4.5276429434008447</v>
      </c>
    </row>
    <row r="24" spans="3:74" x14ac:dyDescent="0.2">
      <c r="C24" s="60" t="s">
        <v>505</v>
      </c>
      <c r="D24" s="60">
        <v>0</v>
      </c>
      <c r="E24" s="60">
        <v>-1.94</v>
      </c>
      <c r="F24" s="60">
        <v>-3.9</v>
      </c>
      <c r="G24" s="60">
        <v>-5.85</v>
      </c>
      <c r="H24" s="60">
        <v>-7.81</v>
      </c>
      <c r="I24" s="60">
        <v>-7.8</v>
      </c>
      <c r="J24" s="60">
        <v>-7.81</v>
      </c>
      <c r="K24" s="60">
        <v>-5.86</v>
      </c>
      <c r="L24" s="60">
        <v>-3.9</v>
      </c>
      <c r="M24" s="60">
        <v>-3.9</v>
      </c>
      <c r="N24" s="60">
        <v>-3.91</v>
      </c>
      <c r="O24" s="60">
        <v>-1.96</v>
      </c>
      <c r="P24" s="60">
        <v>0</v>
      </c>
      <c r="R24" s="61">
        <f>(ROW(R24)-ROW($C$6))</f>
        <v>18</v>
      </c>
      <c r="S24" s="60">
        <f ca="1">100+HLOOKUP(S$4,$D$7:$P$336,$R24,FALSE)-HLOOKUP(S$3,$D$7:$P$336,$R24,FALSE)</f>
        <v>96.09</v>
      </c>
      <c r="T24" s="60">
        <f ca="1">100+HLOOKUP(T$4,$D$7:$P$336,$R24,FALSE)-HLOOKUP(T$3,$D$7:$P$336,$R24,FALSE)</f>
        <v>94.149999999999991</v>
      </c>
      <c r="U24" s="60">
        <f ca="1">100+HLOOKUP(U$4,$D$7:$P$336,$R24,FALSE)-HLOOKUP(U$3,$D$7:$P$336,$R24,FALSE)</f>
        <v>98.039999999999992</v>
      </c>
      <c r="V24" s="60">
        <f ca="1">100+HLOOKUP(V$4,$D$7:$P$336,$R24,FALSE)-HLOOKUP(V$3,$D$7:$P$336,$R24,FALSE)</f>
        <v>96.11</v>
      </c>
      <c r="W24" s="60">
        <f ca="1">100+HLOOKUP(W$4,$D$7:$P$336,$R24,FALSE)-HLOOKUP(W$3,$D$7:$P$336,$R24,FALSE)</f>
        <v>94.14</v>
      </c>
      <c r="X24" s="60">
        <f ca="1">100+HLOOKUP(X$4,$D$7:$P$336,$R24,FALSE)-HLOOKUP(X$3,$D$7:$P$336,$R24,FALSE)</f>
        <v>96.09</v>
      </c>
      <c r="Y24" s="60">
        <f ca="1">100+HLOOKUP(Y$4,$D$7:$P$336,$R24,FALSE)-HLOOKUP(Y$3,$D$7:$P$336,$R24,FALSE)</f>
        <v>94.149999999999991</v>
      </c>
      <c r="Z24" s="60">
        <f ca="1">100+HLOOKUP(Z$4,$D$7:$P$336,$R24,FALSE)-HLOOKUP(Z$3,$D$7:$P$336,$R24,FALSE)</f>
        <v>98.039999999999992</v>
      </c>
      <c r="AA24" s="60">
        <f ca="1">100+HLOOKUP(AA$4,$D$7:$P$336,$R24,FALSE)-HLOOKUP(AA$3,$D$7:$P$336,$R24,FALSE)</f>
        <v>96.11</v>
      </c>
      <c r="AB24" s="60">
        <f ca="1">100+HLOOKUP(AB$4,$D$7:$P$336,$R24,FALSE)-HLOOKUP(AB$3,$D$7:$P$336,$R24,FALSE)</f>
        <v>94.14</v>
      </c>
      <c r="AC24" s="60">
        <f ca="1">100+HLOOKUP(AC$4,$D$7:$P$336,$R24,FALSE)-HLOOKUP(AC$3,$D$7:$P$336,$R24,FALSE)</f>
        <v>100</v>
      </c>
      <c r="AD24" s="60">
        <f ca="1">100+HLOOKUP(AD$4,$D$7:$P$336,$R24,FALSE)-HLOOKUP(AD$3,$D$7:$P$336,$R24,FALSE)</f>
        <v>105.85000000000001</v>
      </c>
      <c r="AE24" s="60">
        <f ca="1">100+HLOOKUP(AE$4,$D$7:$P$336,$R24,FALSE)-HLOOKUP(AE$3,$D$7:$P$336,$R24,FALSE)</f>
        <v>105.87</v>
      </c>
      <c r="AF24" s="60">
        <f ca="1">100+HLOOKUP(AF$4,$D$7:$P$336,$R24,FALSE)-HLOOKUP(AF$3,$D$7:$P$336,$R24,FALSE)</f>
        <v>98.050000000000011</v>
      </c>
      <c r="AG24" s="60">
        <f ca="1">100+HLOOKUP(AG$4,$D$7:$P$336,$R24,FALSE)-HLOOKUP(AG$3,$D$7:$P$336,$R24,FALSE)</f>
        <v>96.11</v>
      </c>
      <c r="AH24" s="60" t="e">
        <f>100+HLOOKUP(AH$4,$D$7:$P$336,$R24,FALSE)-HLOOKUP(AH$3,$D$7:$P$336,$R24,FALSE)</f>
        <v>#N/A</v>
      </c>
      <c r="AI24" s="60" t="e">
        <f>100+HLOOKUP(AI$4,$D$7:$P$336,$R24,FALSE)-HLOOKUP(AI$3,$D$7:$P$336,$R24,FALSE)</f>
        <v>#N/A</v>
      </c>
      <c r="AJ24" s="60" t="e">
        <f>100+HLOOKUP(AJ$4,$D$7:$P$336,$R24,FALSE)-HLOOKUP(AJ$3,$D$7:$P$336,$R24,FALSE)</f>
        <v>#N/A</v>
      </c>
      <c r="AK24" s="60" t="e">
        <f>100+HLOOKUP(AK$4,$D$7:$P$336,$R24,FALSE)-HLOOKUP(AK$3,$D$7:$P$336,$R24,FALSE)</f>
        <v>#N/A</v>
      </c>
      <c r="AL24" s="60" t="e">
        <f>100+HLOOKUP(AL$4,$D$7:$P$336,$R24,FALSE)-HLOOKUP(AL$3,$D$7:$P$336,$R24,FALSE)</f>
        <v>#N/A</v>
      </c>
      <c r="AM24" s="60" t="e">
        <f>100+HLOOKUP(AM$4,$D$7:$P$336,$R24,FALSE)-HLOOKUP(AM$3,$D$7:$P$336,$R24,FALSE)</f>
        <v>#N/A</v>
      </c>
      <c r="AN24" s="60" t="e">
        <f>100+HLOOKUP(AN$4,$D$7:$P$336,$R24,FALSE)-HLOOKUP(AN$3,$D$7:$P$336,$R24,FALSE)</f>
        <v>#N/A</v>
      </c>
      <c r="AO24" s="60" t="e">
        <f>100+HLOOKUP(AO$4,$D$7:$P$336,$R24,FALSE)-HLOOKUP(AO$3,$D$7:$P$336,$R24,FALSE)</f>
        <v>#N/A</v>
      </c>
      <c r="AP24" s="60" t="e">
        <f>100+HLOOKUP(AP$4,$D$7:$P$336,$R24,FALSE)-HLOOKUP(AP$3,$D$7:$P$336,$R24,FALSE)</f>
        <v>#N/A</v>
      </c>
      <c r="AQ24" s="60" t="e">
        <f>100+HLOOKUP(AQ$4,$D$7:$P$336,$R24,FALSE)-HLOOKUP(AQ$3,$D$7:$P$336,$R24,FALSE)</f>
        <v>#N/A</v>
      </c>
      <c r="AV24" s="60">
        <f ca="1">AV$5-S24</f>
        <v>7.1003994267964288</v>
      </c>
      <c r="AW24" s="60">
        <f ca="1">AW$5-T24</f>
        <v>7.0650529757756431E-2</v>
      </c>
      <c r="AX24" s="60">
        <f ca="1">AX$5-U24</f>
        <v>3.7359154036680593</v>
      </c>
      <c r="AY24" s="60">
        <f ca="1">AY$5-V24</f>
        <v>-2.5069855984721983</v>
      </c>
      <c r="AZ24" s="60">
        <f ca="1">AZ$5-W24</f>
        <v>3.3144821725960298</v>
      </c>
      <c r="BA24" s="60">
        <f ca="1">BA$5-X24</f>
        <v>2.3750590589826999</v>
      </c>
      <c r="BB24" s="60">
        <f ca="1">BB$5-Y24</f>
        <v>-0.79940727261886479</v>
      </c>
      <c r="BC24" s="60">
        <f ca="1">BC$5-Z24</f>
        <v>9.3974659098821718</v>
      </c>
      <c r="BD24" s="60">
        <f ca="1">BD$5-AA24</f>
        <v>1.8265186643823625</v>
      </c>
      <c r="BE24" s="60">
        <f ca="1">BE$5-AB24</f>
        <v>-2.3106094080078066</v>
      </c>
      <c r="BF24" s="60">
        <f ca="1">BF$5-AC24</f>
        <v>1.0173043164770803</v>
      </c>
      <c r="BG24" s="60">
        <f ca="1">BG$5-AD24</f>
        <v>-1.8647412949814992</v>
      </c>
      <c r="BH24" s="60">
        <f ca="1">BH$5-AE24</f>
        <v>-6.9154077696324379</v>
      </c>
      <c r="BI24" s="60">
        <f ca="1">BI$5-AF24</f>
        <v>-7.4414944887452066</v>
      </c>
      <c r="BJ24" s="60">
        <f ca="1">BJ$5-AG24</f>
        <v>-4.6704489423212294</v>
      </c>
      <c r="BK24" s="60" t="e">
        <f>BK$5-AH24</f>
        <v>#N/A</v>
      </c>
      <c r="BL24" s="60" t="e">
        <f>BL$5-AI24</f>
        <v>#N/A</v>
      </c>
      <c r="BM24" s="60" t="e">
        <f>BM$5-AJ24</f>
        <v>#N/A</v>
      </c>
      <c r="BN24" s="60" t="e">
        <f>BN$5-AK24</f>
        <v>#N/A</v>
      </c>
      <c r="BO24" s="60" t="e">
        <f>BO$5-AL24</f>
        <v>#N/A</v>
      </c>
      <c r="BP24" s="60" t="e">
        <f>BP$5-AM24</f>
        <v>#N/A</v>
      </c>
      <c r="BQ24" s="60" t="e">
        <f>BQ$5-AN24</f>
        <v>#N/A</v>
      </c>
      <c r="BR24" s="60" t="e">
        <f>BR$5-AO24</f>
        <v>#N/A</v>
      </c>
      <c r="BS24" s="60" t="e">
        <f>BS$5-AP24</f>
        <v>#N/A</v>
      </c>
      <c r="BT24" s="60" t="e">
        <f>BT$5-AQ24</f>
        <v>#N/A</v>
      </c>
      <c r="BV24" s="60" cm="1">
        <f t="array" aca="1" ref="BV24" ca="1">SQRT(SUMSQ(_xlfn._xlws.FILTER(AV24:BT24,ISNUMBER(AV24:BT24)))/COUNT(_xlfn._xlws.FILTER(AV24:BT24,ISNUMBER(AV24:BT24))))</f>
        <v>4.5784995499918564</v>
      </c>
    </row>
    <row r="25" spans="3:74" x14ac:dyDescent="0.2">
      <c r="C25" s="60" t="s">
        <v>455</v>
      </c>
      <c r="D25" s="60">
        <v>0</v>
      </c>
      <c r="E25" s="60">
        <v>-2</v>
      </c>
      <c r="F25" s="60">
        <v>-4</v>
      </c>
      <c r="G25" s="60">
        <v>-6</v>
      </c>
      <c r="H25" s="60">
        <v>-8</v>
      </c>
      <c r="I25" s="60">
        <v>-10</v>
      </c>
      <c r="J25" s="60">
        <v>-8</v>
      </c>
      <c r="K25" s="60">
        <v>-6</v>
      </c>
      <c r="L25" s="60">
        <v>-4</v>
      </c>
      <c r="M25" s="60">
        <v>-4</v>
      </c>
      <c r="N25" s="60">
        <v>-3</v>
      </c>
      <c r="O25" s="60">
        <v>-2</v>
      </c>
      <c r="P25" s="60">
        <v>0</v>
      </c>
      <c r="R25" s="61">
        <f>(ROW(R25)-ROW($C$6))</f>
        <v>19</v>
      </c>
      <c r="S25" s="60">
        <f ca="1">100+HLOOKUP(S$4,$D$7:$P$336,$R25,FALSE)-HLOOKUP(S$3,$D$7:$P$336,$R25,FALSE)</f>
        <v>96</v>
      </c>
      <c r="T25" s="60">
        <f ca="1">100+HLOOKUP(T$4,$D$7:$P$336,$R25,FALSE)-HLOOKUP(T$3,$D$7:$P$336,$R25,FALSE)</f>
        <v>94</v>
      </c>
      <c r="U25" s="60">
        <f ca="1">100+HLOOKUP(U$4,$D$7:$P$336,$R25,FALSE)-HLOOKUP(U$3,$D$7:$P$336,$R25,FALSE)</f>
        <v>98</v>
      </c>
      <c r="V25" s="60">
        <f ca="1">100+HLOOKUP(V$4,$D$7:$P$336,$R25,FALSE)-HLOOKUP(V$3,$D$7:$P$336,$R25,FALSE)</f>
        <v>93</v>
      </c>
      <c r="W25" s="60">
        <f ca="1">100+HLOOKUP(W$4,$D$7:$P$336,$R25,FALSE)-HLOOKUP(W$3,$D$7:$P$336,$R25,FALSE)</f>
        <v>94</v>
      </c>
      <c r="X25" s="60">
        <f ca="1">100+HLOOKUP(X$4,$D$7:$P$336,$R25,FALSE)-HLOOKUP(X$3,$D$7:$P$336,$R25,FALSE)</f>
        <v>96</v>
      </c>
      <c r="Y25" s="60">
        <f ca="1">100+HLOOKUP(Y$4,$D$7:$P$336,$R25,FALSE)-HLOOKUP(Y$3,$D$7:$P$336,$R25,FALSE)</f>
        <v>94</v>
      </c>
      <c r="Z25" s="60">
        <f ca="1">100+HLOOKUP(Z$4,$D$7:$P$336,$R25,FALSE)-HLOOKUP(Z$3,$D$7:$P$336,$R25,FALSE)</f>
        <v>98</v>
      </c>
      <c r="AA25" s="60">
        <f ca="1">100+HLOOKUP(AA$4,$D$7:$P$336,$R25,FALSE)-HLOOKUP(AA$3,$D$7:$P$336,$R25,FALSE)</f>
        <v>93</v>
      </c>
      <c r="AB25" s="60">
        <f ca="1">100+HLOOKUP(AB$4,$D$7:$P$336,$R25,FALSE)-HLOOKUP(AB$3,$D$7:$P$336,$R25,FALSE)</f>
        <v>94</v>
      </c>
      <c r="AC25" s="60">
        <f ca="1">100+HLOOKUP(AC$4,$D$7:$P$336,$R25,FALSE)-HLOOKUP(AC$3,$D$7:$P$336,$R25,FALSE)</f>
        <v>100</v>
      </c>
      <c r="AD25" s="60">
        <f ca="1">100+HLOOKUP(AD$4,$D$7:$P$336,$R25,FALSE)-HLOOKUP(AD$3,$D$7:$P$336,$R25,FALSE)</f>
        <v>106</v>
      </c>
      <c r="AE25" s="60">
        <f ca="1">100+HLOOKUP(AE$4,$D$7:$P$336,$R25,FALSE)-HLOOKUP(AE$3,$D$7:$P$336,$R25,FALSE)</f>
        <v>106</v>
      </c>
      <c r="AF25" s="60">
        <f ca="1">100+HLOOKUP(AF$4,$D$7:$P$336,$R25,FALSE)-HLOOKUP(AF$3,$D$7:$P$336,$R25,FALSE)</f>
        <v>98</v>
      </c>
      <c r="AG25" s="60">
        <f ca="1">100+HLOOKUP(AG$4,$D$7:$P$336,$R25,FALSE)-HLOOKUP(AG$3,$D$7:$P$336,$R25,FALSE)</f>
        <v>93</v>
      </c>
      <c r="AH25" s="60" t="e">
        <f>100+HLOOKUP(AH$4,$D$7:$P$336,$R25,FALSE)-HLOOKUP(AH$3,$D$7:$P$336,$R25,FALSE)</f>
        <v>#N/A</v>
      </c>
      <c r="AI25" s="60" t="e">
        <f>100+HLOOKUP(AI$4,$D$7:$P$336,$R25,FALSE)-HLOOKUP(AI$3,$D$7:$P$336,$R25,FALSE)</f>
        <v>#N/A</v>
      </c>
      <c r="AJ25" s="60" t="e">
        <f>100+HLOOKUP(AJ$4,$D$7:$P$336,$R25,FALSE)-HLOOKUP(AJ$3,$D$7:$P$336,$R25,FALSE)</f>
        <v>#N/A</v>
      </c>
      <c r="AK25" s="60" t="e">
        <f>100+HLOOKUP(AK$4,$D$7:$P$336,$R25,FALSE)-HLOOKUP(AK$3,$D$7:$P$336,$R25,FALSE)</f>
        <v>#N/A</v>
      </c>
      <c r="AL25" s="60" t="e">
        <f>100+HLOOKUP(AL$4,$D$7:$P$336,$R25,FALSE)-HLOOKUP(AL$3,$D$7:$P$336,$R25,FALSE)</f>
        <v>#N/A</v>
      </c>
      <c r="AM25" s="60" t="e">
        <f>100+HLOOKUP(AM$4,$D$7:$P$336,$R25,FALSE)-HLOOKUP(AM$3,$D$7:$P$336,$R25,FALSE)</f>
        <v>#N/A</v>
      </c>
      <c r="AN25" s="60" t="e">
        <f>100+HLOOKUP(AN$4,$D$7:$P$336,$R25,FALSE)-HLOOKUP(AN$3,$D$7:$P$336,$R25,FALSE)</f>
        <v>#N/A</v>
      </c>
      <c r="AO25" s="60" t="e">
        <f>100+HLOOKUP(AO$4,$D$7:$P$336,$R25,FALSE)-HLOOKUP(AO$3,$D$7:$P$336,$R25,FALSE)</f>
        <v>#N/A</v>
      </c>
      <c r="AP25" s="60" t="e">
        <f>100+HLOOKUP(AP$4,$D$7:$P$336,$R25,FALSE)-HLOOKUP(AP$3,$D$7:$P$336,$R25,FALSE)</f>
        <v>#N/A</v>
      </c>
      <c r="AQ25" s="60" t="e">
        <f>100+HLOOKUP(AQ$4,$D$7:$P$336,$R25,FALSE)-HLOOKUP(AQ$3,$D$7:$P$336,$R25,FALSE)</f>
        <v>#N/A</v>
      </c>
      <c r="AV25" s="60">
        <f ca="1">AV$5-S25</f>
        <v>7.1903994267964322</v>
      </c>
      <c r="AW25" s="60">
        <f ca="1">AW$5-T25</f>
        <v>0.2206505297577479</v>
      </c>
      <c r="AX25" s="60">
        <f ca="1">AX$5-U25</f>
        <v>3.7759154036680513</v>
      </c>
      <c r="AY25" s="60">
        <f ca="1">AY$5-V25</f>
        <v>0.60301440152780117</v>
      </c>
      <c r="AZ25" s="60">
        <f ca="1">AZ$5-W25</f>
        <v>3.4544821725960304</v>
      </c>
      <c r="BA25" s="60">
        <f ca="1">BA$5-X25</f>
        <v>2.4650590589827033</v>
      </c>
      <c r="BB25" s="60">
        <f ca="1">BB$5-Y25</f>
        <v>-0.64940727261887332</v>
      </c>
      <c r="BC25" s="60">
        <f ca="1">BC$5-Z25</f>
        <v>9.4374659098821638</v>
      </c>
      <c r="BD25" s="60">
        <f ca="1">BD$5-AA25</f>
        <v>4.936518664382362</v>
      </c>
      <c r="BE25" s="60">
        <f ca="1">BE$5-AB25</f>
        <v>-2.170609408007806</v>
      </c>
      <c r="BF25" s="60">
        <f ca="1">BF$5-AC25</f>
        <v>1.0173043164770803</v>
      </c>
      <c r="BG25" s="60">
        <f ca="1">BG$5-AD25</f>
        <v>-2.0147412949814907</v>
      </c>
      <c r="BH25" s="60">
        <f ca="1">BH$5-AE25</f>
        <v>-7.0454077696324333</v>
      </c>
      <c r="BI25" s="60">
        <f ca="1">BI$5-AF25</f>
        <v>-7.3914944887451952</v>
      </c>
      <c r="BJ25" s="60">
        <f ca="1">BJ$5-AG25</f>
        <v>-1.56044894232123</v>
      </c>
      <c r="BK25" s="60" t="e">
        <f>BK$5-AH25</f>
        <v>#N/A</v>
      </c>
      <c r="BL25" s="60" t="e">
        <f>BL$5-AI25</f>
        <v>#N/A</v>
      </c>
      <c r="BM25" s="60" t="e">
        <f>BM$5-AJ25</f>
        <v>#N/A</v>
      </c>
      <c r="BN25" s="60" t="e">
        <f>BN$5-AK25</f>
        <v>#N/A</v>
      </c>
      <c r="BO25" s="60" t="e">
        <f>BO$5-AL25</f>
        <v>#N/A</v>
      </c>
      <c r="BP25" s="60" t="e">
        <f>BP$5-AM25</f>
        <v>#N/A</v>
      </c>
      <c r="BQ25" s="60" t="e">
        <f>BQ$5-AN25</f>
        <v>#N/A</v>
      </c>
      <c r="BR25" s="60" t="e">
        <f>BR$5-AO25</f>
        <v>#N/A</v>
      </c>
      <c r="BS25" s="60" t="e">
        <f>BS$5-AP25</f>
        <v>#N/A</v>
      </c>
      <c r="BT25" s="60" t="e">
        <f>BT$5-AQ25</f>
        <v>#N/A</v>
      </c>
      <c r="BV25" s="60" cm="1">
        <f t="array" aca="1" ref="BV25" ca="1">SQRT(SUMSQ(_xlfn._xlws.FILTER(AV25:BT25,ISNUMBER(AV25:BT25)))/COUNT(_xlfn._xlws.FILTER(AV25:BT25,ISNUMBER(AV25:BT25))))</f>
        <v>4.5807638702974147</v>
      </c>
    </row>
    <row r="26" spans="3:74" x14ac:dyDescent="0.2">
      <c r="C26" s="60" t="s">
        <v>218</v>
      </c>
      <c r="D26" s="60">
        <v>0</v>
      </c>
      <c r="E26" s="60">
        <v>-1</v>
      </c>
      <c r="F26" s="60">
        <v>-3</v>
      </c>
      <c r="G26" s="60">
        <v>-4</v>
      </c>
      <c r="H26" s="60">
        <v>-4</v>
      </c>
      <c r="I26" s="60">
        <v>-4</v>
      </c>
      <c r="J26" s="60">
        <v>-4</v>
      </c>
      <c r="K26" s="60">
        <v>-5</v>
      </c>
      <c r="L26" s="60">
        <v>-3</v>
      </c>
      <c r="M26" s="60">
        <v>-2</v>
      </c>
      <c r="N26" s="60">
        <v>-1</v>
      </c>
      <c r="O26" s="60">
        <v>-2</v>
      </c>
      <c r="P26" s="60">
        <v>0</v>
      </c>
      <c r="R26" s="61">
        <f>(ROW(R26)-ROW($C$6))</f>
        <v>20</v>
      </c>
      <c r="S26" s="60">
        <f ca="1">100+HLOOKUP(S$4,$D$7:$P$336,$R26,FALSE)-HLOOKUP(S$3,$D$7:$P$336,$R26,FALSE)</f>
        <v>98</v>
      </c>
      <c r="T26" s="60">
        <f ca="1">100+HLOOKUP(T$4,$D$7:$P$336,$R26,FALSE)-HLOOKUP(T$3,$D$7:$P$336,$R26,FALSE)</f>
        <v>98</v>
      </c>
      <c r="U26" s="60">
        <f ca="1">100+HLOOKUP(U$4,$D$7:$P$336,$R26,FALSE)-HLOOKUP(U$3,$D$7:$P$336,$R26,FALSE)</f>
        <v>98</v>
      </c>
      <c r="V26" s="60">
        <f ca="1">100+HLOOKUP(V$4,$D$7:$P$336,$R26,FALSE)-HLOOKUP(V$3,$D$7:$P$336,$R26,FALSE)</f>
        <v>97</v>
      </c>
      <c r="W26" s="60">
        <f ca="1">100+HLOOKUP(W$4,$D$7:$P$336,$R26,FALSE)-HLOOKUP(W$3,$D$7:$P$336,$R26,FALSE)</f>
        <v>95</v>
      </c>
      <c r="X26" s="60">
        <f ca="1">100+HLOOKUP(X$4,$D$7:$P$336,$R26,FALSE)-HLOOKUP(X$3,$D$7:$P$336,$R26,FALSE)</f>
        <v>98</v>
      </c>
      <c r="Y26" s="60">
        <f ca="1">100+HLOOKUP(Y$4,$D$7:$P$336,$R26,FALSE)-HLOOKUP(Y$3,$D$7:$P$336,$R26,FALSE)</f>
        <v>98</v>
      </c>
      <c r="Z26" s="60">
        <f ca="1">100+HLOOKUP(Z$4,$D$7:$P$336,$R26,FALSE)-HLOOKUP(Z$3,$D$7:$P$336,$R26,FALSE)</f>
        <v>98</v>
      </c>
      <c r="AA26" s="60">
        <f ca="1">100+HLOOKUP(AA$4,$D$7:$P$336,$R26,FALSE)-HLOOKUP(AA$3,$D$7:$P$336,$R26,FALSE)</f>
        <v>97</v>
      </c>
      <c r="AB26" s="60">
        <f ca="1">100+HLOOKUP(AB$4,$D$7:$P$336,$R26,FALSE)-HLOOKUP(AB$3,$D$7:$P$336,$R26,FALSE)</f>
        <v>95</v>
      </c>
      <c r="AC26" s="60">
        <f ca="1">100+HLOOKUP(AC$4,$D$7:$P$336,$R26,FALSE)-HLOOKUP(AC$3,$D$7:$P$336,$R26,FALSE)</f>
        <v>101</v>
      </c>
      <c r="AD26" s="60">
        <f ca="1">100+HLOOKUP(AD$4,$D$7:$P$336,$R26,FALSE)-HLOOKUP(AD$3,$D$7:$P$336,$R26,FALSE)</f>
        <v>102</v>
      </c>
      <c r="AE26" s="60">
        <f ca="1">100+HLOOKUP(AE$4,$D$7:$P$336,$R26,FALSE)-HLOOKUP(AE$3,$D$7:$P$336,$R26,FALSE)</f>
        <v>103</v>
      </c>
      <c r="AF26" s="60">
        <f ca="1">100+HLOOKUP(AF$4,$D$7:$P$336,$R26,FALSE)-HLOOKUP(AF$3,$D$7:$P$336,$R26,FALSE)</f>
        <v>99</v>
      </c>
      <c r="AG26" s="60">
        <f ca="1">100+HLOOKUP(AG$4,$D$7:$P$336,$R26,FALSE)-HLOOKUP(AG$3,$D$7:$P$336,$R26,FALSE)</f>
        <v>97</v>
      </c>
      <c r="AH26" s="60" t="e">
        <f>100+HLOOKUP(AH$4,$D$7:$P$336,$R26,FALSE)-HLOOKUP(AH$3,$D$7:$P$336,$R26,FALSE)</f>
        <v>#N/A</v>
      </c>
      <c r="AI26" s="60" t="e">
        <f>100+HLOOKUP(AI$4,$D$7:$P$336,$R26,FALSE)-HLOOKUP(AI$3,$D$7:$P$336,$R26,FALSE)</f>
        <v>#N/A</v>
      </c>
      <c r="AJ26" s="60" t="e">
        <f>100+HLOOKUP(AJ$4,$D$7:$P$336,$R26,FALSE)-HLOOKUP(AJ$3,$D$7:$P$336,$R26,FALSE)</f>
        <v>#N/A</v>
      </c>
      <c r="AK26" s="60" t="e">
        <f>100+HLOOKUP(AK$4,$D$7:$P$336,$R26,FALSE)-HLOOKUP(AK$3,$D$7:$P$336,$R26,FALSE)</f>
        <v>#N/A</v>
      </c>
      <c r="AL26" s="60" t="e">
        <f>100+HLOOKUP(AL$4,$D$7:$P$336,$R26,FALSE)-HLOOKUP(AL$3,$D$7:$P$336,$R26,FALSE)</f>
        <v>#N/A</v>
      </c>
      <c r="AM26" s="60" t="e">
        <f>100+HLOOKUP(AM$4,$D$7:$P$336,$R26,FALSE)-HLOOKUP(AM$3,$D$7:$P$336,$R26,FALSE)</f>
        <v>#N/A</v>
      </c>
      <c r="AN26" s="60" t="e">
        <f>100+HLOOKUP(AN$4,$D$7:$P$336,$R26,FALSE)-HLOOKUP(AN$3,$D$7:$P$336,$R26,FALSE)</f>
        <v>#N/A</v>
      </c>
      <c r="AO26" s="60" t="e">
        <f>100+HLOOKUP(AO$4,$D$7:$P$336,$R26,FALSE)-HLOOKUP(AO$3,$D$7:$P$336,$R26,FALSE)</f>
        <v>#N/A</v>
      </c>
      <c r="AP26" s="60" t="e">
        <f>100+HLOOKUP(AP$4,$D$7:$P$336,$R26,FALSE)-HLOOKUP(AP$3,$D$7:$P$336,$R26,FALSE)</f>
        <v>#N/A</v>
      </c>
      <c r="AQ26" s="60" t="e">
        <f>100+HLOOKUP(AQ$4,$D$7:$P$336,$R26,FALSE)-HLOOKUP(AQ$3,$D$7:$P$336,$R26,FALSE)</f>
        <v>#N/A</v>
      </c>
      <c r="AV26" s="60">
        <f ca="1">AV$5-S26</f>
        <v>5.1903994267964322</v>
      </c>
      <c r="AW26" s="60">
        <f ca="1">AW$5-T26</f>
        <v>-3.7793494702422521</v>
      </c>
      <c r="AX26" s="60">
        <f ca="1">AX$5-U26</f>
        <v>3.7759154036680513</v>
      </c>
      <c r="AY26" s="60">
        <f ca="1">AY$5-V26</f>
        <v>-3.3969855984721988</v>
      </c>
      <c r="AZ26" s="60">
        <f ca="1">AZ$5-W26</f>
        <v>2.4544821725960304</v>
      </c>
      <c r="BA26" s="60">
        <f ca="1">BA$5-X26</f>
        <v>0.46505905898270328</v>
      </c>
      <c r="BB26" s="60">
        <f ca="1">BB$5-Y26</f>
        <v>-4.6494072726188733</v>
      </c>
      <c r="BC26" s="60">
        <f ca="1">BC$5-Z26</f>
        <v>9.4374659098821638</v>
      </c>
      <c r="BD26" s="60">
        <f ca="1">BD$5-AA26</f>
        <v>0.93651866438236198</v>
      </c>
      <c r="BE26" s="60">
        <f ca="1">BE$5-AB26</f>
        <v>-3.170609408007806</v>
      </c>
      <c r="BF26" s="60">
        <f ca="1">BF$5-AC26</f>
        <v>1.7304316477080306E-2</v>
      </c>
      <c r="BG26" s="60">
        <f ca="1">BG$5-AD26</f>
        <v>1.9852587050185093</v>
      </c>
      <c r="BH26" s="60">
        <f ca="1">BH$5-AE26</f>
        <v>-4.0454077696324333</v>
      </c>
      <c r="BI26" s="60">
        <f ca="1">BI$5-AF26</f>
        <v>-8.3914944887451952</v>
      </c>
      <c r="BJ26" s="60">
        <f ca="1">BJ$5-AG26</f>
        <v>-5.56044894232123</v>
      </c>
      <c r="BK26" s="60" t="e">
        <f>BK$5-AH26</f>
        <v>#N/A</v>
      </c>
      <c r="BL26" s="60" t="e">
        <f>BL$5-AI26</f>
        <v>#N/A</v>
      </c>
      <c r="BM26" s="60" t="e">
        <f>BM$5-AJ26</f>
        <v>#N/A</v>
      </c>
      <c r="BN26" s="60" t="e">
        <f>BN$5-AK26</f>
        <v>#N/A</v>
      </c>
      <c r="BO26" s="60" t="e">
        <f>BO$5-AL26</f>
        <v>#N/A</v>
      </c>
      <c r="BP26" s="60" t="e">
        <f>BP$5-AM26</f>
        <v>#N/A</v>
      </c>
      <c r="BQ26" s="60" t="e">
        <f>BQ$5-AN26</f>
        <v>#N/A</v>
      </c>
      <c r="BR26" s="60" t="e">
        <f>BR$5-AO26</f>
        <v>#N/A</v>
      </c>
      <c r="BS26" s="60" t="e">
        <f>BS$5-AP26</f>
        <v>#N/A</v>
      </c>
      <c r="BT26" s="60" t="e">
        <f>BT$5-AQ26</f>
        <v>#N/A</v>
      </c>
      <c r="BV26" s="60" cm="1">
        <f t="array" aca="1" ref="BV26" ca="1">SQRT(SUMSQ(_xlfn._xlws.FILTER(AV26:BT26,ISNUMBER(AV26:BT26)))/COUNT(_xlfn._xlws.FILTER(AV26:BT26,ISNUMBER(AV26:BT26))))</f>
        <v>4.5935953194283199</v>
      </c>
    </row>
    <row r="27" spans="3:74" x14ac:dyDescent="0.2">
      <c r="C27" s="60" t="s">
        <v>216</v>
      </c>
      <c r="D27" s="60">
        <v>0</v>
      </c>
      <c r="E27" s="60">
        <v>-1</v>
      </c>
      <c r="F27" s="60">
        <v>-3</v>
      </c>
      <c r="G27" s="60">
        <v>-4</v>
      </c>
      <c r="H27" s="60">
        <v>-4</v>
      </c>
      <c r="I27" s="60">
        <v>-4</v>
      </c>
      <c r="J27" s="60">
        <v>-7</v>
      </c>
      <c r="K27" s="60">
        <v>-5</v>
      </c>
      <c r="L27" s="60">
        <v>-3</v>
      </c>
      <c r="M27" s="60">
        <v>-2</v>
      </c>
      <c r="N27" s="60">
        <v>-1</v>
      </c>
      <c r="O27" s="60">
        <v>-2</v>
      </c>
      <c r="P27" s="60">
        <v>0</v>
      </c>
      <c r="R27" s="61">
        <f>(ROW(R27)-ROW($C$6))</f>
        <v>21</v>
      </c>
      <c r="S27" s="60">
        <f ca="1">100+HLOOKUP(S$4,$D$7:$P$336,$R27,FALSE)-HLOOKUP(S$3,$D$7:$P$336,$R27,FALSE)</f>
        <v>98</v>
      </c>
      <c r="T27" s="60">
        <f ca="1">100+HLOOKUP(T$4,$D$7:$P$336,$R27,FALSE)-HLOOKUP(T$3,$D$7:$P$336,$R27,FALSE)</f>
        <v>95</v>
      </c>
      <c r="U27" s="60">
        <f ca="1">100+HLOOKUP(U$4,$D$7:$P$336,$R27,FALSE)-HLOOKUP(U$3,$D$7:$P$336,$R27,FALSE)</f>
        <v>98</v>
      </c>
      <c r="V27" s="60">
        <f ca="1">100+HLOOKUP(V$4,$D$7:$P$336,$R27,FALSE)-HLOOKUP(V$3,$D$7:$P$336,$R27,FALSE)</f>
        <v>97</v>
      </c>
      <c r="W27" s="60">
        <f ca="1">100+HLOOKUP(W$4,$D$7:$P$336,$R27,FALSE)-HLOOKUP(W$3,$D$7:$P$336,$R27,FALSE)</f>
        <v>95</v>
      </c>
      <c r="X27" s="60">
        <f ca="1">100+HLOOKUP(X$4,$D$7:$P$336,$R27,FALSE)-HLOOKUP(X$3,$D$7:$P$336,$R27,FALSE)</f>
        <v>98</v>
      </c>
      <c r="Y27" s="60">
        <f ca="1">100+HLOOKUP(Y$4,$D$7:$P$336,$R27,FALSE)-HLOOKUP(Y$3,$D$7:$P$336,$R27,FALSE)</f>
        <v>95</v>
      </c>
      <c r="Z27" s="60">
        <f ca="1">100+HLOOKUP(Z$4,$D$7:$P$336,$R27,FALSE)-HLOOKUP(Z$3,$D$7:$P$336,$R27,FALSE)</f>
        <v>98</v>
      </c>
      <c r="AA27" s="60">
        <f ca="1">100+HLOOKUP(AA$4,$D$7:$P$336,$R27,FALSE)-HLOOKUP(AA$3,$D$7:$P$336,$R27,FALSE)</f>
        <v>97</v>
      </c>
      <c r="AB27" s="60">
        <f ca="1">100+HLOOKUP(AB$4,$D$7:$P$336,$R27,FALSE)-HLOOKUP(AB$3,$D$7:$P$336,$R27,FALSE)</f>
        <v>95</v>
      </c>
      <c r="AC27" s="60">
        <f ca="1">100+HLOOKUP(AC$4,$D$7:$P$336,$R27,FALSE)-HLOOKUP(AC$3,$D$7:$P$336,$R27,FALSE)</f>
        <v>101</v>
      </c>
      <c r="AD27" s="60">
        <f ca="1">100+HLOOKUP(AD$4,$D$7:$P$336,$R27,FALSE)-HLOOKUP(AD$3,$D$7:$P$336,$R27,FALSE)</f>
        <v>102</v>
      </c>
      <c r="AE27" s="60">
        <f ca="1">100+HLOOKUP(AE$4,$D$7:$P$336,$R27,FALSE)-HLOOKUP(AE$3,$D$7:$P$336,$R27,FALSE)</f>
        <v>106</v>
      </c>
      <c r="AF27" s="60">
        <f ca="1">100+HLOOKUP(AF$4,$D$7:$P$336,$R27,FALSE)-HLOOKUP(AF$3,$D$7:$P$336,$R27,FALSE)</f>
        <v>99</v>
      </c>
      <c r="AG27" s="60">
        <f ca="1">100+HLOOKUP(AG$4,$D$7:$P$336,$R27,FALSE)-HLOOKUP(AG$3,$D$7:$P$336,$R27,FALSE)</f>
        <v>97</v>
      </c>
      <c r="AH27" s="60" t="e">
        <f>100+HLOOKUP(AH$4,$D$7:$P$336,$R27,FALSE)-HLOOKUP(AH$3,$D$7:$P$336,$R27,FALSE)</f>
        <v>#N/A</v>
      </c>
      <c r="AI27" s="60" t="e">
        <f>100+HLOOKUP(AI$4,$D$7:$P$336,$R27,FALSE)-HLOOKUP(AI$3,$D$7:$P$336,$R27,FALSE)</f>
        <v>#N/A</v>
      </c>
      <c r="AJ27" s="60" t="e">
        <f>100+HLOOKUP(AJ$4,$D$7:$P$336,$R27,FALSE)-HLOOKUP(AJ$3,$D$7:$P$336,$R27,FALSE)</f>
        <v>#N/A</v>
      </c>
      <c r="AK27" s="60" t="e">
        <f>100+HLOOKUP(AK$4,$D$7:$P$336,$R27,FALSE)-HLOOKUP(AK$3,$D$7:$P$336,$R27,FALSE)</f>
        <v>#N/A</v>
      </c>
      <c r="AL27" s="60" t="e">
        <f>100+HLOOKUP(AL$4,$D$7:$P$336,$R27,FALSE)-HLOOKUP(AL$3,$D$7:$P$336,$R27,FALSE)</f>
        <v>#N/A</v>
      </c>
      <c r="AM27" s="60" t="e">
        <f>100+HLOOKUP(AM$4,$D$7:$P$336,$R27,FALSE)-HLOOKUP(AM$3,$D$7:$P$336,$R27,FALSE)</f>
        <v>#N/A</v>
      </c>
      <c r="AN27" s="60" t="e">
        <f>100+HLOOKUP(AN$4,$D$7:$P$336,$R27,FALSE)-HLOOKUP(AN$3,$D$7:$P$336,$R27,FALSE)</f>
        <v>#N/A</v>
      </c>
      <c r="AO27" s="60" t="e">
        <f>100+HLOOKUP(AO$4,$D$7:$P$336,$R27,FALSE)-HLOOKUP(AO$3,$D$7:$P$336,$R27,FALSE)</f>
        <v>#N/A</v>
      </c>
      <c r="AP27" s="60" t="e">
        <f>100+HLOOKUP(AP$4,$D$7:$P$336,$R27,FALSE)-HLOOKUP(AP$3,$D$7:$P$336,$R27,FALSE)</f>
        <v>#N/A</v>
      </c>
      <c r="AQ27" s="60" t="e">
        <f>100+HLOOKUP(AQ$4,$D$7:$P$336,$R27,FALSE)-HLOOKUP(AQ$3,$D$7:$P$336,$R27,FALSE)</f>
        <v>#N/A</v>
      </c>
      <c r="AV27" s="60">
        <f ca="1">AV$5-S27</f>
        <v>5.1903994267964322</v>
      </c>
      <c r="AW27" s="60">
        <f ca="1">AW$5-T27</f>
        <v>-0.7793494702422521</v>
      </c>
      <c r="AX27" s="60">
        <f ca="1">AX$5-U27</f>
        <v>3.7759154036680513</v>
      </c>
      <c r="AY27" s="60">
        <f ca="1">AY$5-V27</f>
        <v>-3.3969855984721988</v>
      </c>
      <c r="AZ27" s="60">
        <f ca="1">AZ$5-W27</f>
        <v>2.4544821725960304</v>
      </c>
      <c r="BA27" s="60">
        <f ca="1">BA$5-X27</f>
        <v>0.46505905898270328</v>
      </c>
      <c r="BB27" s="60">
        <f ca="1">BB$5-Y27</f>
        <v>-1.6494072726188733</v>
      </c>
      <c r="BC27" s="60">
        <f ca="1">BC$5-Z27</f>
        <v>9.4374659098821638</v>
      </c>
      <c r="BD27" s="60">
        <f ca="1">BD$5-AA27</f>
        <v>0.93651866438236198</v>
      </c>
      <c r="BE27" s="60">
        <f ca="1">BE$5-AB27</f>
        <v>-3.170609408007806</v>
      </c>
      <c r="BF27" s="60">
        <f ca="1">BF$5-AC27</f>
        <v>1.7304316477080306E-2</v>
      </c>
      <c r="BG27" s="60">
        <f ca="1">BG$5-AD27</f>
        <v>1.9852587050185093</v>
      </c>
      <c r="BH27" s="60">
        <f ca="1">BH$5-AE27</f>
        <v>-7.0454077696324333</v>
      </c>
      <c r="BI27" s="60">
        <f ca="1">BI$5-AF27</f>
        <v>-8.3914944887451952</v>
      </c>
      <c r="BJ27" s="60">
        <f ca="1">BJ$5-AG27</f>
        <v>-5.56044894232123</v>
      </c>
      <c r="BK27" s="60" t="e">
        <f>BK$5-AH27</f>
        <v>#N/A</v>
      </c>
      <c r="BL27" s="60" t="e">
        <f>BL$5-AI27</f>
        <v>#N/A</v>
      </c>
      <c r="BM27" s="60" t="e">
        <f>BM$5-AJ27</f>
        <v>#N/A</v>
      </c>
      <c r="BN27" s="60" t="e">
        <f>BN$5-AK27</f>
        <v>#N/A</v>
      </c>
      <c r="BO27" s="60" t="e">
        <f>BO$5-AL27</f>
        <v>#N/A</v>
      </c>
      <c r="BP27" s="60" t="e">
        <f>BP$5-AM27</f>
        <v>#N/A</v>
      </c>
      <c r="BQ27" s="60" t="e">
        <f>BQ$5-AN27</f>
        <v>#N/A</v>
      </c>
      <c r="BR27" s="60" t="e">
        <f>BR$5-AO27</f>
        <v>#N/A</v>
      </c>
      <c r="BS27" s="60" t="e">
        <f>BS$5-AP27</f>
        <v>#N/A</v>
      </c>
      <c r="BT27" s="60" t="e">
        <f>BT$5-AQ27</f>
        <v>#N/A</v>
      </c>
      <c r="BV27" s="60" cm="1">
        <f t="array" aca="1" ref="BV27" ca="1">SQRT(SUMSQ(_xlfn._xlws.FILTER(AV27:BT27,ISNUMBER(AV27:BT27)))/COUNT(_xlfn._xlws.FILTER(AV27:BT27,ISNUMBER(AV27:BT27))))</f>
        <v>4.5986713700135491</v>
      </c>
    </row>
    <row r="28" spans="3:74" x14ac:dyDescent="0.2">
      <c r="C28" s="60" t="s">
        <v>282</v>
      </c>
      <c r="D28" s="60">
        <v>0</v>
      </c>
      <c r="E28" s="60">
        <v>-2</v>
      </c>
      <c r="F28" s="60">
        <v>-4</v>
      </c>
      <c r="G28" s="60">
        <v>-6</v>
      </c>
      <c r="H28" s="60">
        <v>-8</v>
      </c>
      <c r="I28" s="60">
        <v>-8</v>
      </c>
      <c r="J28" s="60">
        <v>-8</v>
      </c>
      <c r="K28" s="60">
        <v>-6</v>
      </c>
      <c r="L28" s="60">
        <v>-4</v>
      </c>
      <c r="M28" s="60">
        <v>-4</v>
      </c>
      <c r="N28" s="60">
        <v>-4</v>
      </c>
      <c r="O28" s="60">
        <v>-2</v>
      </c>
      <c r="P28" s="60">
        <v>0</v>
      </c>
      <c r="R28" s="61">
        <f>(ROW(R28)-ROW($C$6))</f>
        <v>22</v>
      </c>
      <c r="S28" s="60">
        <f ca="1">100+HLOOKUP(S$4,$D$7:$P$336,$R28,FALSE)-HLOOKUP(S$3,$D$7:$P$336,$R28,FALSE)</f>
        <v>96</v>
      </c>
      <c r="T28" s="60">
        <f ca="1">100+HLOOKUP(T$4,$D$7:$P$336,$R28,FALSE)-HLOOKUP(T$3,$D$7:$P$336,$R28,FALSE)</f>
        <v>94</v>
      </c>
      <c r="U28" s="60">
        <f ca="1">100+HLOOKUP(U$4,$D$7:$P$336,$R28,FALSE)-HLOOKUP(U$3,$D$7:$P$336,$R28,FALSE)</f>
        <v>98</v>
      </c>
      <c r="V28" s="60">
        <f ca="1">100+HLOOKUP(V$4,$D$7:$P$336,$R28,FALSE)-HLOOKUP(V$3,$D$7:$P$336,$R28,FALSE)</f>
        <v>96</v>
      </c>
      <c r="W28" s="60">
        <f ca="1">100+HLOOKUP(W$4,$D$7:$P$336,$R28,FALSE)-HLOOKUP(W$3,$D$7:$P$336,$R28,FALSE)</f>
        <v>94</v>
      </c>
      <c r="X28" s="60">
        <f ca="1">100+HLOOKUP(X$4,$D$7:$P$336,$R28,FALSE)-HLOOKUP(X$3,$D$7:$P$336,$R28,FALSE)</f>
        <v>96</v>
      </c>
      <c r="Y28" s="60">
        <f ca="1">100+HLOOKUP(Y$4,$D$7:$P$336,$R28,FALSE)-HLOOKUP(Y$3,$D$7:$P$336,$R28,FALSE)</f>
        <v>94</v>
      </c>
      <c r="Z28" s="60">
        <f ca="1">100+HLOOKUP(Z$4,$D$7:$P$336,$R28,FALSE)-HLOOKUP(Z$3,$D$7:$P$336,$R28,FALSE)</f>
        <v>98</v>
      </c>
      <c r="AA28" s="60">
        <f ca="1">100+HLOOKUP(AA$4,$D$7:$P$336,$R28,FALSE)-HLOOKUP(AA$3,$D$7:$P$336,$R28,FALSE)</f>
        <v>96</v>
      </c>
      <c r="AB28" s="60">
        <f ca="1">100+HLOOKUP(AB$4,$D$7:$P$336,$R28,FALSE)-HLOOKUP(AB$3,$D$7:$P$336,$R28,FALSE)</f>
        <v>94</v>
      </c>
      <c r="AC28" s="60">
        <f ca="1">100+HLOOKUP(AC$4,$D$7:$P$336,$R28,FALSE)-HLOOKUP(AC$3,$D$7:$P$336,$R28,FALSE)</f>
        <v>100</v>
      </c>
      <c r="AD28" s="60">
        <f ca="1">100+HLOOKUP(AD$4,$D$7:$P$336,$R28,FALSE)-HLOOKUP(AD$3,$D$7:$P$336,$R28,FALSE)</f>
        <v>106</v>
      </c>
      <c r="AE28" s="60">
        <f ca="1">100+HLOOKUP(AE$4,$D$7:$P$336,$R28,FALSE)-HLOOKUP(AE$3,$D$7:$P$336,$R28,FALSE)</f>
        <v>106</v>
      </c>
      <c r="AF28" s="60">
        <f ca="1">100+HLOOKUP(AF$4,$D$7:$P$336,$R28,FALSE)-HLOOKUP(AF$3,$D$7:$P$336,$R28,FALSE)</f>
        <v>98</v>
      </c>
      <c r="AG28" s="60">
        <f ca="1">100+HLOOKUP(AG$4,$D$7:$P$336,$R28,FALSE)-HLOOKUP(AG$3,$D$7:$P$336,$R28,FALSE)</f>
        <v>96</v>
      </c>
      <c r="AH28" s="60" t="e">
        <f>100+HLOOKUP(AH$4,$D$7:$P$336,$R28,FALSE)-HLOOKUP(AH$3,$D$7:$P$336,$R28,FALSE)</f>
        <v>#N/A</v>
      </c>
      <c r="AI28" s="60" t="e">
        <f>100+HLOOKUP(AI$4,$D$7:$P$336,$R28,FALSE)-HLOOKUP(AI$3,$D$7:$P$336,$R28,FALSE)</f>
        <v>#N/A</v>
      </c>
      <c r="AJ28" s="60" t="e">
        <f>100+HLOOKUP(AJ$4,$D$7:$P$336,$R28,FALSE)-HLOOKUP(AJ$3,$D$7:$P$336,$R28,FALSE)</f>
        <v>#N/A</v>
      </c>
      <c r="AK28" s="60" t="e">
        <f>100+HLOOKUP(AK$4,$D$7:$P$336,$R28,FALSE)-HLOOKUP(AK$3,$D$7:$P$336,$R28,FALSE)</f>
        <v>#N/A</v>
      </c>
      <c r="AL28" s="60" t="e">
        <f>100+HLOOKUP(AL$4,$D$7:$P$336,$R28,FALSE)-HLOOKUP(AL$3,$D$7:$P$336,$R28,FALSE)</f>
        <v>#N/A</v>
      </c>
      <c r="AM28" s="60" t="e">
        <f>100+HLOOKUP(AM$4,$D$7:$P$336,$R28,FALSE)-HLOOKUP(AM$3,$D$7:$P$336,$R28,FALSE)</f>
        <v>#N/A</v>
      </c>
      <c r="AN28" s="60" t="e">
        <f>100+HLOOKUP(AN$4,$D$7:$P$336,$R28,FALSE)-HLOOKUP(AN$3,$D$7:$P$336,$R28,FALSE)</f>
        <v>#N/A</v>
      </c>
      <c r="AO28" s="60" t="e">
        <f>100+HLOOKUP(AO$4,$D$7:$P$336,$R28,FALSE)-HLOOKUP(AO$3,$D$7:$P$336,$R28,FALSE)</f>
        <v>#N/A</v>
      </c>
      <c r="AP28" s="60" t="e">
        <f>100+HLOOKUP(AP$4,$D$7:$P$336,$R28,FALSE)-HLOOKUP(AP$3,$D$7:$P$336,$R28,FALSE)</f>
        <v>#N/A</v>
      </c>
      <c r="AQ28" s="60" t="e">
        <f>100+HLOOKUP(AQ$4,$D$7:$P$336,$R28,FALSE)-HLOOKUP(AQ$3,$D$7:$P$336,$R28,FALSE)</f>
        <v>#N/A</v>
      </c>
      <c r="AV28" s="60">
        <f ca="1">AV$5-S28</f>
        <v>7.1903994267964322</v>
      </c>
      <c r="AW28" s="60">
        <f ca="1">AW$5-T28</f>
        <v>0.2206505297577479</v>
      </c>
      <c r="AX28" s="60">
        <f ca="1">AX$5-U28</f>
        <v>3.7759154036680513</v>
      </c>
      <c r="AY28" s="60">
        <f ca="1">AY$5-V28</f>
        <v>-2.3969855984721988</v>
      </c>
      <c r="AZ28" s="60">
        <f ca="1">AZ$5-W28</f>
        <v>3.4544821725960304</v>
      </c>
      <c r="BA28" s="60">
        <f ca="1">BA$5-X28</f>
        <v>2.4650590589827033</v>
      </c>
      <c r="BB28" s="60">
        <f ca="1">BB$5-Y28</f>
        <v>-0.64940727261887332</v>
      </c>
      <c r="BC28" s="60">
        <f ca="1">BC$5-Z28</f>
        <v>9.4374659098821638</v>
      </c>
      <c r="BD28" s="60">
        <f ca="1">BD$5-AA28</f>
        <v>1.936518664382362</v>
      </c>
      <c r="BE28" s="60">
        <f ca="1">BE$5-AB28</f>
        <v>-2.170609408007806</v>
      </c>
      <c r="BF28" s="60">
        <f ca="1">BF$5-AC28</f>
        <v>1.0173043164770803</v>
      </c>
      <c r="BG28" s="60">
        <f ca="1">BG$5-AD28</f>
        <v>-2.0147412949814907</v>
      </c>
      <c r="BH28" s="60">
        <f ca="1">BH$5-AE28</f>
        <v>-7.0454077696324333</v>
      </c>
      <c r="BI28" s="60">
        <f ca="1">BI$5-AF28</f>
        <v>-7.3914944887451952</v>
      </c>
      <c r="BJ28" s="60">
        <f ca="1">BJ$5-AG28</f>
        <v>-4.56044894232123</v>
      </c>
      <c r="BK28" s="60" t="e">
        <f>BK$5-AH28</f>
        <v>#N/A</v>
      </c>
      <c r="BL28" s="60" t="e">
        <f>BL$5-AI28</f>
        <v>#N/A</v>
      </c>
      <c r="BM28" s="60" t="e">
        <f>BM$5-AJ28</f>
        <v>#N/A</v>
      </c>
      <c r="BN28" s="60" t="e">
        <f>BN$5-AK28</f>
        <v>#N/A</v>
      </c>
      <c r="BO28" s="60" t="e">
        <f>BO$5-AL28</f>
        <v>#N/A</v>
      </c>
      <c r="BP28" s="60" t="e">
        <f>BP$5-AM28</f>
        <v>#N/A</v>
      </c>
      <c r="BQ28" s="60" t="e">
        <f>BQ$5-AN28</f>
        <v>#N/A</v>
      </c>
      <c r="BR28" s="60" t="e">
        <f>BR$5-AO28</f>
        <v>#N/A</v>
      </c>
      <c r="BS28" s="60" t="e">
        <f>BS$5-AP28</f>
        <v>#N/A</v>
      </c>
      <c r="BT28" s="60" t="e">
        <f>BT$5-AQ28</f>
        <v>#N/A</v>
      </c>
      <c r="BV28" s="60" cm="1">
        <f t="array" aca="1" ref="BV28" ca="1">SQRT(SUMSQ(_xlfn._xlws.FILTER(AV28:BT28,ISNUMBER(AV28:BT28)))/COUNT(_xlfn._xlws.FILTER(AV28:BT28,ISNUMBER(AV28:BT28))))</f>
        <v>4.6034513124379393</v>
      </c>
    </row>
    <row r="29" spans="3:74" x14ac:dyDescent="0.2">
      <c r="C29" s="60" t="s">
        <v>504</v>
      </c>
      <c r="D29" s="60">
        <v>0</v>
      </c>
      <c r="E29" s="60">
        <v>-2</v>
      </c>
      <c r="F29" s="60">
        <v>-4</v>
      </c>
      <c r="G29" s="60">
        <v>-6</v>
      </c>
      <c r="H29" s="60">
        <v>-8</v>
      </c>
      <c r="I29" s="60">
        <v>-8</v>
      </c>
      <c r="J29" s="60">
        <v>-8</v>
      </c>
      <c r="K29" s="60">
        <v>-6</v>
      </c>
      <c r="L29" s="60">
        <v>-4</v>
      </c>
      <c r="M29" s="60">
        <v>-4</v>
      </c>
      <c r="N29" s="60">
        <v>-4</v>
      </c>
      <c r="O29" s="60">
        <v>-2</v>
      </c>
      <c r="P29" s="60">
        <v>0</v>
      </c>
      <c r="R29" s="61">
        <f>(ROW(R29)-ROW($C$6))</f>
        <v>23</v>
      </c>
      <c r="S29" s="60">
        <f ca="1">100+HLOOKUP(S$4,$D$7:$P$336,$R29,FALSE)-HLOOKUP(S$3,$D$7:$P$336,$R29,FALSE)</f>
        <v>96</v>
      </c>
      <c r="T29" s="60">
        <f ca="1">100+HLOOKUP(T$4,$D$7:$P$336,$R29,FALSE)-HLOOKUP(T$3,$D$7:$P$336,$R29,FALSE)</f>
        <v>94</v>
      </c>
      <c r="U29" s="60">
        <f ca="1">100+HLOOKUP(U$4,$D$7:$P$336,$R29,FALSE)-HLOOKUP(U$3,$D$7:$P$336,$R29,FALSE)</f>
        <v>98</v>
      </c>
      <c r="V29" s="60">
        <f ca="1">100+HLOOKUP(V$4,$D$7:$P$336,$R29,FALSE)-HLOOKUP(V$3,$D$7:$P$336,$R29,FALSE)</f>
        <v>96</v>
      </c>
      <c r="W29" s="60">
        <f ca="1">100+HLOOKUP(W$4,$D$7:$P$336,$R29,FALSE)-HLOOKUP(W$3,$D$7:$P$336,$R29,FALSE)</f>
        <v>94</v>
      </c>
      <c r="X29" s="60">
        <f ca="1">100+HLOOKUP(X$4,$D$7:$P$336,$R29,FALSE)-HLOOKUP(X$3,$D$7:$P$336,$R29,FALSE)</f>
        <v>96</v>
      </c>
      <c r="Y29" s="60">
        <f ca="1">100+HLOOKUP(Y$4,$D$7:$P$336,$R29,FALSE)-HLOOKUP(Y$3,$D$7:$P$336,$R29,FALSE)</f>
        <v>94</v>
      </c>
      <c r="Z29" s="60">
        <f ca="1">100+HLOOKUP(Z$4,$D$7:$P$336,$R29,FALSE)-HLOOKUP(Z$3,$D$7:$P$336,$R29,FALSE)</f>
        <v>98</v>
      </c>
      <c r="AA29" s="60">
        <f ca="1">100+HLOOKUP(AA$4,$D$7:$P$336,$R29,FALSE)-HLOOKUP(AA$3,$D$7:$P$336,$R29,FALSE)</f>
        <v>96</v>
      </c>
      <c r="AB29" s="60">
        <f ca="1">100+HLOOKUP(AB$4,$D$7:$P$336,$R29,FALSE)-HLOOKUP(AB$3,$D$7:$P$336,$R29,FALSE)</f>
        <v>94</v>
      </c>
      <c r="AC29" s="60">
        <f ca="1">100+HLOOKUP(AC$4,$D$7:$P$336,$R29,FALSE)-HLOOKUP(AC$3,$D$7:$P$336,$R29,FALSE)</f>
        <v>100</v>
      </c>
      <c r="AD29" s="60">
        <f ca="1">100+HLOOKUP(AD$4,$D$7:$P$336,$R29,FALSE)-HLOOKUP(AD$3,$D$7:$P$336,$R29,FALSE)</f>
        <v>106</v>
      </c>
      <c r="AE29" s="60">
        <f ca="1">100+HLOOKUP(AE$4,$D$7:$P$336,$R29,FALSE)-HLOOKUP(AE$3,$D$7:$P$336,$R29,FALSE)</f>
        <v>106</v>
      </c>
      <c r="AF29" s="60">
        <f ca="1">100+HLOOKUP(AF$4,$D$7:$P$336,$R29,FALSE)-HLOOKUP(AF$3,$D$7:$P$336,$R29,FALSE)</f>
        <v>98</v>
      </c>
      <c r="AG29" s="60">
        <f ca="1">100+HLOOKUP(AG$4,$D$7:$P$336,$R29,FALSE)-HLOOKUP(AG$3,$D$7:$P$336,$R29,FALSE)</f>
        <v>96</v>
      </c>
      <c r="AH29" s="60" t="e">
        <f>100+HLOOKUP(AH$4,$D$7:$P$336,$R29,FALSE)-HLOOKUP(AH$3,$D$7:$P$336,$R29,FALSE)</f>
        <v>#N/A</v>
      </c>
      <c r="AI29" s="60" t="e">
        <f>100+HLOOKUP(AI$4,$D$7:$P$336,$R29,FALSE)-HLOOKUP(AI$3,$D$7:$P$336,$R29,FALSE)</f>
        <v>#N/A</v>
      </c>
      <c r="AJ29" s="60" t="e">
        <f>100+HLOOKUP(AJ$4,$D$7:$P$336,$R29,FALSE)-HLOOKUP(AJ$3,$D$7:$P$336,$R29,FALSE)</f>
        <v>#N/A</v>
      </c>
      <c r="AK29" s="60" t="e">
        <f>100+HLOOKUP(AK$4,$D$7:$P$336,$R29,FALSE)-HLOOKUP(AK$3,$D$7:$P$336,$R29,FALSE)</f>
        <v>#N/A</v>
      </c>
      <c r="AL29" s="60" t="e">
        <f>100+HLOOKUP(AL$4,$D$7:$P$336,$R29,FALSE)-HLOOKUP(AL$3,$D$7:$P$336,$R29,FALSE)</f>
        <v>#N/A</v>
      </c>
      <c r="AM29" s="60" t="e">
        <f>100+HLOOKUP(AM$4,$D$7:$P$336,$R29,FALSE)-HLOOKUP(AM$3,$D$7:$P$336,$R29,FALSE)</f>
        <v>#N/A</v>
      </c>
      <c r="AN29" s="60" t="e">
        <f>100+HLOOKUP(AN$4,$D$7:$P$336,$R29,FALSE)-HLOOKUP(AN$3,$D$7:$P$336,$R29,FALSE)</f>
        <v>#N/A</v>
      </c>
      <c r="AO29" s="60" t="e">
        <f>100+HLOOKUP(AO$4,$D$7:$P$336,$R29,FALSE)-HLOOKUP(AO$3,$D$7:$P$336,$R29,FALSE)</f>
        <v>#N/A</v>
      </c>
      <c r="AP29" s="60" t="e">
        <f>100+HLOOKUP(AP$4,$D$7:$P$336,$R29,FALSE)-HLOOKUP(AP$3,$D$7:$P$336,$R29,FALSE)</f>
        <v>#N/A</v>
      </c>
      <c r="AQ29" s="60" t="e">
        <f>100+HLOOKUP(AQ$4,$D$7:$P$336,$R29,FALSE)-HLOOKUP(AQ$3,$D$7:$P$336,$R29,FALSE)</f>
        <v>#N/A</v>
      </c>
      <c r="AV29" s="60">
        <f ca="1">AV$5-S29</f>
        <v>7.1903994267964322</v>
      </c>
      <c r="AW29" s="60">
        <f ca="1">AW$5-T29</f>
        <v>0.2206505297577479</v>
      </c>
      <c r="AX29" s="60">
        <f ca="1">AX$5-U29</f>
        <v>3.7759154036680513</v>
      </c>
      <c r="AY29" s="60">
        <f ca="1">AY$5-V29</f>
        <v>-2.3969855984721988</v>
      </c>
      <c r="AZ29" s="60">
        <f ca="1">AZ$5-W29</f>
        <v>3.4544821725960304</v>
      </c>
      <c r="BA29" s="60">
        <f ca="1">BA$5-X29</f>
        <v>2.4650590589827033</v>
      </c>
      <c r="BB29" s="60">
        <f ca="1">BB$5-Y29</f>
        <v>-0.64940727261887332</v>
      </c>
      <c r="BC29" s="60">
        <f ca="1">BC$5-Z29</f>
        <v>9.4374659098821638</v>
      </c>
      <c r="BD29" s="60">
        <f ca="1">BD$5-AA29</f>
        <v>1.936518664382362</v>
      </c>
      <c r="BE29" s="60">
        <f ca="1">BE$5-AB29</f>
        <v>-2.170609408007806</v>
      </c>
      <c r="BF29" s="60">
        <f ca="1">BF$5-AC29</f>
        <v>1.0173043164770803</v>
      </c>
      <c r="BG29" s="60">
        <f ca="1">BG$5-AD29</f>
        <v>-2.0147412949814907</v>
      </c>
      <c r="BH29" s="60">
        <f ca="1">BH$5-AE29</f>
        <v>-7.0454077696324333</v>
      </c>
      <c r="BI29" s="60">
        <f ca="1">BI$5-AF29</f>
        <v>-7.3914944887451952</v>
      </c>
      <c r="BJ29" s="60">
        <f ca="1">BJ$5-AG29</f>
        <v>-4.56044894232123</v>
      </c>
      <c r="BK29" s="60" t="e">
        <f>BK$5-AH29</f>
        <v>#N/A</v>
      </c>
      <c r="BL29" s="60" t="e">
        <f>BL$5-AI29</f>
        <v>#N/A</v>
      </c>
      <c r="BM29" s="60" t="e">
        <f>BM$5-AJ29</f>
        <v>#N/A</v>
      </c>
      <c r="BN29" s="60" t="e">
        <f>BN$5-AK29</f>
        <v>#N/A</v>
      </c>
      <c r="BO29" s="60" t="e">
        <f>BO$5-AL29</f>
        <v>#N/A</v>
      </c>
      <c r="BP29" s="60" t="e">
        <f>BP$5-AM29</f>
        <v>#N/A</v>
      </c>
      <c r="BQ29" s="60" t="e">
        <f>BQ$5-AN29</f>
        <v>#N/A</v>
      </c>
      <c r="BR29" s="60" t="e">
        <f>BR$5-AO29</f>
        <v>#N/A</v>
      </c>
      <c r="BS29" s="60" t="e">
        <f>BS$5-AP29</f>
        <v>#N/A</v>
      </c>
      <c r="BT29" s="60" t="e">
        <f>BT$5-AQ29</f>
        <v>#N/A</v>
      </c>
      <c r="BV29" s="60" cm="1">
        <f t="array" aca="1" ref="BV29" ca="1">SQRT(SUMSQ(_xlfn._xlws.FILTER(AV29:BT29,ISNUMBER(AV29:BT29)))/COUNT(_xlfn._xlws.FILTER(AV29:BT29,ISNUMBER(AV29:BT29))))</f>
        <v>4.6034513124379393</v>
      </c>
    </row>
    <row r="30" spans="3:74" x14ac:dyDescent="0.2">
      <c r="C30" s="60" t="s">
        <v>419</v>
      </c>
      <c r="D30" s="60">
        <v>0</v>
      </c>
      <c r="E30" s="60">
        <v>-2</v>
      </c>
      <c r="F30" s="60">
        <v>-4</v>
      </c>
      <c r="G30" s="60">
        <v>-6</v>
      </c>
      <c r="H30" s="60">
        <v>-8</v>
      </c>
      <c r="I30" s="60">
        <v>-8</v>
      </c>
      <c r="J30" s="60">
        <v>-8</v>
      </c>
      <c r="K30" s="60">
        <v>-6</v>
      </c>
      <c r="L30" s="60">
        <v>-4</v>
      </c>
      <c r="M30" s="60">
        <v>-4</v>
      </c>
      <c r="N30" s="60">
        <v>-4</v>
      </c>
      <c r="O30" s="60">
        <v>-2</v>
      </c>
      <c r="P30" s="60">
        <v>0</v>
      </c>
      <c r="R30" s="61">
        <f>(ROW(R30)-ROW($C$6))</f>
        <v>24</v>
      </c>
      <c r="S30" s="60">
        <f ca="1">100+HLOOKUP(S$4,$D$7:$P$336,$R30,FALSE)-HLOOKUP(S$3,$D$7:$P$336,$R30,FALSE)</f>
        <v>96</v>
      </c>
      <c r="T30" s="60">
        <f ca="1">100+HLOOKUP(T$4,$D$7:$P$336,$R30,FALSE)-HLOOKUP(T$3,$D$7:$P$336,$R30,FALSE)</f>
        <v>94</v>
      </c>
      <c r="U30" s="60">
        <f ca="1">100+HLOOKUP(U$4,$D$7:$P$336,$R30,FALSE)-HLOOKUP(U$3,$D$7:$P$336,$R30,FALSE)</f>
        <v>98</v>
      </c>
      <c r="V30" s="60">
        <f ca="1">100+HLOOKUP(V$4,$D$7:$P$336,$R30,FALSE)-HLOOKUP(V$3,$D$7:$P$336,$R30,FALSE)</f>
        <v>96</v>
      </c>
      <c r="W30" s="60">
        <f ca="1">100+HLOOKUP(W$4,$D$7:$P$336,$R30,FALSE)-HLOOKUP(W$3,$D$7:$P$336,$R30,FALSE)</f>
        <v>94</v>
      </c>
      <c r="X30" s="60">
        <f ca="1">100+HLOOKUP(X$4,$D$7:$P$336,$R30,FALSE)-HLOOKUP(X$3,$D$7:$P$336,$R30,FALSE)</f>
        <v>96</v>
      </c>
      <c r="Y30" s="60">
        <f ca="1">100+HLOOKUP(Y$4,$D$7:$P$336,$R30,FALSE)-HLOOKUP(Y$3,$D$7:$P$336,$R30,FALSE)</f>
        <v>94</v>
      </c>
      <c r="Z30" s="60">
        <f ca="1">100+HLOOKUP(Z$4,$D$7:$P$336,$R30,FALSE)-HLOOKUP(Z$3,$D$7:$P$336,$R30,FALSE)</f>
        <v>98</v>
      </c>
      <c r="AA30" s="60">
        <f ca="1">100+HLOOKUP(AA$4,$D$7:$P$336,$R30,FALSE)-HLOOKUP(AA$3,$D$7:$P$336,$R30,FALSE)</f>
        <v>96</v>
      </c>
      <c r="AB30" s="60">
        <f ca="1">100+HLOOKUP(AB$4,$D$7:$P$336,$R30,FALSE)-HLOOKUP(AB$3,$D$7:$P$336,$R30,FALSE)</f>
        <v>94</v>
      </c>
      <c r="AC30" s="60">
        <f ca="1">100+HLOOKUP(AC$4,$D$7:$P$336,$R30,FALSE)-HLOOKUP(AC$3,$D$7:$P$336,$R30,FALSE)</f>
        <v>100</v>
      </c>
      <c r="AD30" s="60">
        <f ca="1">100+HLOOKUP(AD$4,$D$7:$P$336,$R30,FALSE)-HLOOKUP(AD$3,$D$7:$P$336,$R30,FALSE)</f>
        <v>106</v>
      </c>
      <c r="AE30" s="60">
        <f ca="1">100+HLOOKUP(AE$4,$D$7:$P$336,$R30,FALSE)-HLOOKUP(AE$3,$D$7:$P$336,$R30,FALSE)</f>
        <v>106</v>
      </c>
      <c r="AF30" s="60">
        <f ca="1">100+HLOOKUP(AF$4,$D$7:$P$336,$R30,FALSE)-HLOOKUP(AF$3,$D$7:$P$336,$R30,FALSE)</f>
        <v>98</v>
      </c>
      <c r="AG30" s="60">
        <f ca="1">100+HLOOKUP(AG$4,$D$7:$P$336,$R30,FALSE)-HLOOKUP(AG$3,$D$7:$P$336,$R30,FALSE)</f>
        <v>96</v>
      </c>
      <c r="AH30" s="60" t="e">
        <f>100+HLOOKUP(AH$4,$D$7:$P$336,$R30,FALSE)-HLOOKUP(AH$3,$D$7:$P$336,$R30,FALSE)</f>
        <v>#N/A</v>
      </c>
      <c r="AI30" s="60" t="e">
        <f>100+HLOOKUP(AI$4,$D$7:$P$336,$R30,FALSE)-HLOOKUP(AI$3,$D$7:$P$336,$R30,FALSE)</f>
        <v>#N/A</v>
      </c>
      <c r="AJ30" s="60" t="e">
        <f>100+HLOOKUP(AJ$4,$D$7:$P$336,$R30,FALSE)-HLOOKUP(AJ$3,$D$7:$P$336,$R30,FALSE)</f>
        <v>#N/A</v>
      </c>
      <c r="AK30" s="60" t="e">
        <f>100+HLOOKUP(AK$4,$D$7:$P$336,$R30,FALSE)-HLOOKUP(AK$3,$D$7:$P$336,$R30,FALSE)</f>
        <v>#N/A</v>
      </c>
      <c r="AL30" s="60" t="e">
        <f>100+HLOOKUP(AL$4,$D$7:$P$336,$R30,FALSE)-HLOOKUP(AL$3,$D$7:$P$336,$R30,FALSE)</f>
        <v>#N/A</v>
      </c>
      <c r="AM30" s="60" t="e">
        <f>100+HLOOKUP(AM$4,$D$7:$P$336,$R30,FALSE)-HLOOKUP(AM$3,$D$7:$P$336,$R30,FALSE)</f>
        <v>#N/A</v>
      </c>
      <c r="AN30" s="60" t="e">
        <f>100+HLOOKUP(AN$4,$D$7:$P$336,$R30,FALSE)-HLOOKUP(AN$3,$D$7:$P$336,$R30,FALSE)</f>
        <v>#N/A</v>
      </c>
      <c r="AO30" s="60" t="e">
        <f>100+HLOOKUP(AO$4,$D$7:$P$336,$R30,FALSE)-HLOOKUP(AO$3,$D$7:$P$336,$R30,FALSE)</f>
        <v>#N/A</v>
      </c>
      <c r="AP30" s="60" t="e">
        <f>100+HLOOKUP(AP$4,$D$7:$P$336,$R30,FALSE)-HLOOKUP(AP$3,$D$7:$P$336,$R30,FALSE)</f>
        <v>#N/A</v>
      </c>
      <c r="AQ30" s="60" t="e">
        <f>100+HLOOKUP(AQ$4,$D$7:$P$336,$R30,FALSE)-HLOOKUP(AQ$3,$D$7:$P$336,$R30,FALSE)</f>
        <v>#N/A</v>
      </c>
      <c r="AV30" s="60">
        <f ca="1">AV$5-S30</f>
        <v>7.1903994267964322</v>
      </c>
      <c r="AW30" s="60">
        <f ca="1">AW$5-T30</f>
        <v>0.2206505297577479</v>
      </c>
      <c r="AX30" s="60">
        <f ca="1">AX$5-U30</f>
        <v>3.7759154036680513</v>
      </c>
      <c r="AY30" s="60">
        <f ca="1">AY$5-V30</f>
        <v>-2.3969855984721988</v>
      </c>
      <c r="AZ30" s="60">
        <f ca="1">AZ$5-W30</f>
        <v>3.4544821725960304</v>
      </c>
      <c r="BA30" s="60">
        <f ca="1">BA$5-X30</f>
        <v>2.4650590589827033</v>
      </c>
      <c r="BB30" s="60">
        <f ca="1">BB$5-Y30</f>
        <v>-0.64940727261887332</v>
      </c>
      <c r="BC30" s="60">
        <f ca="1">BC$5-Z30</f>
        <v>9.4374659098821638</v>
      </c>
      <c r="BD30" s="60">
        <f ca="1">BD$5-AA30</f>
        <v>1.936518664382362</v>
      </c>
      <c r="BE30" s="60">
        <f ca="1">BE$5-AB30</f>
        <v>-2.170609408007806</v>
      </c>
      <c r="BF30" s="60">
        <f ca="1">BF$5-AC30</f>
        <v>1.0173043164770803</v>
      </c>
      <c r="BG30" s="60">
        <f ca="1">BG$5-AD30</f>
        <v>-2.0147412949814907</v>
      </c>
      <c r="BH30" s="60">
        <f ca="1">BH$5-AE30</f>
        <v>-7.0454077696324333</v>
      </c>
      <c r="BI30" s="60">
        <f ca="1">BI$5-AF30</f>
        <v>-7.3914944887451952</v>
      </c>
      <c r="BJ30" s="60">
        <f ca="1">BJ$5-AG30</f>
        <v>-4.56044894232123</v>
      </c>
      <c r="BK30" s="60" t="e">
        <f>BK$5-AH30</f>
        <v>#N/A</v>
      </c>
      <c r="BL30" s="60" t="e">
        <f>BL$5-AI30</f>
        <v>#N/A</v>
      </c>
      <c r="BM30" s="60" t="e">
        <f>BM$5-AJ30</f>
        <v>#N/A</v>
      </c>
      <c r="BN30" s="60" t="e">
        <f>BN$5-AK30</f>
        <v>#N/A</v>
      </c>
      <c r="BO30" s="60" t="e">
        <f>BO$5-AL30</f>
        <v>#N/A</v>
      </c>
      <c r="BP30" s="60" t="e">
        <f>BP$5-AM30</f>
        <v>#N/A</v>
      </c>
      <c r="BQ30" s="60" t="e">
        <f>BQ$5-AN30</f>
        <v>#N/A</v>
      </c>
      <c r="BR30" s="60" t="e">
        <f>BR$5-AO30</f>
        <v>#N/A</v>
      </c>
      <c r="BS30" s="60" t="e">
        <f>BS$5-AP30</f>
        <v>#N/A</v>
      </c>
      <c r="BT30" s="60" t="e">
        <f>BT$5-AQ30</f>
        <v>#N/A</v>
      </c>
      <c r="BV30" s="60" cm="1">
        <f t="array" aca="1" ref="BV30" ca="1">SQRT(SUMSQ(_xlfn._xlws.FILTER(AV30:BT30,ISNUMBER(AV30:BT30)))/COUNT(_xlfn._xlws.FILTER(AV30:BT30,ISNUMBER(AV30:BT30))))</f>
        <v>4.6034513124379393</v>
      </c>
    </row>
    <row r="31" spans="3:74" x14ac:dyDescent="0.2">
      <c r="C31" s="60" t="s">
        <v>285</v>
      </c>
      <c r="D31" s="60">
        <v>0</v>
      </c>
      <c r="E31" s="60">
        <v>0</v>
      </c>
      <c r="F31" s="60">
        <v>0</v>
      </c>
      <c r="G31" s="60">
        <v>0</v>
      </c>
      <c r="H31" s="60">
        <v>-2</v>
      </c>
      <c r="I31" s="60">
        <v>-2</v>
      </c>
      <c r="J31" s="60">
        <v>-2</v>
      </c>
      <c r="K31" s="60">
        <v>0</v>
      </c>
      <c r="L31" s="60">
        <v>0</v>
      </c>
      <c r="M31" s="60">
        <v>0</v>
      </c>
      <c r="N31" s="60">
        <v>0</v>
      </c>
      <c r="O31" s="60">
        <v>2</v>
      </c>
      <c r="P31" s="60">
        <v>0</v>
      </c>
      <c r="R31" s="61">
        <f>(ROW(R31)-ROW($C$6))</f>
        <v>25</v>
      </c>
      <c r="S31" s="60">
        <f ca="1">100+HLOOKUP(S$4,$D$7:$P$336,$R31,FALSE)-HLOOKUP(S$3,$D$7:$P$336,$R31,FALSE)</f>
        <v>98</v>
      </c>
      <c r="T31" s="60">
        <f ca="1">100+HLOOKUP(T$4,$D$7:$P$336,$R31,FALSE)-HLOOKUP(T$3,$D$7:$P$336,$R31,FALSE)</f>
        <v>96</v>
      </c>
      <c r="U31" s="60">
        <f ca="1">100+HLOOKUP(U$4,$D$7:$P$336,$R31,FALSE)-HLOOKUP(U$3,$D$7:$P$336,$R31,FALSE)</f>
        <v>100</v>
      </c>
      <c r="V31" s="60">
        <f ca="1">100+HLOOKUP(V$4,$D$7:$P$336,$R31,FALSE)-HLOOKUP(V$3,$D$7:$P$336,$R31,FALSE)</f>
        <v>98</v>
      </c>
      <c r="W31" s="60">
        <f ca="1">100+HLOOKUP(W$4,$D$7:$P$336,$R31,FALSE)-HLOOKUP(W$3,$D$7:$P$336,$R31,FALSE)</f>
        <v>100</v>
      </c>
      <c r="X31" s="60">
        <f ca="1">100+HLOOKUP(X$4,$D$7:$P$336,$R31,FALSE)-HLOOKUP(X$3,$D$7:$P$336,$R31,FALSE)</f>
        <v>98</v>
      </c>
      <c r="Y31" s="60">
        <f ca="1">100+HLOOKUP(Y$4,$D$7:$P$336,$R31,FALSE)-HLOOKUP(Y$3,$D$7:$P$336,$R31,FALSE)</f>
        <v>96</v>
      </c>
      <c r="Z31" s="60">
        <f ca="1">100+HLOOKUP(Z$4,$D$7:$P$336,$R31,FALSE)-HLOOKUP(Z$3,$D$7:$P$336,$R31,FALSE)</f>
        <v>100</v>
      </c>
      <c r="AA31" s="60">
        <f ca="1">100+HLOOKUP(AA$4,$D$7:$P$336,$R31,FALSE)-HLOOKUP(AA$3,$D$7:$P$336,$R31,FALSE)</f>
        <v>98</v>
      </c>
      <c r="AB31" s="60">
        <f ca="1">100+HLOOKUP(AB$4,$D$7:$P$336,$R31,FALSE)-HLOOKUP(AB$3,$D$7:$P$336,$R31,FALSE)</f>
        <v>100</v>
      </c>
      <c r="AC31" s="60">
        <f ca="1">100+HLOOKUP(AC$4,$D$7:$P$336,$R31,FALSE)-HLOOKUP(AC$3,$D$7:$P$336,$R31,FALSE)</f>
        <v>100</v>
      </c>
      <c r="AD31" s="60">
        <f ca="1">100+HLOOKUP(AD$4,$D$7:$P$336,$R31,FALSE)-HLOOKUP(AD$3,$D$7:$P$336,$R31,FALSE)</f>
        <v>104</v>
      </c>
      <c r="AE31" s="60">
        <f ca="1">100+HLOOKUP(AE$4,$D$7:$P$336,$R31,FALSE)-HLOOKUP(AE$3,$D$7:$P$336,$R31,FALSE)</f>
        <v>102</v>
      </c>
      <c r="AF31" s="60">
        <f ca="1">100+HLOOKUP(AF$4,$D$7:$P$336,$R31,FALSE)-HLOOKUP(AF$3,$D$7:$P$336,$R31,FALSE)</f>
        <v>100</v>
      </c>
      <c r="AG31" s="60">
        <f ca="1">100+HLOOKUP(AG$4,$D$7:$P$336,$R31,FALSE)-HLOOKUP(AG$3,$D$7:$P$336,$R31,FALSE)</f>
        <v>98</v>
      </c>
      <c r="AH31" s="60" t="e">
        <f>100+HLOOKUP(AH$4,$D$7:$P$336,$R31,FALSE)-HLOOKUP(AH$3,$D$7:$P$336,$R31,FALSE)</f>
        <v>#N/A</v>
      </c>
      <c r="AI31" s="60" t="e">
        <f>100+HLOOKUP(AI$4,$D$7:$P$336,$R31,FALSE)-HLOOKUP(AI$3,$D$7:$P$336,$R31,FALSE)</f>
        <v>#N/A</v>
      </c>
      <c r="AJ31" s="60" t="e">
        <f>100+HLOOKUP(AJ$4,$D$7:$P$336,$R31,FALSE)-HLOOKUP(AJ$3,$D$7:$P$336,$R31,FALSE)</f>
        <v>#N/A</v>
      </c>
      <c r="AK31" s="60" t="e">
        <f>100+HLOOKUP(AK$4,$D$7:$P$336,$R31,FALSE)-HLOOKUP(AK$3,$D$7:$P$336,$R31,FALSE)</f>
        <v>#N/A</v>
      </c>
      <c r="AL31" s="60" t="e">
        <f>100+HLOOKUP(AL$4,$D$7:$P$336,$R31,FALSE)-HLOOKUP(AL$3,$D$7:$P$336,$R31,FALSE)</f>
        <v>#N/A</v>
      </c>
      <c r="AM31" s="60" t="e">
        <f>100+HLOOKUP(AM$4,$D$7:$P$336,$R31,FALSE)-HLOOKUP(AM$3,$D$7:$P$336,$R31,FALSE)</f>
        <v>#N/A</v>
      </c>
      <c r="AN31" s="60" t="e">
        <f>100+HLOOKUP(AN$4,$D$7:$P$336,$R31,FALSE)-HLOOKUP(AN$3,$D$7:$P$336,$R31,FALSE)</f>
        <v>#N/A</v>
      </c>
      <c r="AO31" s="60" t="e">
        <f>100+HLOOKUP(AO$4,$D$7:$P$336,$R31,FALSE)-HLOOKUP(AO$3,$D$7:$P$336,$R31,FALSE)</f>
        <v>#N/A</v>
      </c>
      <c r="AP31" s="60" t="e">
        <f>100+HLOOKUP(AP$4,$D$7:$P$336,$R31,FALSE)-HLOOKUP(AP$3,$D$7:$P$336,$R31,FALSE)</f>
        <v>#N/A</v>
      </c>
      <c r="AQ31" s="60" t="e">
        <f>100+HLOOKUP(AQ$4,$D$7:$P$336,$R31,FALSE)-HLOOKUP(AQ$3,$D$7:$P$336,$R31,FALSE)</f>
        <v>#N/A</v>
      </c>
      <c r="AV31" s="60">
        <f ca="1">AV$5-S31</f>
        <v>5.1903994267964322</v>
      </c>
      <c r="AW31" s="60">
        <f ca="1">AW$5-T31</f>
        <v>-1.7793494702422521</v>
      </c>
      <c r="AX31" s="60">
        <f ca="1">AX$5-U31</f>
        <v>1.7759154036680513</v>
      </c>
      <c r="AY31" s="60">
        <f ca="1">AY$5-V31</f>
        <v>-4.3969855984721988</v>
      </c>
      <c r="AZ31" s="60">
        <f ca="1">AZ$5-W31</f>
        <v>-2.5455178274039696</v>
      </c>
      <c r="BA31" s="60">
        <f ca="1">BA$5-X31</f>
        <v>0.46505905898270328</v>
      </c>
      <c r="BB31" s="60">
        <f ca="1">BB$5-Y31</f>
        <v>-2.6494072726188733</v>
      </c>
      <c r="BC31" s="60">
        <f ca="1">BC$5-Z31</f>
        <v>7.4374659098821638</v>
      </c>
      <c r="BD31" s="60">
        <f ca="1">BD$5-AA31</f>
        <v>-6.3481335617638024E-2</v>
      </c>
      <c r="BE31" s="60">
        <f ca="1">BE$5-AB31</f>
        <v>-8.170609408007806</v>
      </c>
      <c r="BF31" s="60">
        <f ca="1">BF$5-AC31</f>
        <v>1.0173043164770803</v>
      </c>
      <c r="BG31" s="60">
        <f ca="1">BG$5-AD31</f>
        <v>-1.4741294981490682E-2</v>
      </c>
      <c r="BH31" s="60">
        <f ca="1">BH$5-AE31</f>
        <v>-3.0454077696324333</v>
      </c>
      <c r="BI31" s="60">
        <f ca="1">BI$5-AF31</f>
        <v>-9.3914944887451952</v>
      </c>
      <c r="BJ31" s="60">
        <f ca="1">BJ$5-AG31</f>
        <v>-6.56044894232123</v>
      </c>
      <c r="BK31" s="60" t="e">
        <f>BK$5-AH31</f>
        <v>#N/A</v>
      </c>
      <c r="BL31" s="60" t="e">
        <f>BL$5-AI31</f>
        <v>#N/A</v>
      </c>
      <c r="BM31" s="60" t="e">
        <f>BM$5-AJ31</f>
        <v>#N/A</v>
      </c>
      <c r="BN31" s="60" t="e">
        <f>BN$5-AK31</f>
        <v>#N/A</v>
      </c>
      <c r="BO31" s="60" t="e">
        <f>BO$5-AL31</f>
        <v>#N/A</v>
      </c>
      <c r="BP31" s="60" t="e">
        <f>BP$5-AM31</f>
        <v>#N/A</v>
      </c>
      <c r="BQ31" s="60" t="e">
        <f>BQ$5-AN31</f>
        <v>#N/A</v>
      </c>
      <c r="BR31" s="60" t="e">
        <f>BR$5-AO31</f>
        <v>#N/A</v>
      </c>
      <c r="BS31" s="60" t="e">
        <f>BS$5-AP31</f>
        <v>#N/A</v>
      </c>
      <c r="BT31" s="60" t="e">
        <f>BT$5-AQ31</f>
        <v>#N/A</v>
      </c>
      <c r="BV31" s="60" cm="1">
        <f t="array" aca="1" ref="BV31" ca="1">SQRT(SUMSQ(_xlfn._xlws.FILTER(AV31:BT31,ISNUMBER(AV31:BT31)))/COUNT(_xlfn._xlws.FILTER(AV31:BT31,ISNUMBER(AV31:BT31))))</f>
        <v>4.6899685038921577</v>
      </c>
    </row>
    <row r="32" spans="3:74" x14ac:dyDescent="0.2">
      <c r="C32" s="60" t="s">
        <v>490</v>
      </c>
      <c r="D32" s="60">
        <v>0</v>
      </c>
      <c r="E32" s="60">
        <v>-1</v>
      </c>
      <c r="F32" s="60">
        <v>2</v>
      </c>
      <c r="G32" s="60">
        <v>0</v>
      </c>
      <c r="H32" s="60">
        <v>-1</v>
      </c>
      <c r="I32" s="60">
        <v>-6</v>
      </c>
      <c r="J32" s="60">
        <v>0</v>
      </c>
      <c r="K32" s="60">
        <v>-2</v>
      </c>
      <c r="L32" s="60">
        <v>-2</v>
      </c>
      <c r="M32" s="60">
        <v>-2</v>
      </c>
      <c r="N32" s="60">
        <v>1</v>
      </c>
      <c r="O32" s="60">
        <v>3</v>
      </c>
      <c r="P32" s="60">
        <v>0</v>
      </c>
      <c r="R32" s="61">
        <f>(ROW(R32)-ROW($C$6))</f>
        <v>26</v>
      </c>
      <c r="S32" s="60">
        <f ca="1">100+HLOOKUP(S$4,$D$7:$P$336,$R32,FALSE)-HLOOKUP(S$3,$D$7:$P$336,$R32,FALSE)</f>
        <v>101</v>
      </c>
      <c r="T32" s="60">
        <f ca="1">100+HLOOKUP(T$4,$D$7:$P$336,$R32,FALSE)-HLOOKUP(T$3,$D$7:$P$336,$R32,FALSE)</f>
        <v>97</v>
      </c>
      <c r="U32" s="60">
        <f ca="1">100+HLOOKUP(U$4,$D$7:$P$336,$R32,FALSE)-HLOOKUP(U$3,$D$7:$P$336,$R32,FALSE)</f>
        <v>99</v>
      </c>
      <c r="V32" s="60">
        <f ca="1">100+HLOOKUP(V$4,$D$7:$P$336,$R32,FALSE)-HLOOKUP(V$3,$D$7:$P$336,$R32,FALSE)</f>
        <v>93</v>
      </c>
      <c r="W32" s="60">
        <f ca="1">100+HLOOKUP(W$4,$D$7:$P$336,$R32,FALSE)-HLOOKUP(W$3,$D$7:$P$336,$R32,FALSE)</f>
        <v>98</v>
      </c>
      <c r="X32" s="60">
        <f ca="1">100+HLOOKUP(X$4,$D$7:$P$336,$R32,FALSE)-HLOOKUP(X$3,$D$7:$P$336,$R32,FALSE)</f>
        <v>101</v>
      </c>
      <c r="Y32" s="60">
        <f ca="1">100+HLOOKUP(Y$4,$D$7:$P$336,$R32,FALSE)-HLOOKUP(Y$3,$D$7:$P$336,$R32,FALSE)</f>
        <v>97</v>
      </c>
      <c r="Z32" s="60">
        <f ca="1">100+HLOOKUP(Z$4,$D$7:$P$336,$R32,FALSE)-HLOOKUP(Z$3,$D$7:$P$336,$R32,FALSE)</f>
        <v>99</v>
      </c>
      <c r="AA32" s="60">
        <f ca="1">100+HLOOKUP(AA$4,$D$7:$P$336,$R32,FALSE)-HLOOKUP(AA$3,$D$7:$P$336,$R32,FALSE)</f>
        <v>93</v>
      </c>
      <c r="AB32" s="60">
        <f ca="1">100+HLOOKUP(AB$4,$D$7:$P$336,$R32,FALSE)-HLOOKUP(AB$3,$D$7:$P$336,$R32,FALSE)</f>
        <v>98</v>
      </c>
      <c r="AC32" s="60">
        <f ca="1">100+HLOOKUP(AC$4,$D$7:$P$336,$R32,FALSE)-HLOOKUP(AC$3,$D$7:$P$336,$R32,FALSE)</f>
        <v>96</v>
      </c>
      <c r="AD32" s="60">
        <f ca="1">100+HLOOKUP(AD$4,$D$7:$P$336,$R32,FALSE)-HLOOKUP(AD$3,$D$7:$P$336,$R32,FALSE)</f>
        <v>104</v>
      </c>
      <c r="AE32" s="60">
        <f ca="1">100+HLOOKUP(AE$4,$D$7:$P$336,$R32,FALSE)-HLOOKUP(AE$3,$D$7:$P$336,$R32,FALSE)</f>
        <v>99</v>
      </c>
      <c r="AF32" s="60">
        <f ca="1">100+HLOOKUP(AF$4,$D$7:$P$336,$R32,FALSE)-HLOOKUP(AF$3,$D$7:$P$336,$R32,FALSE)</f>
        <v>102</v>
      </c>
      <c r="AG32" s="60">
        <f ca="1">100+HLOOKUP(AG$4,$D$7:$P$336,$R32,FALSE)-HLOOKUP(AG$3,$D$7:$P$336,$R32,FALSE)</f>
        <v>93</v>
      </c>
      <c r="AH32" s="60" t="e">
        <f>100+HLOOKUP(AH$4,$D$7:$P$336,$R32,FALSE)-HLOOKUP(AH$3,$D$7:$P$336,$R32,FALSE)</f>
        <v>#N/A</v>
      </c>
      <c r="AI32" s="60" t="e">
        <f>100+HLOOKUP(AI$4,$D$7:$P$336,$R32,FALSE)-HLOOKUP(AI$3,$D$7:$P$336,$R32,FALSE)</f>
        <v>#N/A</v>
      </c>
      <c r="AJ32" s="60" t="e">
        <f>100+HLOOKUP(AJ$4,$D$7:$P$336,$R32,FALSE)-HLOOKUP(AJ$3,$D$7:$P$336,$R32,FALSE)</f>
        <v>#N/A</v>
      </c>
      <c r="AK32" s="60" t="e">
        <f>100+HLOOKUP(AK$4,$D$7:$P$336,$R32,FALSE)-HLOOKUP(AK$3,$D$7:$P$336,$R32,FALSE)</f>
        <v>#N/A</v>
      </c>
      <c r="AL32" s="60" t="e">
        <f>100+HLOOKUP(AL$4,$D$7:$P$336,$R32,FALSE)-HLOOKUP(AL$3,$D$7:$P$336,$R32,FALSE)</f>
        <v>#N/A</v>
      </c>
      <c r="AM32" s="60" t="e">
        <f>100+HLOOKUP(AM$4,$D$7:$P$336,$R32,FALSE)-HLOOKUP(AM$3,$D$7:$P$336,$R32,FALSE)</f>
        <v>#N/A</v>
      </c>
      <c r="AN32" s="60" t="e">
        <f>100+HLOOKUP(AN$4,$D$7:$P$336,$R32,FALSE)-HLOOKUP(AN$3,$D$7:$P$336,$R32,FALSE)</f>
        <v>#N/A</v>
      </c>
      <c r="AO32" s="60" t="e">
        <f>100+HLOOKUP(AO$4,$D$7:$P$336,$R32,FALSE)-HLOOKUP(AO$3,$D$7:$P$336,$R32,FALSE)</f>
        <v>#N/A</v>
      </c>
      <c r="AP32" s="60" t="e">
        <f>100+HLOOKUP(AP$4,$D$7:$P$336,$R32,FALSE)-HLOOKUP(AP$3,$D$7:$P$336,$R32,FALSE)</f>
        <v>#N/A</v>
      </c>
      <c r="AQ32" s="60" t="e">
        <f>100+HLOOKUP(AQ$4,$D$7:$P$336,$R32,FALSE)-HLOOKUP(AQ$3,$D$7:$P$336,$R32,FALSE)</f>
        <v>#N/A</v>
      </c>
      <c r="AV32" s="60">
        <f ca="1">AV$5-S32</f>
        <v>2.1903994267964322</v>
      </c>
      <c r="AW32" s="60">
        <f ca="1">AW$5-T32</f>
        <v>-2.7793494702422521</v>
      </c>
      <c r="AX32" s="60">
        <f ca="1">AX$5-U32</f>
        <v>2.7759154036680513</v>
      </c>
      <c r="AY32" s="60">
        <f ca="1">AY$5-V32</f>
        <v>0.60301440152780117</v>
      </c>
      <c r="AZ32" s="60">
        <f ca="1">AZ$5-W32</f>
        <v>-0.54551782740396959</v>
      </c>
      <c r="BA32" s="60">
        <f ca="1">BA$5-X32</f>
        <v>-2.5349409410172967</v>
      </c>
      <c r="BB32" s="60">
        <f ca="1">BB$5-Y32</f>
        <v>-3.6494072726188733</v>
      </c>
      <c r="BC32" s="60">
        <f ca="1">BC$5-Z32</f>
        <v>8.4374659098821638</v>
      </c>
      <c r="BD32" s="60">
        <f ca="1">BD$5-AA32</f>
        <v>4.936518664382362</v>
      </c>
      <c r="BE32" s="60">
        <f ca="1">BE$5-AB32</f>
        <v>-6.170609408007806</v>
      </c>
      <c r="BF32" s="60">
        <f ca="1">BF$5-AC32</f>
        <v>5.0173043164770803</v>
      </c>
      <c r="BG32" s="60">
        <f ca="1">BG$5-AD32</f>
        <v>-1.4741294981490682E-2</v>
      </c>
      <c r="BH32" s="60">
        <f ca="1">BH$5-AE32</f>
        <v>-4.5407769632433315E-2</v>
      </c>
      <c r="BI32" s="60">
        <f ca="1">BI$5-AF32</f>
        <v>-11.391494488745195</v>
      </c>
      <c r="BJ32" s="60">
        <f ca="1">BJ$5-AG32</f>
        <v>-1.56044894232123</v>
      </c>
      <c r="BK32" s="60" t="e">
        <f>BK$5-AH32</f>
        <v>#N/A</v>
      </c>
      <c r="BL32" s="60" t="e">
        <f>BL$5-AI32</f>
        <v>#N/A</v>
      </c>
      <c r="BM32" s="60" t="e">
        <f>BM$5-AJ32</f>
        <v>#N/A</v>
      </c>
      <c r="BN32" s="60" t="e">
        <f>BN$5-AK32</f>
        <v>#N/A</v>
      </c>
      <c r="BO32" s="60" t="e">
        <f>BO$5-AL32</f>
        <v>#N/A</v>
      </c>
      <c r="BP32" s="60" t="e">
        <f>BP$5-AM32</f>
        <v>#N/A</v>
      </c>
      <c r="BQ32" s="60" t="e">
        <f>BQ$5-AN32</f>
        <v>#N/A</v>
      </c>
      <c r="BR32" s="60" t="e">
        <f>BR$5-AO32</f>
        <v>#N/A</v>
      </c>
      <c r="BS32" s="60" t="e">
        <f>BS$5-AP32</f>
        <v>#N/A</v>
      </c>
      <c r="BT32" s="60" t="e">
        <f>BT$5-AQ32</f>
        <v>#N/A</v>
      </c>
      <c r="BV32" s="60" cm="1">
        <f t="array" aca="1" ref="BV32" ca="1">SQRT(SUMSQ(_xlfn._xlws.FILTER(AV32:BT32,ISNUMBER(AV32:BT32)))/COUNT(_xlfn._xlws.FILTER(AV32:BT32,ISNUMBER(AV32:BT32))))</f>
        <v>4.7021051446765103</v>
      </c>
    </row>
    <row r="33" spans="3:74" x14ac:dyDescent="0.2">
      <c r="C33" s="60" t="s">
        <v>454</v>
      </c>
      <c r="D33" s="60">
        <v>0</v>
      </c>
      <c r="E33" s="60">
        <v>-2</v>
      </c>
      <c r="F33" s="60">
        <v>-4</v>
      </c>
      <c r="G33" s="60">
        <v>-6</v>
      </c>
      <c r="H33" s="60">
        <v>-8</v>
      </c>
      <c r="I33" s="60">
        <v>-6</v>
      </c>
      <c r="J33" s="60">
        <v>-4</v>
      </c>
      <c r="K33" s="60">
        <v>-2</v>
      </c>
      <c r="L33" s="60">
        <v>-2</v>
      </c>
      <c r="M33" s="60">
        <v>-1</v>
      </c>
      <c r="N33" s="60">
        <v>0</v>
      </c>
      <c r="O33" s="60">
        <v>2</v>
      </c>
      <c r="P33" s="60">
        <v>0</v>
      </c>
      <c r="R33" s="61">
        <f>(ROW(R33)-ROW($C$6))</f>
        <v>27</v>
      </c>
      <c r="S33" s="60">
        <f ca="1">100+HLOOKUP(S$4,$D$7:$P$336,$R33,FALSE)-HLOOKUP(S$3,$D$7:$P$336,$R33,FALSE)</f>
        <v>93</v>
      </c>
      <c r="T33" s="60">
        <f ca="1">100+HLOOKUP(T$4,$D$7:$P$336,$R33,FALSE)-HLOOKUP(T$3,$D$7:$P$336,$R33,FALSE)</f>
        <v>94</v>
      </c>
      <c r="U33" s="60">
        <f ca="1">100+HLOOKUP(U$4,$D$7:$P$336,$R33,FALSE)-HLOOKUP(U$3,$D$7:$P$336,$R33,FALSE)</f>
        <v>100</v>
      </c>
      <c r="V33" s="60">
        <f ca="1">100+HLOOKUP(V$4,$D$7:$P$336,$R33,FALSE)-HLOOKUP(V$3,$D$7:$P$336,$R33,FALSE)</f>
        <v>94</v>
      </c>
      <c r="W33" s="60">
        <f ca="1">100+HLOOKUP(W$4,$D$7:$P$336,$R33,FALSE)-HLOOKUP(W$3,$D$7:$P$336,$R33,FALSE)</f>
        <v>98</v>
      </c>
      <c r="X33" s="60">
        <f ca="1">100+HLOOKUP(X$4,$D$7:$P$336,$R33,FALSE)-HLOOKUP(X$3,$D$7:$P$336,$R33,FALSE)</f>
        <v>93</v>
      </c>
      <c r="Y33" s="60">
        <f ca="1">100+HLOOKUP(Y$4,$D$7:$P$336,$R33,FALSE)-HLOOKUP(Y$3,$D$7:$P$336,$R33,FALSE)</f>
        <v>94</v>
      </c>
      <c r="Z33" s="60">
        <f ca="1">100+HLOOKUP(Z$4,$D$7:$P$336,$R33,FALSE)-HLOOKUP(Z$3,$D$7:$P$336,$R33,FALSE)</f>
        <v>100</v>
      </c>
      <c r="AA33" s="60">
        <f ca="1">100+HLOOKUP(AA$4,$D$7:$P$336,$R33,FALSE)-HLOOKUP(AA$3,$D$7:$P$336,$R33,FALSE)</f>
        <v>94</v>
      </c>
      <c r="AB33" s="60">
        <f ca="1">100+HLOOKUP(AB$4,$D$7:$P$336,$R33,FALSE)-HLOOKUP(AB$3,$D$7:$P$336,$R33,FALSE)</f>
        <v>98</v>
      </c>
      <c r="AC33" s="60">
        <f ca="1">100+HLOOKUP(AC$4,$D$7:$P$336,$R33,FALSE)-HLOOKUP(AC$3,$D$7:$P$336,$R33,FALSE)</f>
        <v>103</v>
      </c>
      <c r="AD33" s="60">
        <f ca="1">100+HLOOKUP(AD$4,$D$7:$P$336,$R33,FALSE)-HLOOKUP(AD$3,$D$7:$P$336,$R33,FALSE)</f>
        <v>110</v>
      </c>
      <c r="AE33" s="60">
        <f ca="1">100+HLOOKUP(AE$4,$D$7:$P$336,$R33,FALSE)-HLOOKUP(AE$3,$D$7:$P$336,$R33,FALSE)</f>
        <v>102</v>
      </c>
      <c r="AF33" s="60">
        <f ca="1">100+HLOOKUP(AF$4,$D$7:$P$336,$R33,FALSE)-HLOOKUP(AF$3,$D$7:$P$336,$R33,FALSE)</f>
        <v>96</v>
      </c>
      <c r="AG33" s="60">
        <f ca="1">100+HLOOKUP(AG$4,$D$7:$P$336,$R33,FALSE)-HLOOKUP(AG$3,$D$7:$P$336,$R33,FALSE)</f>
        <v>94</v>
      </c>
      <c r="AH33" s="60" t="e">
        <f>100+HLOOKUP(AH$4,$D$7:$P$336,$R33,FALSE)-HLOOKUP(AH$3,$D$7:$P$336,$R33,FALSE)</f>
        <v>#N/A</v>
      </c>
      <c r="AI33" s="60" t="e">
        <f>100+HLOOKUP(AI$4,$D$7:$P$336,$R33,FALSE)-HLOOKUP(AI$3,$D$7:$P$336,$R33,FALSE)</f>
        <v>#N/A</v>
      </c>
      <c r="AJ33" s="60" t="e">
        <f>100+HLOOKUP(AJ$4,$D$7:$P$336,$R33,FALSE)-HLOOKUP(AJ$3,$D$7:$P$336,$R33,FALSE)</f>
        <v>#N/A</v>
      </c>
      <c r="AK33" s="60" t="e">
        <f>100+HLOOKUP(AK$4,$D$7:$P$336,$R33,FALSE)-HLOOKUP(AK$3,$D$7:$P$336,$R33,FALSE)</f>
        <v>#N/A</v>
      </c>
      <c r="AL33" s="60" t="e">
        <f>100+HLOOKUP(AL$4,$D$7:$P$336,$R33,FALSE)-HLOOKUP(AL$3,$D$7:$P$336,$R33,FALSE)</f>
        <v>#N/A</v>
      </c>
      <c r="AM33" s="60" t="e">
        <f>100+HLOOKUP(AM$4,$D$7:$P$336,$R33,FALSE)-HLOOKUP(AM$3,$D$7:$P$336,$R33,FALSE)</f>
        <v>#N/A</v>
      </c>
      <c r="AN33" s="60" t="e">
        <f>100+HLOOKUP(AN$4,$D$7:$P$336,$R33,FALSE)-HLOOKUP(AN$3,$D$7:$P$336,$R33,FALSE)</f>
        <v>#N/A</v>
      </c>
      <c r="AO33" s="60" t="e">
        <f>100+HLOOKUP(AO$4,$D$7:$P$336,$R33,FALSE)-HLOOKUP(AO$3,$D$7:$P$336,$R33,FALSE)</f>
        <v>#N/A</v>
      </c>
      <c r="AP33" s="60" t="e">
        <f>100+HLOOKUP(AP$4,$D$7:$P$336,$R33,FALSE)-HLOOKUP(AP$3,$D$7:$P$336,$R33,FALSE)</f>
        <v>#N/A</v>
      </c>
      <c r="AQ33" s="60" t="e">
        <f>100+HLOOKUP(AQ$4,$D$7:$P$336,$R33,FALSE)-HLOOKUP(AQ$3,$D$7:$P$336,$R33,FALSE)</f>
        <v>#N/A</v>
      </c>
      <c r="AV33" s="60">
        <f ca="1">AV$5-S33</f>
        <v>10.190399426796432</v>
      </c>
      <c r="AW33" s="60">
        <f ca="1">AW$5-T33</f>
        <v>0.2206505297577479</v>
      </c>
      <c r="AX33" s="60">
        <f ca="1">AX$5-U33</f>
        <v>1.7759154036680513</v>
      </c>
      <c r="AY33" s="60">
        <f ca="1">AY$5-V33</f>
        <v>-0.39698559847219883</v>
      </c>
      <c r="AZ33" s="60">
        <f ca="1">AZ$5-W33</f>
        <v>-0.54551782740396959</v>
      </c>
      <c r="BA33" s="60">
        <f ca="1">BA$5-X33</f>
        <v>5.4650590589827033</v>
      </c>
      <c r="BB33" s="60">
        <f ca="1">BB$5-Y33</f>
        <v>-0.64940727261887332</v>
      </c>
      <c r="BC33" s="60">
        <f ca="1">BC$5-Z33</f>
        <v>7.4374659098821638</v>
      </c>
      <c r="BD33" s="60">
        <f ca="1">BD$5-AA33</f>
        <v>3.936518664382362</v>
      </c>
      <c r="BE33" s="60">
        <f ca="1">BE$5-AB33</f>
        <v>-6.170609408007806</v>
      </c>
      <c r="BF33" s="60">
        <f ca="1">BF$5-AC33</f>
        <v>-1.9826956835229197</v>
      </c>
      <c r="BG33" s="60">
        <f ca="1">BG$5-AD33</f>
        <v>-6.0147412949814907</v>
      </c>
      <c r="BH33" s="60">
        <f ca="1">BH$5-AE33</f>
        <v>-3.0454077696324333</v>
      </c>
      <c r="BI33" s="60">
        <f ca="1">BI$5-AF33</f>
        <v>-5.3914944887451952</v>
      </c>
      <c r="BJ33" s="60">
        <f ca="1">BJ$5-AG33</f>
        <v>-2.56044894232123</v>
      </c>
      <c r="BK33" s="60" t="e">
        <f>BK$5-AH33</f>
        <v>#N/A</v>
      </c>
      <c r="BL33" s="60" t="e">
        <f>BL$5-AI33</f>
        <v>#N/A</v>
      </c>
      <c r="BM33" s="60" t="e">
        <f>BM$5-AJ33</f>
        <v>#N/A</v>
      </c>
      <c r="BN33" s="60" t="e">
        <f>BN$5-AK33</f>
        <v>#N/A</v>
      </c>
      <c r="BO33" s="60" t="e">
        <f>BO$5-AL33</f>
        <v>#N/A</v>
      </c>
      <c r="BP33" s="60" t="e">
        <f>BP$5-AM33</f>
        <v>#N/A</v>
      </c>
      <c r="BQ33" s="60" t="e">
        <f>BQ$5-AN33</f>
        <v>#N/A</v>
      </c>
      <c r="BR33" s="60" t="e">
        <f>BR$5-AO33</f>
        <v>#N/A</v>
      </c>
      <c r="BS33" s="60" t="e">
        <f>BS$5-AP33</f>
        <v>#N/A</v>
      </c>
      <c r="BT33" s="60" t="e">
        <f>BT$5-AQ33</f>
        <v>#N/A</v>
      </c>
      <c r="BV33" s="60" cm="1">
        <f t="array" aca="1" ref="BV33" ca="1">SQRT(SUMSQ(_xlfn._xlws.FILTER(AV33:BT33,ISNUMBER(AV33:BT33)))/COUNT(_xlfn._xlws.FILTER(AV33:BT33,ISNUMBER(AV33:BT33))))</f>
        <v>4.7023816956720399</v>
      </c>
    </row>
    <row r="34" spans="3:74" x14ac:dyDescent="0.2">
      <c r="C34" s="60" t="s">
        <v>219</v>
      </c>
      <c r="D34" s="60">
        <v>0</v>
      </c>
      <c r="E34" s="60">
        <v>-0.69</v>
      </c>
      <c r="F34" s="60">
        <v>-2.94</v>
      </c>
      <c r="G34" s="60">
        <v>-3.8</v>
      </c>
      <c r="H34" s="60">
        <v>-4.21</v>
      </c>
      <c r="I34" s="60">
        <v>-3.83</v>
      </c>
      <c r="J34" s="60">
        <v>-4.08</v>
      </c>
      <c r="K34" s="60">
        <v>-5.09</v>
      </c>
      <c r="L34" s="60">
        <v>-3.13</v>
      </c>
      <c r="M34" s="60">
        <v>-2.21</v>
      </c>
      <c r="N34" s="60">
        <v>-0.94</v>
      </c>
      <c r="O34" s="60">
        <v>-1.96</v>
      </c>
      <c r="P34" s="60">
        <v>0</v>
      </c>
      <c r="R34" s="61">
        <f>(ROW(R34)-ROW($C$6))</f>
        <v>28</v>
      </c>
      <c r="S34" s="60">
        <f ca="1">100+HLOOKUP(S$4,$D$7:$P$336,$R34,FALSE)-HLOOKUP(S$3,$D$7:$P$336,$R34,FALSE)</f>
        <v>98</v>
      </c>
      <c r="T34" s="60">
        <f ca="1">100+HLOOKUP(T$4,$D$7:$P$336,$R34,FALSE)-HLOOKUP(T$3,$D$7:$P$336,$R34,FALSE)</f>
        <v>97.88</v>
      </c>
      <c r="U34" s="60">
        <f ca="1">100+HLOOKUP(U$4,$D$7:$P$336,$R34,FALSE)-HLOOKUP(U$3,$D$7:$P$336,$R34,FALSE)</f>
        <v>97.56</v>
      </c>
      <c r="V34" s="60">
        <f ca="1">100+HLOOKUP(V$4,$D$7:$P$336,$R34,FALSE)-HLOOKUP(V$3,$D$7:$P$336,$R34,FALSE)</f>
        <v>97.11</v>
      </c>
      <c r="W34" s="60">
        <f ca="1">100+HLOOKUP(W$4,$D$7:$P$336,$R34,FALSE)-HLOOKUP(W$3,$D$7:$P$336,$R34,FALSE)</f>
        <v>94.91</v>
      </c>
      <c r="X34" s="60">
        <f ca="1">100+HLOOKUP(X$4,$D$7:$P$336,$R34,FALSE)-HLOOKUP(X$3,$D$7:$P$336,$R34,FALSE)</f>
        <v>98</v>
      </c>
      <c r="Y34" s="60">
        <f ca="1">100+HLOOKUP(Y$4,$D$7:$P$336,$R34,FALSE)-HLOOKUP(Y$3,$D$7:$P$336,$R34,FALSE)</f>
        <v>97.88</v>
      </c>
      <c r="Z34" s="60">
        <f ca="1">100+HLOOKUP(Z$4,$D$7:$P$336,$R34,FALSE)-HLOOKUP(Z$3,$D$7:$P$336,$R34,FALSE)</f>
        <v>97.56</v>
      </c>
      <c r="AA34" s="60">
        <f ca="1">100+HLOOKUP(AA$4,$D$7:$P$336,$R34,FALSE)-HLOOKUP(AA$3,$D$7:$P$336,$R34,FALSE)</f>
        <v>97.11</v>
      </c>
      <c r="AB34" s="60">
        <f ca="1">100+HLOOKUP(AB$4,$D$7:$P$336,$R34,FALSE)-HLOOKUP(AB$3,$D$7:$P$336,$R34,FALSE)</f>
        <v>94.91</v>
      </c>
      <c r="AC34" s="60">
        <f ca="1">100+HLOOKUP(AC$4,$D$7:$P$336,$R34,FALSE)-HLOOKUP(AC$3,$D$7:$P$336,$R34,FALSE)</f>
        <v>100.73</v>
      </c>
      <c r="AD34" s="60">
        <f ca="1">100+HLOOKUP(AD$4,$D$7:$P$336,$R34,FALSE)-HLOOKUP(AD$3,$D$7:$P$336,$R34,FALSE)</f>
        <v>102.25</v>
      </c>
      <c r="AE34" s="60">
        <f ca="1">100+HLOOKUP(AE$4,$D$7:$P$336,$R34,FALSE)-HLOOKUP(AE$3,$D$7:$P$336,$R34,FALSE)</f>
        <v>103.39</v>
      </c>
      <c r="AF34" s="60">
        <f ca="1">100+HLOOKUP(AF$4,$D$7:$P$336,$R34,FALSE)-HLOOKUP(AF$3,$D$7:$P$336,$R34,FALSE)</f>
        <v>99.33</v>
      </c>
      <c r="AG34" s="60">
        <f ca="1">100+HLOOKUP(AG$4,$D$7:$P$336,$R34,FALSE)-HLOOKUP(AG$3,$D$7:$P$336,$R34,FALSE)</f>
        <v>97.11</v>
      </c>
      <c r="AH34" s="60" t="e">
        <f>100+HLOOKUP(AH$4,$D$7:$P$336,$R34,FALSE)-HLOOKUP(AH$3,$D$7:$P$336,$R34,FALSE)</f>
        <v>#N/A</v>
      </c>
      <c r="AI34" s="60" t="e">
        <f>100+HLOOKUP(AI$4,$D$7:$P$336,$R34,FALSE)-HLOOKUP(AI$3,$D$7:$P$336,$R34,FALSE)</f>
        <v>#N/A</v>
      </c>
      <c r="AJ34" s="60" t="e">
        <f>100+HLOOKUP(AJ$4,$D$7:$P$336,$R34,FALSE)-HLOOKUP(AJ$3,$D$7:$P$336,$R34,FALSE)</f>
        <v>#N/A</v>
      </c>
      <c r="AK34" s="60" t="e">
        <f>100+HLOOKUP(AK$4,$D$7:$P$336,$R34,FALSE)-HLOOKUP(AK$3,$D$7:$P$336,$R34,FALSE)</f>
        <v>#N/A</v>
      </c>
      <c r="AL34" s="60" t="e">
        <f>100+HLOOKUP(AL$4,$D$7:$P$336,$R34,FALSE)-HLOOKUP(AL$3,$D$7:$P$336,$R34,FALSE)</f>
        <v>#N/A</v>
      </c>
      <c r="AM34" s="60" t="e">
        <f>100+HLOOKUP(AM$4,$D$7:$P$336,$R34,FALSE)-HLOOKUP(AM$3,$D$7:$P$336,$R34,FALSE)</f>
        <v>#N/A</v>
      </c>
      <c r="AN34" s="60" t="e">
        <f>100+HLOOKUP(AN$4,$D$7:$P$336,$R34,FALSE)-HLOOKUP(AN$3,$D$7:$P$336,$R34,FALSE)</f>
        <v>#N/A</v>
      </c>
      <c r="AO34" s="60" t="e">
        <f>100+HLOOKUP(AO$4,$D$7:$P$336,$R34,FALSE)-HLOOKUP(AO$3,$D$7:$P$336,$R34,FALSE)</f>
        <v>#N/A</v>
      </c>
      <c r="AP34" s="60" t="e">
        <f>100+HLOOKUP(AP$4,$D$7:$P$336,$R34,FALSE)-HLOOKUP(AP$3,$D$7:$P$336,$R34,FALSE)</f>
        <v>#N/A</v>
      </c>
      <c r="AQ34" s="60" t="e">
        <f>100+HLOOKUP(AQ$4,$D$7:$P$336,$R34,FALSE)-HLOOKUP(AQ$3,$D$7:$P$336,$R34,FALSE)</f>
        <v>#N/A</v>
      </c>
      <c r="AV34" s="60">
        <f ca="1">AV$5-S34</f>
        <v>5.1903994267964322</v>
      </c>
      <c r="AW34" s="60">
        <f ca="1">AW$5-T34</f>
        <v>-3.6593494702422475</v>
      </c>
      <c r="AX34" s="60">
        <f ca="1">AX$5-U34</f>
        <v>4.2159154036680491</v>
      </c>
      <c r="AY34" s="60">
        <f ca="1">AY$5-V34</f>
        <v>-3.5069855984721983</v>
      </c>
      <c r="AZ34" s="60">
        <f ca="1">AZ$5-W34</f>
        <v>2.5444821725960338</v>
      </c>
      <c r="BA34" s="60">
        <f ca="1">BA$5-X34</f>
        <v>0.46505905898270328</v>
      </c>
      <c r="BB34" s="60">
        <f ca="1">BB$5-Y34</f>
        <v>-4.5294072726188688</v>
      </c>
      <c r="BC34" s="60">
        <f ca="1">BC$5-Z34</f>
        <v>9.8774659098821616</v>
      </c>
      <c r="BD34" s="60">
        <f ca="1">BD$5-AA34</f>
        <v>0.82651866438236254</v>
      </c>
      <c r="BE34" s="60">
        <f ca="1">BE$5-AB34</f>
        <v>-3.0806094080078026</v>
      </c>
      <c r="BF34" s="60">
        <f ca="1">BF$5-AC34</f>
        <v>0.28730431647707633</v>
      </c>
      <c r="BG34" s="60">
        <f ca="1">BG$5-AD34</f>
        <v>1.7352587050185093</v>
      </c>
      <c r="BH34" s="60">
        <f ca="1">BH$5-AE34</f>
        <v>-4.4354077696324339</v>
      </c>
      <c r="BI34" s="60">
        <f ca="1">BI$5-AF34</f>
        <v>-8.7214944887451935</v>
      </c>
      <c r="BJ34" s="60">
        <f ca="1">BJ$5-AG34</f>
        <v>-5.6704489423212294</v>
      </c>
      <c r="BK34" s="60" t="e">
        <f>BK$5-AH34</f>
        <v>#N/A</v>
      </c>
      <c r="BL34" s="60" t="e">
        <f>BL$5-AI34</f>
        <v>#N/A</v>
      </c>
      <c r="BM34" s="60" t="e">
        <f>BM$5-AJ34</f>
        <v>#N/A</v>
      </c>
      <c r="BN34" s="60" t="e">
        <f>BN$5-AK34</f>
        <v>#N/A</v>
      </c>
      <c r="BO34" s="60" t="e">
        <f>BO$5-AL34</f>
        <v>#N/A</v>
      </c>
      <c r="BP34" s="60" t="e">
        <f>BP$5-AM34</f>
        <v>#N/A</v>
      </c>
      <c r="BQ34" s="60" t="e">
        <f>BQ$5-AN34</f>
        <v>#N/A</v>
      </c>
      <c r="BR34" s="60" t="e">
        <f>BR$5-AO34</f>
        <v>#N/A</v>
      </c>
      <c r="BS34" s="60" t="e">
        <f>BS$5-AP34</f>
        <v>#N/A</v>
      </c>
      <c r="BT34" s="60" t="e">
        <f>BT$5-AQ34</f>
        <v>#N/A</v>
      </c>
      <c r="BV34" s="60" cm="1">
        <f t="array" aca="1" ref="BV34" ca="1">SQRT(SUMSQ(_xlfn._xlws.FILTER(AV34:BT34,ISNUMBER(AV34:BT34)))/COUNT(_xlfn._xlws.FILTER(AV34:BT34,ISNUMBER(AV34:BT34))))</f>
        <v>4.7352068684796569</v>
      </c>
    </row>
    <row r="35" spans="3:74" x14ac:dyDescent="0.2">
      <c r="C35" s="60" t="s">
        <v>278</v>
      </c>
      <c r="D35" s="60">
        <v>0</v>
      </c>
      <c r="E35" s="60">
        <v>-4</v>
      </c>
      <c r="F35" s="60">
        <v>-2</v>
      </c>
      <c r="G35" s="60">
        <v>-6</v>
      </c>
      <c r="H35" s="60">
        <v>-8</v>
      </c>
      <c r="I35" s="60">
        <v>-6</v>
      </c>
      <c r="J35" s="60">
        <v>-4</v>
      </c>
      <c r="K35" s="60">
        <v>-6</v>
      </c>
      <c r="L35" s="60">
        <v>-4</v>
      </c>
      <c r="M35" s="60">
        <v>-2</v>
      </c>
      <c r="N35" s="60">
        <v>-4</v>
      </c>
      <c r="O35" s="60">
        <v>-2</v>
      </c>
      <c r="P35" s="60">
        <v>0</v>
      </c>
      <c r="R35" s="61">
        <f>(ROW(R35)-ROW($C$6))</f>
        <v>29</v>
      </c>
      <c r="S35" s="60">
        <f ca="1">100+HLOOKUP(S$4,$D$7:$P$336,$R35,FALSE)-HLOOKUP(S$3,$D$7:$P$336,$R35,FALSE)</f>
        <v>94</v>
      </c>
      <c r="T35" s="60">
        <f ca="1">100+HLOOKUP(T$4,$D$7:$P$336,$R35,FALSE)-HLOOKUP(T$3,$D$7:$P$336,$R35,FALSE)</f>
        <v>98</v>
      </c>
      <c r="U35" s="60">
        <f ca="1">100+HLOOKUP(U$4,$D$7:$P$336,$R35,FALSE)-HLOOKUP(U$3,$D$7:$P$336,$R35,FALSE)</f>
        <v>100</v>
      </c>
      <c r="V35" s="60">
        <f ca="1">100+HLOOKUP(V$4,$D$7:$P$336,$R35,FALSE)-HLOOKUP(V$3,$D$7:$P$336,$R35,FALSE)</f>
        <v>98</v>
      </c>
      <c r="W35" s="60">
        <f ca="1">100+HLOOKUP(W$4,$D$7:$P$336,$R35,FALSE)-HLOOKUP(W$3,$D$7:$P$336,$R35,FALSE)</f>
        <v>94</v>
      </c>
      <c r="X35" s="60">
        <f ca="1">100+HLOOKUP(X$4,$D$7:$P$336,$R35,FALSE)-HLOOKUP(X$3,$D$7:$P$336,$R35,FALSE)</f>
        <v>94</v>
      </c>
      <c r="Y35" s="60">
        <f ca="1">100+HLOOKUP(Y$4,$D$7:$P$336,$R35,FALSE)-HLOOKUP(Y$3,$D$7:$P$336,$R35,FALSE)</f>
        <v>98</v>
      </c>
      <c r="Z35" s="60">
        <f ca="1">100+HLOOKUP(Z$4,$D$7:$P$336,$R35,FALSE)-HLOOKUP(Z$3,$D$7:$P$336,$R35,FALSE)</f>
        <v>100</v>
      </c>
      <c r="AA35" s="60">
        <f ca="1">100+HLOOKUP(AA$4,$D$7:$P$336,$R35,FALSE)-HLOOKUP(AA$3,$D$7:$P$336,$R35,FALSE)</f>
        <v>98</v>
      </c>
      <c r="AB35" s="60">
        <f ca="1">100+HLOOKUP(AB$4,$D$7:$P$336,$R35,FALSE)-HLOOKUP(AB$3,$D$7:$P$336,$R35,FALSE)</f>
        <v>94</v>
      </c>
      <c r="AC35" s="60">
        <f ca="1">100+HLOOKUP(AC$4,$D$7:$P$336,$R35,FALSE)-HLOOKUP(AC$3,$D$7:$P$336,$R35,FALSE)</f>
        <v>100</v>
      </c>
      <c r="AD35" s="60">
        <f ca="1">100+HLOOKUP(AD$4,$D$7:$P$336,$R35,FALSE)-HLOOKUP(AD$3,$D$7:$P$336,$R35,FALSE)</f>
        <v>106</v>
      </c>
      <c r="AE35" s="60">
        <f ca="1">100+HLOOKUP(AE$4,$D$7:$P$336,$R35,FALSE)-HLOOKUP(AE$3,$D$7:$P$336,$R35,FALSE)</f>
        <v>100</v>
      </c>
      <c r="AF35" s="60">
        <f ca="1">100+HLOOKUP(AF$4,$D$7:$P$336,$R35,FALSE)-HLOOKUP(AF$3,$D$7:$P$336,$R35,FALSE)</f>
        <v>98</v>
      </c>
      <c r="AG35" s="60">
        <f ca="1">100+HLOOKUP(AG$4,$D$7:$P$336,$R35,FALSE)-HLOOKUP(AG$3,$D$7:$P$336,$R35,FALSE)</f>
        <v>98</v>
      </c>
      <c r="AH35" s="60" t="e">
        <f>100+HLOOKUP(AH$4,$D$7:$P$336,$R35,FALSE)-HLOOKUP(AH$3,$D$7:$P$336,$R35,FALSE)</f>
        <v>#N/A</v>
      </c>
      <c r="AI35" s="60" t="e">
        <f>100+HLOOKUP(AI$4,$D$7:$P$336,$R35,FALSE)-HLOOKUP(AI$3,$D$7:$P$336,$R35,FALSE)</f>
        <v>#N/A</v>
      </c>
      <c r="AJ35" s="60" t="e">
        <f>100+HLOOKUP(AJ$4,$D$7:$P$336,$R35,FALSE)-HLOOKUP(AJ$3,$D$7:$P$336,$R35,FALSE)</f>
        <v>#N/A</v>
      </c>
      <c r="AK35" s="60" t="e">
        <f>100+HLOOKUP(AK$4,$D$7:$P$336,$R35,FALSE)-HLOOKUP(AK$3,$D$7:$P$336,$R35,FALSE)</f>
        <v>#N/A</v>
      </c>
      <c r="AL35" s="60" t="e">
        <f>100+HLOOKUP(AL$4,$D$7:$P$336,$R35,FALSE)-HLOOKUP(AL$3,$D$7:$P$336,$R35,FALSE)</f>
        <v>#N/A</v>
      </c>
      <c r="AM35" s="60" t="e">
        <f>100+HLOOKUP(AM$4,$D$7:$P$336,$R35,FALSE)-HLOOKUP(AM$3,$D$7:$P$336,$R35,FALSE)</f>
        <v>#N/A</v>
      </c>
      <c r="AN35" s="60" t="e">
        <f>100+HLOOKUP(AN$4,$D$7:$P$336,$R35,FALSE)-HLOOKUP(AN$3,$D$7:$P$336,$R35,FALSE)</f>
        <v>#N/A</v>
      </c>
      <c r="AO35" s="60" t="e">
        <f>100+HLOOKUP(AO$4,$D$7:$P$336,$R35,FALSE)-HLOOKUP(AO$3,$D$7:$P$336,$R35,FALSE)</f>
        <v>#N/A</v>
      </c>
      <c r="AP35" s="60" t="e">
        <f>100+HLOOKUP(AP$4,$D$7:$P$336,$R35,FALSE)-HLOOKUP(AP$3,$D$7:$P$336,$R35,FALSE)</f>
        <v>#N/A</v>
      </c>
      <c r="AQ35" s="60" t="e">
        <f>100+HLOOKUP(AQ$4,$D$7:$P$336,$R35,FALSE)-HLOOKUP(AQ$3,$D$7:$P$336,$R35,FALSE)</f>
        <v>#N/A</v>
      </c>
      <c r="AV35" s="60">
        <f ca="1">AV$5-S35</f>
        <v>9.1903994267964322</v>
      </c>
      <c r="AW35" s="60">
        <f ca="1">AW$5-T35</f>
        <v>-3.7793494702422521</v>
      </c>
      <c r="AX35" s="60">
        <f ca="1">AX$5-U35</f>
        <v>1.7759154036680513</v>
      </c>
      <c r="AY35" s="60">
        <f ca="1">AY$5-V35</f>
        <v>-4.3969855984721988</v>
      </c>
      <c r="AZ35" s="60">
        <f ca="1">AZ$5-W35</f>
        <v>3.4544821725960304</v>
      </c>
      <c r="BA35" s="60">
        <f ca="1">BA$5-X35</f>
        <v>4.4650590589827033</v>
      </c>
      <c r="BB35" s="60">
        <f ca="1">BB$5-Y35</f>
        <v>-4.6494072726188733</v>
      </c>
      <c r="BC35" s="60">
        <f ca="1">BC$5-Z35</f>
        <v>7.4374659098821638</v>
      </c>
      <c r="BD35" s="60">
        <f ca="1">BD$5-AA35</f>
        <v>-6.3481335617638024E-2</v>
      </c>
      <c r="BE35" s="60">
        <f ca="1">BE$5-AB35</f>
        <v>-2.170609408007806</v>
      </c>
      <c r="BF35" s="60">
        <f ca="1">BF$5-AC35</f>
        <v>1.0173043164770803</v>
      </c>
      <c r="BG35" s="60">
        <f ca="1">BG$5-AD35</f>
        <v>-2.0147412949814907</v>
      </c>
      <c r="BH35" s="60">
        <f ca="1">BH$5-AE35</f>
        <v>-1.0454077696324333</v>
      </c>
      <c r="BI35" s="60">
        <f ca="1">BI$5-AF35</f>
        <v>-7.3914944887451952</v>
      </c>
      <c r="BJ35" s="60">
        <f ca="1">BJ$5-AG35</f>
        <v>-6.56044894232123</v>
      </c>
      <c r="BK35" s="60" t="e">
        <f>BK$5-AH35</f>
        <v>#N/A</v>
      </c>
      <c r="BL35" s="60" t="e">
        <f>BL$5-AI35</f>
        <v>#N/A</v>
      </c>
      <c r="BM35" s="60" t="e">
        <f>BM$5-AJ35</f>
        <v>#N/A</v>
      </c>
      <c r="BN35" s="60" t="e">
        <f>BN$5-AK35</f>
        <v>#N/A</v>
      </c>
      <c r="BO35" s="60" t="e">
        <f>BO$5-AL35</f>
        <v>#N/A</v>
      </c>
      <c r="BP35" s="60" t="e">
        <f>BP$5-AM35</f>
        <v>#N/A</v>
      </c>
      <c r="BQ35" s="60" t="e">
        <f>BQ$5-AN35</f>
        <v>#N/A</v>
      </c>
      <c r="BR35" s="60" t="e">
        <f>BR$5-AO35</f>
        <v>#N/A</v>
      </c>
      <c r="BS35" s="60" t="e">
        <f>BS$5-AP35</f>
        <v>#N/A</v>
      </c>
      <c r="BT35" s="60" t="e">
        <f>BT$5-AQ35</f>
        <v>#N/A</v>
      </c>
      <c r="BV35" s="60" cm="1">
        <f t="array" aca="1" ref="BV35" ca="1">SQRT(SUMSQ(_xlfn._xlws.FILTER(AV35:BT35,ISNUMBER(AV35:BT35)))/COUNT(_xlfn._xlws.FILTER(AV35:BT35,ISNUMBER(AV35:BT35))))</f>
        <v>4.7512355774868951</v>
      </c>
    </row>
    <row r="36" spans="3:74" x14ac:dyDescent="0.2">
      <c r="C36" s="60" t="s">
        <v>217</v>
      </c>
      <c r="D36" s="60">
        <v>0</v>
      </c>
      <c r="E36" s="60">
        <v>-0.69</v>
      </c>
      <c r="F36" s="60">
        <v>-2.94</v>
      </c>
      <c r="G36" s="60">
        <v>-3.8</v>
      </c>
      <c r="H36" s="60">
        <v>-4.21</v>
      </c>
      <c r="I36" s="60">
        <v>-3.83</v>
      </c>
      <c r="J36" s="60">
        <v>-7.04</v>
      </c>
      <c r="K36" s="60">
        <v>-5.09</v>
      </c>
      <c r="L36" s="60">
        <v>-3.13</v>
      </c>
      <c r="M36" s="60">
        <v>-2.21</v>
      </c>
      <c r="N36" s="60">
        <v>-0.94</v>
      </c>
      <c r="O36" s="60">
        <v>-1.96</v>
      </c>
      <c r="P36" s="60">
        <v>0</v>
      </c>
      <c r="R36" s="61">
        <f>(ROW(R36)-ROW($C$6))</f>
        <v>30</v>
      </c>
      <c r="S36" s="60">
        <f ca="1">100+HLOOKUP(S$4,$D$7:$P$336,$R36,FALSE)-HLOOKUP(S$3,$D$7:$P$336,$R36,FALSE)</f>
        <v>98</v>
      </c>
      <c r="T36" s="60">
        <f ca="1">100+HLOOKUP(T$4,$D$7:$P$336,$R36,FALSE)-HLOOKUP(T$3,$D$7:$P$336,$R36,FALSE)</f>
        <v>94.919999999999987</v>
      </c>
      <c r="U36" s="60">
        <f ca="1">100+HLOOKUP(U$4,$D$7:$P$336,$R36,FALSE)-HLOOKUP(U$3,$D$7:$P$336,$R36,FALSE)</f>
        <v>97.56</v>
      </c>
      <c r="V36" s="60">
        <f ca="1">100+HLOOKUP(V$4,$D$7:$P$336,$R36,FALSE)-HLOOKUP(V$3,$D$7:$P$336,$R36,FALSE)</f>
        <v>97.11</v>
      </c>
      <c r="W36" s="60">
        <f ca="1">100+HLOOKUP(W$4,$D$7:$P$336,$R36,FALSE)-HLOOKUP(W$3,$D$7:$P$336,$R36,FALSE)</f>
        <v>94.91</v>
      </c>
      <c r="X36" s="60">
        <f ca="1">100+HLOOKUP(X$4,$D$7:$P$336,$R36,FALSE)-HLOOKUP(X$3,$D$7:$P$336,$R36,FALSE)</f>
        <v>98</v>
      </c>
      <c r="Y36" s="60">
        <f ca="1">100+HLOOKUP(Y$4,$D$7:$P$336,$R36,FALSE)-HLOOKUP(Y$3,$D$7:$P$336,$R36,FALSE)</f>
        <v>94.919999999999987</v>
      </c>
      <c r="Z36" s="60">
        <f ca="1">100+HLOOKUP(Z$4,$D$7:$P$336,$R36,FALSE)-HLOOKUP(Z$3,$D$7:$P$336,$R36,FALSE)</f>
        <v>97.56</v>
      </c>
      <c r="AA36" s="60">
        <f ca="1">100+HLOOKUP(AA$4,$D$7:$P$336,$R36,FALSE)-HLOOKUP(AA$3,$D$7:$P$336,$R36,FALSE)</f>
        <v>97.11</v>
      </c>
      <c r="AB36" s="60">
        <f ca="1">100+HLOOKUP(AB$4,$D$7:$P$336,$R36,FALSE)-HLOOKUP(AB$3,$D$7:$P$336,$R36,FALSE)</f>
        <v>94.91</v>
      </c>
      <c r="AC36" s="60">
        <f ca="1">100+HLOOKUP(AC$4,$D$7:$P$336,$R36,FALSE)-HLOOKUP(AC$3,$D$7:$P$336,$R36,FALSE)</f>
        <v>100.73</v>
      </c>
      <c r="AD36" s="60">
        <f ca="1">100+HLOOKUP(AD$4,$D$7:$P$336,$R36,FALSE)-HLOOKUP(AD$3,$D$7:$P$336,$R36,FALSE)</f>
        <v>102.25</v>
      </c>
      <c r="AE36" s="60">
        <f ca="1">100+HLOOKUP(AE$4,$D$7:$P$336,$R36,FALSE)-HLOOKUP(AE$3,$D$7:$P$336,$R36,FALSE)</f>
        <v>106.35000000000001</v>
      </c>
      <c r="AF36" s="60">
        <f ca="1">100+HLOOKUP(AF$4,$D$7:$P$336,$R36,FALSE)-HLOOKUP(AF$3,$D$7:$P$336,$R36,FALSE)</f>
        <v>99.33</v>
      </c>
      <c r="AG36" s="60">
        <f ca="1">100+HLOOKUP(AG$4,$D$7:$P$336,$R36,FALSE)-HLOOKUP(AG$3,$D$7:$P$336,$R36,FALSE)</f>
        <v>97.11</v>
      </c>
      <c r="AH36" s="60" t="e">
        <f>100+HLOOKUP(AH$4,$D$7:$P$336,$R36,FALSE)-HLOOKUP(AH$3,$D$7:$P$336,$R36,FALSE)</f>
        <v>#N/A</v>
      </c>
      <c r="AI36" s="60" t="e">
        <f>100+HLOOKUP(AI$4,$D$7:$P$336,$R36,FALSE)-HLOOKUP(AI$3,$D$7:$P$336,$R36,FALSE)</f>
        <v>#N/A</v>
      </c>
      <c r="AJ36" s="60" t="e">
        <f>100+HLOOKUP(AJ$4,$D$7:$P$336,$R36,FALSE)-HLOOKUP(AJ$3,$D$7:$P$336,$R36,FALSE)</f>
        <v>#N/A</v>
      </c>
      <c r="AK36" s="60" t="e">
        <f>100+HLOOKUP(AK$4,$D$7:$P$336,$R36,FALSE)-HLOOKUP(AK$3,$D$7:$P$336,$R36,FALSE)</f>
        <v>#N/A</v>
      </c>
      <c r="AL36" s="60" t="e">
        <f>100+HLOOKUP(AL$4,$D$7:$P$336,$R36,FALSE)-HLOOKUP(AL$3,$D$7:$P$336,$R36,FALSE)</f>
        <v>#N/A</v>
      </c>
      <c r="AM36" s="60" t="e">
        <f>100+HLOOKUP(AM$4,$D$7:$P$336,$R36,FALSE)-HLOOKUP(AM$3,$D$7:$P$336,$R36,FALSE)</f>
        <v>#N/A</v>
      </c>
      <c r="AN36" s="60" t="e">
        <f>100+HLOOKUP(AN$4,$D$7:$P$336,$R36,FALSE)-HLOOKUP(AN$3,$D$7:$P$336,$R36,FALSE)</f>
        <v>#N/A</v>
      </c>
      <c r="AO36" s="60" t="e">
        <f>100+HLOOKUP(AO$4,$D$7:$P$336,$R36,FALSE)-HLOOKUP(AO$3,$D$7:$P$336,$R36,FALSE)</f>
        <v>#N/A</v>
      </c>
      <c r="AP36" s="60" t="e">
        <f>100+HLOOKUP(AP$4,$D$7:$P$336,$R36,FALSE)-HLOOKUP(AP$3,$D$7:$P$336,$R36,FALSE)</f>
        <v>#N/A</v>
      </c>
      <c r="AQ36" s="60" t="e">
        <f>100+HLOOKUP(AQ$4,$D$7:$P$336,$R36,FALSE)-HLOOKUP(AQ$3,$D$7:$P$336,$R36,FALSE)</f>
        <v>#N/A</v>
      </c>
      <c r="AV36" s="60">
        <f ca="1">AV$5-S36</f>
        <v>5.1903994267964322</v>
      </c>
      <c r="AW36" s="60">
        <f ca="1">AW$5-T36</f>
        <v>-0.69934947024223959</v>
      </c>
      <c r="AX36" s="60">
        <f ca="1">AX$5-U36</f>
        <v>4.2159154036680491</v>
      </c>
      <c r="AY36" s="60">
        <f ca="1">AY$5-V36</f>
        <v>-3.5069855984721983</v>
      </c>
      <c r="AZ36" s="60">
        <f ca="1">AZ$5-W36</f>
        <v>2.5444821725960338</v>
      </c>
      <c r="BA36" s="60">
        <f ca="1">BA$5-X36</f>
        <v>0.46505905898270328</v>
      </c>
      <c r="BB36" s="60">
        <f ca="1">BB$5-Y36</f>
        <v>-1.5694072726188608</v>
      </c>
      <c r="BC36" s="60">
        <f ca="1">BC$5-Z36</f>
        <v>9.8774659098821616</v>
      </c>
      <c r="BD36" s="60">
        <f ca="1">BD$5-AA36</f>
        <v>0.82651866438236254</v>
      </c>
      <c r="BE36" s="60">
        <f ca="1">BE$5-AB36</f>
        <v>-3.0806094080078026</v>
      </c>
      <c r="BF36" s="60">
        <f ca="1">BF$5-AC36</f>
        <v>0.28730431647707633</v>
      </c>
      <c r="BG36" s="60">
        <f ca="1">BG$5-AD36</f>
        <v>1.7352587050185093</v>
      </c>
      <c r="BH36" s="60">
        <f ca="1">BH$5-AE36</f>
        <v>-7.3954077696324418</v>
      </c>
      <c r="BI36" s="60">
        <f ca="1">BI$5-AF36</f>
        <v>-8.7214944887451935</v>
      </c>
      <c r="BJ36" s="60">
        <f ca="1">BJ$5-AG36</f>
        <v>-5.6704489423212294</v>
      </c>
      <c r="BK36" s="60" t="e">
        <f>BK$5-AH36</f>
        <v>#N/A</v>
      </c>
      <c r="BL36" s="60" t="e">
        <f>BL$5-AI36</f>
        <v>#N/A</v>
      </c>
      <c r="BM36" s="60" t="e">
        <f>BM$5-AJ36</f>
        <v>#N/A</v>
      </c>
      <c r="BN36" s="60" t="e">
        <f>BN$5-AK36</f>
        <v>#N/A</v>
      </c>
      <c r="BO36" s="60" t="e">
        <f>BO$5-AL36</f>
        <v>#N/A</v>
      </c>
      <c r="BP36" s="60" t="e">
        <f>BP$5-AM36</f>
        <v>#N/A</v>
      </c>
      <c r="BQ36" s="60" t="e">
        <f>BQ$5-AN36</f>
        <v>#N/A</v>
      </c>
      <c r="BR36" s="60" t="e">
        <f>BR$5-AO36</f>
        <v>#N/A</v>
      </c>
      <c r="BS36" s="60" t="e">
        <f>BS$5-AP36</f>
        <v>#N/A</v>
      </c>
      <c r="BT36" s="60" t="e">
        <f>BT$5-AQ36</f>
        <v>#N/A</v>
      </c>
      <c r="BV36" s="60" cm="1">
        <f t="array" aca="1" ref="BV36" ca="1">SQRT(SUMSQ(_xlfn._xlws.FILTER(AV36:BT36,ISNUMBER(AV36:BT36)))/COUNT(_xlfn._xlws.FILTER(AV36:BT36,ISNUMBER(AV36:BT36))))</f>
        <v>4.7637361764896262</v>
      </c>
    </row>
    <row r="37" spans="3:74" x14ac:dyDescent="0.2">
      <c r="C37" s="60" t="s">
        <v>241</v>
      </c>
      <c r="D37" s="60">
        <v>0</v>
      </c>
      <c r="E37" s="60">
        <v>-1</v>
      </c>
      <c r="F37" s="60">
        <v>-1</v>
      </c>
      <c r="G37" s="60">
        <v>-2</v>
      </c>
      <c r="H37" s="60">
        <v>-1</v>
      </c>
      <c r="I37" s="60">
        <v>0</v>
      </c>
      <c r="J37" s="60">
        <v>0</v>
      </c>
      <c r="K37" s="60">
        <v>1</v>
      </c>
      <c r="L37" s="60">
        <v>1</v>
      </c>
      <c r="M37" s="60">
        <v>1</v>
      </c>
      <c r="N37" s="60">
        <v>1</v>
      </c>
      <c r="O37" s="60">
        <v>1</v>
      </c>
      <c r="P37" s="60">
        <v>0</v>
      </c>
      <c r="R37" s="61">
        <f>(ROW(R37)-ROW($C$6))</f>
        <v>31</v>
      </c>
      <c r="S37" s="60">
        <f ca="1">100+HLOOKUP(S$4,$D$7:$P$336,$R37,FALSE)-HLOOKUP(S$3,$D$7:$P$336,$R37,FALSE)</f>
        <v>98</v>
      </c>
      <c r="T37" s="60">
        <f ca="1">100+HLOOKUP(T$4,$D$7:$P$336,$R37,FALSE)-HLOOKUP(T$3,$D$7:$P$336,$R37,FALSE)</f>
        <v>99</v>
      </c>
      <c r="U37" s="60">
        <f ca="1">100+HLOOKUP(U$4,$D$7:$P$336,$R37,FALSE)-HLOOKUP(U$3,$D$7:$P$336,$R37,FALSE)</f>
        <v>102</v>
      </c>
      <c r="V37" s="60">
        <f ca="1">100+HLOOKUP(V$4,$D$7:$P$336,$R37,FALSE)-HLOOKUP(V$3,$D$7:$P$336,$R37,FALSE)</f>
        <v>99</v>
      </c>
      <c r="W37" s="60">
        <f ca="1">100+HLOOKUP(W$4,$D$7:$P$336,$R37,FALSE)-HLOOKUP(W$3,$D$7:$P$336,$R37,FALSE)</f>
        <v>101</v>
      </c>
      <c r="X37" s="60">
        <f ca="1">100+HLOOKUP(X$4,$D$7:$P$336,$R37,FALSE)-HLOOKUP(X$3,$D$7:$P$336,$R37,FALSE)</f>
        <v>98</v>
      </c>
      <c r="Y37" s="60">
        <f ca="1">100+HLOOKUP(Y$4,$D$7:$P$336,$R37,FALSE)-HLOOKUP(Y$3,$D$7:$P$336,$R37,FALSE)</f>
        <v>99</v>
      </c>
      <c r="Z37" s="60">
        <f ca="1">100+HLOOKUP(Z$4,$D$7:$P$336,$R37,FALSE)-HLOOKUP(Z$3,$D$7:$P$336,$R37,FALSE)</f>
        <v>102</v>
      </c>
      <c r="AA37" s="60">
        <f ca="1">100+HLOOKUP(AA$4,$D$7:$P$336,$R37,FALSE)-HLOOKUP(AA$3,$D$7:$P$336,$R37,FALSE)</f>
        <v>99</v>
      </c>
      <c r="AB37" s="60">
        <f ca="1">100+HLOOKUP(AB$4,$D$7:$P$336,$R37,FALSE)-HLOOKUP(AB$3,$D$7:$P$336,$R37,FALSE)</f>
        <v>101</v>
      </c>
      <c r="AC37" s="60">
        <f ca="1">100+HLOOKUP(AC$4,$D$7:$P$336,$R37,FALSE)-HLOOKUP(AC$3,$D$7:$P$336,$R37,FALSE)</f>
        <v>102</v>
      </c>
      <c r="AD37" s="60">
        <f ca="1">100+HLOOKUP(AD$4,$D$7:$P$336,$R37,FALSE)-HLOOKUP(AD$3,$D$7:$P$336,$R37,FALSE)</f>
        <v>102</v>
      </c>
      <c r="AE37" s="60">
        <f ca="1">100+HLOOKUP(AE$4,$D$7:$P$336,$R37,FALSE)-HLOOKUP(AE$3,$D$7:$P$336,$R37,FALSE)</f>
        <v>99</v>
      </c>
      <c r="AF37" s="60">
        <f ca="1">100+HLOOKUP(AF$4,$D$7:$P$336,$R37,FALSE)-HLOOKUP(AF$3,$D$7:$P$336,$R37,FALSE)</f>
        <v>97</v>
      </c>
      <c r="AG37" s="60">
        <f ca="1">100+HLOOKUP(AG$4,$D$7:$P$336,$R37,FALSE)-HLOOKUP(AG$3,$D$7:$P$336,$R37,FALSE)</f>
        <v>99</v>
      </c>
      <c r="AH37" s="60" t="e">
        <f>100+HLOOKUP(AH$4,$D$7:$P$336,$R37,FALSE)-HLOOKUP(AH$3,$D$7:$P$336,$R37,FALSE)</f>
        <v>#N/A</v>
      </c>
      <c r="AI37" s="60" t="e">
        <f>100+HLOOKUP(AI$4,$D$7:$P$336,$R37,FALSE)-HLOOKUP(AI$3,$D$7:$P$336,$R37,FALSE)</f>
        <v>#N/A</v>
      </c>
      <c r="AJ37" s="60" t="e">
        <f>100+HLOOKUP(AJ$4,$D$7:$P$336,$R37,FALSE)-HLOOKUP(AJ$3,$D$7:$P$336,$R37,FALSE)</f>
        <v>#N/A</v>
      </c>
      <c r="AK37" s="60" t="e">
        <f>100+HLOOKUP(AK$4,$D$7:$P$336,$R37,FALSE)-HLOOKUP(AK$3,$D$7:$P$336,$R37,FALSE)</f>
        <v>#N/A</v>
      </c>
      <c r="AL37" s="60" t="e">
        <f>100+HLOOKUP(AL$4,$D$7:$P$336,$R37,FALSE)-HLOOKUP(AL$3,$D$7:$P$336,$R37,FALSE)</f>
        <v>#N/A</v>
      </c>
      <c r="AM37" s="60" t="e">
        <f>100+HLOOKUP(AM$4,$D$7:$P$336,$R37,FALSE)-HLOOKUP(AM$3,$D$7:$P$336,$R37,FALSE)</f>
        <v>#N/A</v>
      </c>
      <c r="AN37" s="60" t="e">
        <f>100+HLOOKUP(AN$4,$D$7:$P$336,$R37,FALSE)-HLOOKUP(AN$3,$D$7:$P$336,$R37,FALSE)</f>
        <v>#N/A</v>
      </c>
      <c r="AO37" s="60" t="e">
        <f>100+HLOOKUP(AO$4,$D$7:$P$336,$R37,FALSE)-HLOOKUP(AO$3,$D$7:$P$336,$R37,FALSE)</f>
        <v>#N/A</v>
      </c>
      <c r="AP37" s="60" t="e">
        <f>100+HLOOKUP(AP$4,$D$7:$P$336,$R37,FALSE)-HLOOKUP(AP$3,$D$7:$P$336,$R37,FALSE)</f>
        <v>#N/A</v>
      </c>
      <c r="AQ37" s="60" t="e">
        <f>100+HLOOKUP(AQ$4,$D$7:$P$336,$R37,FALSE)-HLOOKUP(AQ$3,$D$7:$P$336,$R37,FALSE)</f>
        <v>#N/A</v>
      </c>
      <c r="AV37" s="60">
        <f ca="1">AV$5-S37</f>
        <v>5.1903994267964322</v>
      </c>
      <c r="AW37" s="60">
        <f ca="1">AW$5-T37</f>
        <v>-4.7793494702422521</v>
      </c>
      <c r="AX37" s="60">
        <f ca="1">AX$5-U37</f>
        <v>-0.22408459633194866</v>
      </c>
      <c r="AY37" s="60">
        <f ca="1">AY$5-V37</f>
        <v>-5.3969855984721988</v>
      </c>
      <c r="AZ37" s="60">
        <f ca="1">AZ$5-W37</f>
        <v>-3.5455178274039696</v>
      </c>
      <c r="BA37" s="60">
        <f ca="1">BA$5-X37</f>
        <v>0.46505905898270328</v>
      </c>
      <c r="BB37" s="60">
        <f ca="1">BB$5-Y37</f>
        <v>-5.6494072726188733</v>
      </c>
      <c r="BC37" s="60">
        <f ca="1">BC$5-Z37</f>
        <v>5.4374659098821638</v>
      </c>
      <c r="BD37" s="60">
        <f ca="1">BD$5-AA37</f>
        <v>-1.063481335617638</v>
      </c>
      <c r="BE37" s="60">
        <f ca="1">BE$5-AB37</f>
        <v>-9.170609408007806</v>
      </c>
      <c r="BF37" s="60">
        <f ca="1">BF$5-AC37</f>
        <v>-0.98269568352291969</v>
      </c>
      <c r="BG37" s="60">
        <f ca="1">BG$5-AD37</f>
        <v>1.9852587050185093</v>
      </c>
      <c r="BH37" s="60">
        <f ca="1">BH$5-AE37</f>
        <v>-4.5407769632433315E-2</v>
      </c>
      <c r="BI37" s="60">
        <f ca="1">BI$5-AF37</f>
        <v>-6.3914944887451952</v>
      </c>
      <c r="BJ37" s="60">
        <f ca="1">BJ$5-AG37</f>
        <v>-7.56044894232123</v>
      </c>
      <c r="BK37" s="60" t="e">
        <f>BK$5-AH37</f>
        <v>#N/A</v>
      </c>
      <c r="BL37" s="60" t="e">
        <f>BL$5-AI37</f>
        <v>#N/A</v>
      </c>
      <c r="BM37" s="60" t="e">
        <f>BM$5-AJ37</f>
        <v>#N/A</v>
      </c>
      <c r="BN37" s="60" t="e">
        <f>BN$5-AK37</f>
        <v>#N/A</v>
      </c>
      <c r="BO37" s="60" t="e">
        <f>BO$5-AL37</f>
        <v>#N/A</v>
      </c>
      <c r="BP37" s="60" t="e">
        <f>BP$5-AM37</f>
        <v>#N/A</v>
      </c>
      <c r="BQ37" s="60" t="e">
        <f>BQ$5-AN37</f>
        <v>#N/A</v>
      </c>
      <c r="BR37" s="60" t="e">
        <f>BR$5-AO37</f>
        <v>#N/A</v>
      </c>
      <c r="BS37" s="60" t="e">
        <f>BS$5-AP37</f>
        <v>#N/A</v>
      </c>
      <c r="BT37" s="60" t="e">
        <f>BT$5-AQ37</f>
        <v>#N/A</v>
      </c>
      <c r="BV37" s="60" cm="1">
        <f t="array" aca="1" ref="BV37" ca="1">SQRT(SUMSQ(_xlfn._xlws.FILTER(AV37:BT37,ISNUMBER(AV37:BT37)))/COUNT(_xlfn._xlws.FILTER(AV37:BT37,ISNUMBER(AV37:BT37))))</f>
        <v>4.7706084443742132</v>
      </c>
    </row>
    <row r="38" spans="3:74" x14ac:dyDescent="0.2">
      <c r="C38" s="60" t="s">
        <v>363</v>
      </c>
      <c r="D38" s="60">
        <v>0</v>
      </c>
      <c r="E38" s="60">
        <v>-1.3959999999999999</v>
      </c>
      <c r="F38" s="60">
        <v>-2.7930000000000001</v>
      </c>
      <c r="G38" s="60">
        <v>-4.1890000000000001</v>
      </c>
      <c r="H38" s="60">
        <v>-5.5860000000000003</v>
      </c>
      <c r="I38" s="60">
        <v>-6.9820000000000002</v>
      </c>
      <c r="J38" s="60">
        <v>-5.0270000000000001</v>
      </c>
      <c r="K38" s="60">
        <v>-6.4240000000000004</v>
      </c>
      <c r="L38" s="60">
        <v>-4.4690000000000003</v>
      </c>
      <c r="M38" s="60">
        <v>-2.5139999999999998</v>
      </c>
      <c r="N38" s="60">
        <v>-0.55900000000000005</v>
      </c>
      <c r="O38" s="60">
        <v>1.3959999999999999</v>
      </c>
      <c r="P38" s="60">
        <v>0</v>
      </c>
      <c r="R38" s="61">
        <f>(ROW(R38)-ROW($C$6))</f>
        <v>32</v>
      </c>
      <c r="S38" s="60">
        <f ca="1">100+HLOOKUP(S$4,$D$7:$P$336,$R38,FALSE)-HLOOKUP(S$3,$D$7:$P$336,$R38,FALSE)</f>
        <v>96.927999999999997</v>
      </c>
      <c r="T38" s="60">
        <f ca="1">100+HLOOKUP(T$4,$D$7:$P$336,$R38,FALSE)-HLOOKUP(T$3,$D$7:$P$336,$R38,FALSE)</f>
        <v>93.576999999999998</v>
      </c>
      <c r="U38" s="60">
        <f ca="1">100+HLOOKUP(U$4,$D$7:$P$336,$R38,FALSE)-HLOOKUP(U$3,$D$7:$P$336,$R38,FALSE)</f>
        <v>96.927000000000007</v>
      </c>
      <c r="V38" s="60">
        <f ca="1">100+HLOOKUP(V$4,$D$7:$P$336,$R38,FALSE)-HLOOKUP(V$3,$D$7:$P$336,$R38,FALSE)</f>
        <v>93.576999999999998</v>
      </c>
      <c r="W38" s="60">
        <f ca="1">100+HLOOKUP(W$4,$D$7:$P$336,$R38,FALSE)-HLOOKUP(W$3,$D$7:$P$336,$R38,FALSE)</f>
        <v>93.575999999999993</v>
      </c>
      <c r="X38" s="60">
        <f ca="1">100+HLOOKUP(X$4,$D$7:$P$336,$R38,FALSE)-HLOOKUP(X$3,$D$7:$P$336,$R38,FALSE)</f>
        <v>96.927999999999997</v>
      </c>
      <c r="Y38" s="60">
        <f ca="1">100+HLOOKUP(Y$4,$D$7:$P$336,$R38,FALSE)-HLOOKUP(Y$3,$D$7:$P$336,$R38,FALSE)</f>
        <v>93.576999999999998</v>
      </c>
      <c r="Z38" s="60">
        <f ca="1">100+HLOOKUP(Z$4,$D$7:$P$336,$R38,FALSE)-HLOOKUP(Z$3,$D$7:$P$336,$R38,FALSE)</f>
        <v>96.927000000000007</v>
      </c>
      <c r="AA38" s="60">
        <f ca="1">100+HLOOKUP(AA$4,$D$7:$P$336,$R38,FALSE)-HLOOKUP(AA$3,$D$7:$P$336,$R38,FALSE)</f>
        <v>93.576999999999998</v>
      </c>
      <c r="AB38" s="60">
        <f ca="1">100+HLOOKUP(AB$4,$D$7:$P$336,$R38,FALSE)-HLOOKUP(AB$3,$D$7:$P$336,$R38,FALSE)</f>
        <v>93.575999999999993</v>
      </c>
      <c r="AC38" s="60">
        <f ca="1">100+HLOOKUP(AC$4,$D$7:$P$336,$R38,FALSE)-HLOOKUP(AC$3,$D$7:$P$336,$R38,FALSE)</f>
        <v>100.27900000000001</v>
      </c>
      <c r="AD38" s="60">
        <f ca="1">100+HLOOKUP(AD$4,$D$7:$P$336,$R38,FALSE)-HLOOKUP(AD$3,$D$7:$P$336,$R38,FALSE)</f>
        <v>106.982</v>
      </c>
      <c r="AE38" s="60">
        <f ca="1">100+HLOOKUP(AE$4,$D$7:$P$336,$R38,FALSE)-HLOOKUP(AE$3,$D$7:$P$336,$R38,FALSE)</f>
        <v>103.631</v>
      </c>
      <c r="AF38" s="60">
        <f ca="1">100+HLOOKUP(AF$4,$D$7:$P$336,$R38,FALSE)-HLOOKUP(AF$3,$D$7:$P$336,$R38,FALSE)</f>
        <v>100.28</v>
      </c>
      <c r="AG38" s="60">
        <f ca="1">100+HLOOKUP(AG$4,$D$7:$P$336,$R38,FALSE)-HLOOKUP(AG$3,$D$7:$P$336,$R38,FALSE)</f>
        <v>93.576999999999998</v>
      </c>
      <c r="AH38" s="60" t="e">
        <f>100+HLOOKUP(AH$4,$D$7:$P$336,$R38,FALSE)-HLOOKUP(AH$3,$D$7:$P$336,$R38,FALSE)</f>
        <v>#N/A</v>
      </c>
      <c r="AI38" s="60" t="e">
        <f>100+HLOOKUP(AI$4,$D$7:$P$336,$R38,FALSE)-HLOOKUP(AI$3,$D$7:$P$336,$R38,FALSE)</f>
        <v>#N/A</v>
      </c>
      <c r="AJ38" s="60" t="e">
        <f>100+HLOOKUP(AJ$4,$D$7:$P$336,$R38,FALSE)-HLOOKUP(AJ$3,$D$7:$P$336,$R38,FALSE)</f>
        <v>#N/A</v>
      </c>
      <c r="AK38" s="60" t="e">
        <f>100+HLOOKUP(AK$4,$D$7:$P$336,$R38,FALSE)-HLOOKUP(AK$3,$D$7:$P$336,$R38,FALSE)</f>
        <v>#N/A</v>
      </c>
      <c r="AL38" s="60" t="e">
        <f>100+HLOOKUP(AL$4,$D$7:$P$336,$R38,FALSE)-HLOOKUP(AL$3,$D$7:$P$336,$R38,FALSE)</f>
        <v>#N/A</v>
      </c>
      <c r="AM38" s="60" t="e">
        <f>100+HLOOKUP(AM$4,$D$7:$P$336,$R38,FALSE)-HLOOKUP(AM$3,$D$7:$P$336,$R38,FALSE)</f>
        <v>#N/A</v>
      </c>
      <c r="AN38" s="60" t="e">
        <f>100+HLOOKUP(AN$4,$D$7:$P$336,$R38,FALSE)-HLOOKUP(AN$3,$D$7:$P$336,$R38,FALSE)</f>
        <v>#N/A</v>
      </c>
      <c r="AO38" s="60" t="e">
        <f>100+HLOOKUP(AO$4,$D$7:$P$336,$R38,FALSE)-HLOOKUP(AO$3,$D$7:$P$336,$R38,FALSE)</f>
        <v>#N/A</v>
      </c>
      <c r="AP38" s="60" t="e">
        <f>100+HLOOKUP(AP$4,$D$7:$P$336,$R38,FALSE)-HLOOKUP(AP$3,$D$7:$P$336,$R38,FALSE)</f>
        <v>#N/A</v>
      </c>
      <c r="AQ38" s="60" t="e">
        <f>100+HLOOKUP(AQ$4,$D$7:$P$336,$R38,FALSE)-HLOOKUP(AQ$3,$D$7:$P$336,$R38,FALSE)</f>
        <v>#N/A</v>
      </c>
      <c r="AV38" s="60">
        <f ca="1">AV$5-S38</f>
        <v>6.2623994267964349</v>
      </c>
      <c r="AW38" s="60">
        <f ca="1">AW$5-T38</f>
        <v>0.64365052975774972</v>
      </c>
      <c r="AX38" s="60">
        <f ca="1">AX$5-U38</f>
        <v>4.8489154036680446</v>
      </c>
      <c r="AY38" s="60">
        <f ca="1">AY$5-V38</f>
        <v>2.6014401527802988E-2</v>
      </c>
      <c r="AZ38" s="60">
        <f ca="1">AZ$5-W38</f>
        <v>3.878482172596037</v>
      </c>
      <c r="BA38" s="60">
        <f ca="1">BA$5-X38</f>
        <v>1.537059058982706</v>
      </c>
      <c r="BB38" s="60">
        <f ca="1">BB$5-Y38</f>
        <v>-0.2264072726188715</v>
      </c>
      <c r="BC38" s="60">
        <f ca="1">BC$5-Z38</f>
        <v>10.510465909882157</v>
      </c>
      <c r="BD38" s="60">
        <f ca="1">BD$5-AA38</f>
        <v>4.3595186643823638</v>
      </c>
      <c r="BE38" s="60">
        <f ca="1">BE$5-AB38</f>
        <v>-1.7466094080077994</v>
      </c>
      <c r="BF38" s="60">
        <f ca="1">BF$5-AC38</f>
        <v>0.73830431647706973</v>
      </c>
      <c r="BG38" s="60">
        <f ca="1">BG$5-AD38</f>
        <v>-2.99674129498149</v>
      </c>
      <c r="BH38" s="60">
        <f ca="1">BH$5-AE38</f>
        <v>-4.6764077696324335</v>
      </c>
      <c r="BI38" s="60">
        <f ca="1">BI$5-AF38</f>
        <v>-9.6714944887451963</v>
      </c>
      <c r="BJ38" s="60">
        <f ca="1">BJ$5-AG38</f>
        <v>-2.1374489423212282</v>
      </c>
      <c r="BK38" s="60" t="e">
        <f>BK$5-AH38</f>
        <v>#N/A</v>
      </c>
      <c r="BL38" s="60" t="e">
        <f>BL$5-AI38</f>
        <v>#N/A</v>
      </c>
      <c r="BM38" s="60" t="e">
        <f>BM$5-AJ38</f>
        <v>#N/A</v>
      </c>
      <c r="BN38" s="60" t="e">
        <f>BN$5-AK38</f>
        <v>#N/A</v>
      </c>
      <c r="BO38" s="60" t="e">
        <f>BO$5-AL38</f>
        <v>#N/A</v>
      </c>
      <c r="BP38" s="60" t="e">
        <f>BP$5-AM38</f>
        <v>#N/A</v>
      </c>
      <c r="BQ38" s="60" t="e">
        <f>BQ$5-AN38</f>
        <v>#N/A</v>
      </c>
      <c r="BR38" s="60" t="e">
        <f>BR$5-AO38</f>
        <v>#N/A</v>
      </c>
      <c r="BS38" s="60" t="e">
        <f>BS$5-AP38</f>
        <v>#N/A</v>
      </c>
      <c r="BT38" s="60" t="e">
        <f>BT$5-AQ38</f>
        <v>#N/A</v>
      </c>
      <c r="BV38" s="60" cm="1">
        <f t="array" aca="1" ref="BV38" ca="1">SQRT(SUMSQ(_xlfn._xlws.FILTER(AV38:BT38,ISNUMBER(AV38:BT38)))/COUNT(_xlfn._xlws.FILTER(AV38:BT38,ISNUMBER(AV38:BT38))))</f>
        <v>4.7793151577243265</v>
      </c>
    </row>
    <row r="39" spans="3:74" x14ac:dyDescent="0.2">
      <c r="C39" s="60" t="s">
        <v>214</v>
      </c>
      <c r="D39" s="60">
        <v>0</v>
      </c>
      <c r="E39" s="60">
        <v>-1</v>
      </c>
      <c r="F39" s="60">
        <v>-3</v>
      </c>
      <c r="G39" s="60">
        <v>-4</v>
      </c>
      <c r="H39" s="60">
        <v>-6</v>
      </c>
      <c r="I39" s="60">
        <v>-4</v>
      </c>
      <c r="J39" s="60">
        <v>-7</v>
      </c>
      <c r="K39" s="60">
        <v>-5</v>
      </c>
      <c r="L39" s="60">
        <v>-3</v>
      </c>
      <c r="M39" s="60">
        <v>-2</v>
      </c>
      <c r="N39" s="60">
        <v>-1</v>
      </c>
      <c r="O39" s="60">
        <v>-2</v>
      </c>
      <c r="P39" s="60">
        <v>0</v>
      </c>
      <c r="R39" s="61">
        <f>(ROW(R39)-ROW($C$6))</f>
        <v>33</v>
      </c>
      <c r="S39" s="60">
        <f ca="1">100+HLOOKUP(S$4,$D$7:$P$336,$R39,FALSE)-HLOOKUP(S$3,$D$7:$P$336,$R39,FALSE)</f>
        <v>96</v>
      </c>
      <c r="T39" s="60">
        <f ca="1">100+HLOOKUP(T$4,$D$7:$P$336,$R39,FALSE)-HLOOKUP(T$3,$D$7:$P$336,$R39,FALSE)</f>
        <v>95</v>
      </c>
      <c r="U39" s="60">
        <f ca="1">100+HLOOKUP(U$4,$D$7:$P$336,$R39,FALSE)-HLOOKUP(U$3,$D$7:$P$336,$R39,FALSE)</f>
        <v>98</v>
      </c>
      <c r="V39" s="60">
        <f ca="1">100+HLOOKUP(V$4,$D$7:$P$336,$R39,FALSE)-HLOOKUP(V$3,$D$7:$P$336,$R39,FALSE)</f>
        <v>97</v>
      </c>
      <c r="W39" s="60">
        <f ca="1">100+HLOOKUP(W$4,$D$7:$P$336,$R39,FALSE)-HLOOKUP(W$3,$D$7:$P$336,$R39,FALSE)</f>
        <v>95</v>
      </c>
      <c r="X39" s="60">
        <f ca="1">100+HLOOKUP(X$4,$D$7:$P$336,$R39,FALSE)-HLOOKUP(X$3,$D$7:$P$336,$R39,FALSE)</f>
        <v>96</v>
      </c>
      <c r="Y39" s="60">
        <f ca="1">100+HLOOKUP(Y$4,$D$7:$P$336,$R39,FALSE)-HLOOKUP(Y$3,$D$7:$P$336,$R39,FALSE)</f>
        <v>95</v>
      </c>
      <c r="Z39" s="60">
        <f ca="1">100+HLOOKUP(Z$4,$D$7:$P$336,$R39,FALSE)-HLOOKUP(Z$3,$D$7:$P$336,$R39,FALSE)</f>
        <v>98</v>
      </c>
      <c r="AA39" s="60">
        <f ca="1">100+HLOOKUP(AA$4,$D$7:$P$336,$R39,FALSE)-HLOOKUP(AA$3,$D$7:$P$336,$R39,FALSE)</f>
        <v>97</v>
      </c>
      <c r="AB39" s="60">
        <f ca="1">100+HLOOKUP(AB$4,$D$7:$P$336,$R39,FALSE)-HLOOKUP(AB$3,$D$7:$P$336,$R39,FALSE)</f>
        <v>95</v>
      </c>
      <c r="AC39" s="60">
        <f ca="1">100+HLOOKUP(AC$4,$D$7:$P$336,$R39,FALSE)-HLOOKUP(AC$3,$D$7:$P$336,$R39,FALSE)</f>
        <v>101</v>
      </c>
      <c r="AD39" s="60">
        <f ca="1">100+HLOOKUP(AD$4,$D$7:$P$336,$R39,FALSE)-HLOOKUP(AD$3,$D$7:$P$336,$R39,FALSE)</f>
        <v>104</v>
      </c>
      <c r="AE39" s="60">
        <f ca="1">100+HLOOKUP(AE$4,$D$7:$P$336,$R39,FALSE)-HLOOKUP(AE$3,$D$7:$P$336,$R39,FALSE)</f>
        <v>106</v>
      </c>
      <c r="AF39" s="60">
        <f ca="1">100+HLOOKUP(AF$4,$D$7:$P$336,$R39,FALSE)-HLOOKUP(AF$3,$D$7:$P$336,$R39,FALSE)</f>
        <v>99</v>
      </c>
      <c r="AG39" s="60">
        <f ca="1">100+HLOOKUP(AG$4,$D$7:$P$336,$R39,FALSE)-HLOOKUP(AG$3,$D$7:$P$336,$R39,FALSE)</f>
        <v>97</v>
      </c>
      <c r="AH39" s="60" t="e">
        <f>100+HLOOKUP(AH$4,$D$7:$P$336,$R39,FALSE)-HLOOKUP(AH$3,$D$7:$P$336,$R39,FALSE)</f>
        <v>#N/A</v>
      </c>
      <c r="AI39" s="60" t="e">
        <f>100+HLOOKUP(AI$4,$D$7:$P$336,$R39,FALSE)-HLOOKUP(AI$3,$D$7:$P$336,$R39,FALSE)</f>
        <v>#N/A</v>
      </c>
      <c r="AJ39" s="60" t="e">
        <f>100+HLOOKUP(AJ$4,$D$7:$P$336,$R39,FALSE)-HLOOKUP(AJ$3,$D$7:$P$336,$R39,FALSE)</f>
        <v>#N/A</v>
      </c>
      <c r="AK39" s="60" t="e">
        <f>100+HLOOKUP(AK$4,$D$7:$P$336,$R39,FALSE)-HLOOKUP(AK$3,$D$7:$P$336,$R39,FALSE)</f>
        <v>#N/A</v>
      </c>
      <c r="AL39" s="60" t="e">
        <f>100+HLOOKUP(AL$4,$D$7:$P$336,$R39,FALSE)-HLOOKUP(AL$3,$D$7:$P$336,$R39,FALSE)</f>
        <v>#N/A</v>
      </c>
      <c r="AM39" s="60" t="e">
        <f>100+HLOOKUP(AM$4,$D$7:$P$336,$R39,FALSE)-HLOOKUP(AM$3,$D$7:$P$336,$R39,FALSE)</f>
        <v>#N/A</v>
      </c>
      <c r="AN39" s="60" t="e">
        <f>100+HLOOKUP(AN$4,$D$7:$P$336,$R39,FALSE)-HLOOKUP(AN$3,$D$7:$P$336,$R39,FALSE)</f>
        <v>#N/A</v>
      </c>
      <c r="AO39" s="60" t="e">
        <f>100+HLOOKUP(AO$4,$D$7:$P$336,$R39,FALSE)-HLOOKUP(AO$3,$D$7:$P$336,$R39,FALSE)</f>
        <v>#N/A</v>
      </c>
      <c r="AP39" s="60" t="e">
        <f>100+HLOOKUP(AP$4,$D$7:$P$336,$R39,FALSE)-HLOOKUP(AP$3,$D$7:$P$336,$R39,FALSE)</f>
        <v>#N/A</v>
      </c>
      <c r="AQ39" s="60" t="e">
        <f>100+HLOOKUP(AQ$4,$D$7:$P$336,$R39,FALSE)-HLOOKUP(AQ$3,$D$7:$P$336,$R39,FALSE)</f>
        <v>#N/A</v>
      </c>
      <c r="AV39" s="60">
        <f ca="1">AV$5-S39</f>
        <v>7.1903994267964322</v>
      </c>
      <c r="AW39" s="60">
        <f ca="1">AW$5-T39</f>
        <v>-0.7793494702422521</v>
      </c>
      <c r="AX39" s="60">
        <f ca="1">AX$5-U39</f>
        <v>3.7759154036680513</v>
      </c>
      <c r="AY39" s="60">
        <f ca="1">AY$5-V39</f>
        <v>-3.3969855984721988</v>
      </c>
      <c r="AZ39" s="60">
        <f ca="1">AZ$5-W39</f>
        <v>2.4544821725960304</v>
      </c>
      <c r="BA39" s="60">
        <f ca="1">BA$5-X39</f>
        <v>2.4650590589827033</v>
      </c>
      <c r="BB39" s="60">
        <f ca="1">BB$5-Y39</f>
        <v>-1.6494072726188733</v>
      </c>
      <c r="BC39" s="60">
        <f ca="1">BC$5-Z39</f>
        <v>9.4374659098821638</v>
      </c>
      <c r="BD39" s="60">
        <f ca="1">BD$5-AA39</f>
        <v>0.93651866438236198</v>
      </c>
      <c r="BE39" s="60">
        <f ca="1">BE$5-AB39</f>
        <v>-3.170609408007806</v>
      </c>
      <c r="BF39" s="60">
        <f ca="1">BF$5-AC39</f>
        <v>1.7304316477080306E-2</v>
      </c>
      <c r="BG39" s="60">
        <f ca="1">BG$5-AD39</f>
        <v>-1.4741294981490682E-2</v>
      </c>
      <c r="BH39" s="60">
        <f ca="1">BH$5-AE39</f>
        <v>-7.0454077696324333</v>
      </c>
      <c r="BI39" s="60">
        <f ca="1">BI$5-AF39</f>
        <v>-8.3914944887451952</v>
      </c>
      <c r="BJ39" s="60">
        <f ca="1">BJ$5-AG39</f>
        <v>-5.56044894232123</v>
      </c>
      <c r="BK39" s="60" t="e">
        <f>BK$5-AH39</f>
        <v>#N/A</v>
      </c>
      <c r="BL39" s="60" t="e">
        <f>BL$5-AI39</f>
        <v>#N/A</v>
      </c>
      <c r="BM39" s="60" t="e">
        <f>BM$5-AJ39</f>
        <v>#N/A</v>
      </c>
      <c r="BN39" s="60" t="e">
        <f>BN$5-AK39</f>
        <v>#N/A</v>
      </c>
      <c r="BO39" s="60" t="e">
        <f>BO$5-AL39</f>
        <v>#N/A</v>
      </c>
      <c r="BP39" s="60" t="e">
        <f>BP$5-AM39</f>
        <v>#N/A</v>
      </c>
      <c r="BQ39" s="60" t="e">
        <f>BQ$5-AN39</f>
        <v>#N/A</v>
      </c>
      <c r="BR39" s="60" t="e">
        <f>BR$5-AO39</f>
        <v>#N/A</v>
      </c>
      <c r="BS39" s="60" t="e">
        <f>BS$5-AP39</f>
        <v>#N/A</v>
      </c>
      <c r="BT39" s="60" t="e">
        <f>BT$5-AQ39</f>
        <v>#N/A</v>
      </c>
      <c r="BV39" s="60" cm="1">
        <f t="array" aca="1" ref="BV39" ca="1">SQRT(SUMSQ(_xlfn._xlws.FILTER(AV39:BT39,ISNUMBER(AV39:BT39)))/COUNT(_xlfn._xlws.FILTER(AV39:BT39,ISNUMBER(AV39:BT39))))</f>
        <v>4.7881623104191506</v>
      </c>
    </row>
    <row r="40" spans="3:74" x14ac:dyDescent="0.2">
      <c r="C40" s="60" t="s">
        <v>286</v>
      </c>
      <c r="D40" s="60">
        <v>0</v>
      </c>
      <c r="E40" s="60">
        <v>-2</v>
      </c>
      <c r="F40" s="60">
        <v>-4</v>
      </c>
      <c r="G40" s="60">
        <v>-6</v>
      </c>
      <c r="H40" s="60">
        <v>-8</v>
      </c>
      <c r="I40" s="60">
        <v>-6</v>
      </c>
      <c r="J40" s="60">
        <v>-4</v>
      </c>
      <c r="K40" s="60">
        <v>-2</v>
      </c>
      <c r="L40" s="60">
        <v>-4</v>
      </c>
      <c r="M40" s="60">
        <v>-6</v>
      </c>
      <c r="N40" s="60">
        <v>-4</v>
      </c>
      <c r="O40" s="60">
        <v>-2</v>
      </c>
      <c r="P40" s="60">
        <v>0</v>
      </c>
      <c r="R40" s="61">
        <f>(ROW(R40)-ROW($C$6))</f>
        <v>34</v>
      </c>
      <c r="S40" s="60">
        <f ca="1">100+HLOOKUP(S$4,$D$7:$P$336,$R40,FALSE)-HLOOKUP(S$3,$D$7:$P$336,$R40,FALSE)</f>
        <v>98</v>
      </c>
      <c r="T40" s="60">
        <f ca="1">100+HLOOKUP(T$4,$D$7:$P$336,$R40,FALSE)-HLOOKUP(T$3,$D$7:$P$336,$R40,FALSE)</f>
        <v>98</v>
      </c>
      <c r="U40" s="60">
        <f ca="1">100+HLOOKUP(U$4,$D$7:$P$336,$R40,FALSE)-HLOOKUP(U$3,$D$7:$P$336,$R40,FALSE)</f>
        <v>98</v>
      </c>
      <c r="V40" s="60">
        <f ca="1">100+HLOOKUP(V$4,$D$7:$P$336,$R40,FALSE)-HLOOKUP(V$3,$D$7:$P$336,$R40,FALSE)</f>
        <v>98</v>
      </c>
      <c r="W40" s="60">
        <f ca="1">100+HLOOKUP(W$4,$D$7:$P$336,$R40,FALSE)-HLOOKUP(W$3,$D$7:$P$336,$R40,FALSE)</f>
        <v>98</v>
      </c>
      <c r="X40" s="60">
        <f ca="1">100+HLOOKUP(X$4,$D$7:$P$336,$R40,FALSE)-HLOOKUP(X$3,$D$7:$P$336,$R40,FALSE)</f>
        <v>98</v>
      </c>
      <c r="Y40" s="60">
        <f ca="1">100+HLOOKUP(Y$4,$D$7:$P$336,$R40,FALSE)-HLOOKUP(Y$3,$D$7:$P$336,$R40,FALSE)</f>
        <v>98</v>
      </c>
      <c r="Z40" s="60">
        <f ca="1">100+HLOOKUP(Z$4,$D$7:$P$336,$R40,FALSE)-HLOOKUP(Z$3,$D$7:$P$336,$R40,FALSE)</f>
        <v>98</v>
      </c>
      <c r="AA40" s="60">
        <f ca="1">100+HLOOKUP(AA$4,$D$7:$P$336,$R40,FALSE)-HLOOKUP(AA$3,$D$7:$P$336,$R40,FALSE)</f>
        <v>98</v>
      </c>
      <c r="AB40" s="60">
        <f ca="1">100+HLOOKUP(AB$4,$D$7:$P$336,$R40,FALSE)-HLOOKUP(AB$3,$D$7:$P$336,$R40,FALSE)</f>
        <v>98</v>
      </c>
      <c r="AC40" s="60">
        <f ca="1">100+HLOOKUP(AC$4,$D$7:$P$336,$R40,FALSE)-HLOOKUP(AC$3,$D$7:$P$336,$R40,FALSE)</f>
        <v>98</v>
      </c>
      <c r="AD40" s="60">
        <f ca="1">100+HLOOKUP(AD$4,$D$7:$P$336,$R40,FALSE)-HLOOKUP(AD$3,$D$7:$P$336,$R40,FALSE)</f>
        <v>106</v>
      </c>
      <c r="AE40" s="60">
        <f ca="1">100+HLOOKUP(AE$4,$D$7:$P$336,$R40,FALSE)-HLOOKUP(AE$3,$D$7:$P$336,$R40,FALSE)</f>
        <v>102</v>
      </c>
      <c r="AF40" s="60">
        <f ca="1">100+HLOOKUP(AF$4,$D$7:$P$336,$R40,FALSE)-HLOOKUP(AF$3,$D$7:$P$336,$R40,FALSE)</f>
        <v>98</v>
      </c>
      <c r="AG40" s="60">
        <f ca="1">100+HLOOKUP(AG$4,$D$7:$P$336,$R40,FALSE)-HLOOKUP(AG$3,$D$7:$P$336,$R40,FALSE)</f>
        <v>98</v>
      </c>
      <c r="AH40" s="60" t="e">
        <f>100+HLOOKUP(AH$4,$D$7:$P$336,$R40,FALSE)-HLOOKUP(AH$3,$D$7:$P$336,$R40,FALSE)</f>
        <v>#N/A</v>
      </c>
      <c r="AI40" s="60" t="e">
        <f>100+HLOOKUP(AI$4,$D$7:$P$336,$R40,FALSE)-HLOOKUP(AI$3,$D$7:$P$336,$R40,FALSE)</f>
        <v>#N/A</v>
      </c>
      <c r="AJ40" s="60" t="e">
        <f>100+HLOOKUP(AJ$4,$D$7:$P$336,$R40,FALSE)-HLOOKUP(AJ$3,$D$7:$P$336,$R40,FALSE)</f>
        <v>#N/A</v>
      </c>
      <c r="AK40" s="60" t="e">
        <f>100+HLOOKUP(AK$4,$D$7:$P$336,$R40,FALSE)-HLOOKUP(AK$3,$D$7:$P$336,$R40,FALSE)</f>
        <v>#N/A</v>
      </c>
      <c r="AL40" s="60" t="e">
        <f>100+HLOOKUP(AL$4,$D$7:$P$336,$R40,FALSE)-HLOOKUP(AL$3,$D$7:$P$336,$R40,FALSE)</f>
        <v>#N/A</v>
      </c>
      <c r="AM40" s="60" t="e">
        <f>100+HLOOKUP(AM$4,$D$7:$P$336,$R40,FALSE)-HLOOKUP(AM$3,$D$7:$P$336,$R40,FALSE)</f>
        <v>#N/A</v>
      </c>
      <c r="AN40" s="60" t="e">
        <f>100+HLOOKUP(AN$4,$D$7:$P$336,$R40,FALSE)-HLOOKUP(AN$3,$D$7:$P$336,$R40,FALSE)</f>
        <v>#N/A</v>
      </c>
      <c r="AO40" s="60" t="e">
        <f>100+HLOOKUP(AO$4,$D$7:$P$336,$R40,FALSE)-HLOOKUP(AO$3,$D$7:$P$336,$R40,FALSE)</f>
        <v>#N/A</v>
      </c>
      <c r="AP40" s="60" t="e">
        <f>100+HLOOKUP(AP$4,$D$7:$P$336,$R40,FALSE)-HLOOKUP(AP$3,$D$7:$P$336,$R40,FALSE)</f>
        <v>#N/A</v>
      </c>
      <c r="AQ40" s="60" t="e">
        <f>100+HLOOKUP(AQ$4,$D$7:$P$336,$R40,FALSE)-HLOOKUP(AQ$3,$D$7:$P$336,$R40,FALSE)</f>
        <v>#N/A</v>
      </c>
      <c r="AV40" s="60">
        <f ca="1">AV$5-S40</f>
        <v>5.1903994267964322</v>
      </c>
      <c r="AW40" s="60">
        <f ca="1">AW$5-T40</f>
        <v>-3.7793494702422521</v>
      </c>
      <c r="AX40" s="60">
        <f ca="1">AX$5-U40</f>
        <v>3.7759154036680513</v>
      </c>
      <c r="AY40" s="60">
        <f ca="1">AY$5-V40</f>
        <v>-4.3969855984721988</v>
      </c>
      <c r="AZ40" s="60">
        <f ca="1">AZ$5-W40</f>
        <v>-0.54551782740396959</v>
      </c>
      <c r="BA40" s="60">
        <f ca="1">BA$5-X40</f>
        <v>0.46505905898270328</v>
      </c>
      <c r="BB40" s="60">
        <f ca="1">BB$5-Y40</f>
        <v>-4.6494072726188733</v>
      </c>
      <c r="BC40" s="60">
        <f ca="1">BC$5-Z40</f>
        <v>9.4374659098821638</v>
      </c>
      <c r="BD40" s="60">
        <f ca="1">BD$5-AA40</f>
        <v>-6.3481335617638024E-2</v>
      </c>
      <c r="BE40" s="60">
        <f ca="1">BE$5-AB40</f>
        <v>-6.170609408007806</v>
      </c>
      <c r="BF40" s="60">
        <f ca="1">BF$5-AC40</f>
        <v>3.0173043164770803</v>
      </c>
      <c r="BG40" s="60">
        <f ca="1">BG$5-AD40</f>
        <v>-2.0147412949814907</v>
      </c>
      <c r="BH40" s="60">
        <f ca="1">BH$5-AE40</f>
        <v>-3.0454077696324333</v>
      </c>
      <c r="BI40" s="60">
        <f ca="1">BI$5-AF40</f>
        <v>-7.3914944887451952</v>
      </c>
      <c r="BJ40" s="60">
        <f ca="1">BJ$5-AG40</f>
        <v>-6.56044894232123</v>
      </c>
      <c r="BK40" s="60" t="e">
        <f>BK$5-AH40</f>
        <v>#N/A</v>
      </c>
      <c r="BL40" s="60" t="e">
        <f>BL$5-AI40</f>
        <v>#N/A</v>
      </c>
      <c r="BM40" s="60" t="e">
        <f>BM$5-AJ40</f>
        <v>#N/A</v>
      </c>
      <c r="BN40" s="60" t="e">
        <f>BN$5-AK40</f>
        <v>#N/A</v>
      </c>
      <c r="BO40" s="60" t="e">
        <f>BO$5-AL40</f>
        <v>#N/A</v>
      </c>
      <c r="BP40" s="60" t="e">
        <f>BP$5-AM40</f>
        <v>#N/A</v>
      </c>
      <c r="BQ40" s="60" t="e">
        <f>BQ$5-AN40</f>
        <v>#N/A</v>
      </c>
      <c r="BR40" s="60" t="e">
        <f>BR$5-AO40</f>
        <v>#N/A</v>
      </c>
      <c r="BS40" s="60" t="e">
        <f>BS$5-AP40</f>
        <v>#N/A</v>
      </c>
      <c r="BT40" s="60" t="e">
        <f>BT$5-AQ40</f>
        <v>#N/A</v>
      </c>
      <c r="BV40" s="60" cm="1">
        <f t="array" aca="1" ref="BV40" ca="1">SQRT(SUMSQ(_xlfn._xlws.FILTER(AV40:BT40,ISNUMBER(AV40:BT40)))/COUNT(_xlfn._xlws.FILTER(AV40:BT40,ISNUMBER(AV40:BT40))))</f>
        <v>4.7902909882898097</v>
      </c>
    </row>
    <row r="41" spans="3:74" x14ac:dyDescent="0.2">
      <c r="C41" s="60" t="s">
        <v>424</v>
      </c>
      <c r="D41" s="60">
        <v>0</v>
      </c>
      <c r="E41" s="60">
        <v>-2</v>
      </c>
      <c r="F41" s="60">
        <v>-3</v>
      </c>
      <c r="G41" s="60">
        <v>-5</v>
      </c>
      <c r="H41" s="60">
        <v>-7</v>
      </c>
      <c r="I41" s="60">
        <v>-8</v>
      </c>
      <c r="J41" s="60">
        <v>-7</v>
      </c>
      <c r="K41" s="60">
        <v>-5</v>
      </c>
      <c r="L41" s="60">
        <v>-3</v>
      </c>
      <c r="M41" s="60">
        <v>-2</v>
      </c>
      <c r="N41" s="60">
        <v>0</v>
      </c>
      <c r="O41" s="60">
        <v>2</v>
      </c>
      <c r="P41" s="60">
        <v>0</v>
      </c>
      <c r="R41" s="61">
        <f>(ROW(R41)-ROW($C$6))</f>
        <v>35</v>
      </c>
      <c r="S41" s="60">
        <f ca="1">100+HLOOKUP(S$4,$D$7:$P$336,$R41,FALSE)-HLOOKUP(S$3,$D$7:$P$336,$R41,FALSE)</f>
        <v>95</v>
      </c>
      <c r="T41" s="60">
        <f ca="1">100+HLOOKUP(T$4,$D$7:$P$336,$R41,FALSE)-HLOOKUP(T$3,$D$7:$P$336,$R41,FALSE)</f>
        <v>91</v>
      </c>
      <c r="U41" s="60">
        <f ca="1">100+HLOOKUP(U$4,$D$7:$P$336,$R41,FALSE)-HLOOKUP(U$3,$D$7:$P$336,$R41,FALSE)</f>
        <v>99</v>
      </c>
      <c r="V41" s="60">
        <f ca="1">100+HLOOKUP(V$4,$D$7:$P$336,$R41,FALSE)-HLOOKUP(V$3,$D$7:$P$336,$R41,FALSE)</f>
        <v>92</v>
      </c>
      <c r="W41" s="60">
        <f ca="1">100+HLOOKUP(W$4,$D$7:$P$336,$R41,FALSE)-HLOOKUP(W$3,$D$7:$P$336,$R41,FALSE)</f>
        <v>95</v>
      </c>
      <c r="X41" s="60">
        <f ca="1">100+HLOOKUP(X$4,$D$7:$P$336,$R41,FALSE)-HLOOKUP(X$3,$D$7:$P$336,$R41,FALSE)</f>
        <v>95</v>
      </c>
      <c r="Y41" s="60">
        <f ca="1">100+HLOOKUP(Y$4,$D$7:$P$336,$R41,FALSE)-HLOOKUP(Y$3,$D$7:$P$336,$R41,FALSE)</f>
        <v>91</v>
      </c>
      <c r="Z41" s="60">
        <f ca="1">100+HLOOKUP(Z$4,$D$7:$P$336,$R41,FALSE)-HLOOKUP(Z$3,$D$7:$P$336,$R41,FALSE)</f>
        <v>99</v>
      </c>
      <c r="AA41" s="60">
        <f ca="1">100+HLOOKUP(AA$4,$D$7:$P$336,$R41,FALSE)-HLOOKUP(AA$3,$D$7:$P$336,$R41,FALSE)</f>
        <v>92</v>
      </c>
      <c r="AB41" s="60">
        <f ca="1">100+HLOOKUP(AB$4,$D$7:$P$336,$R41,FALSE)-HLOOKUP(AB$3,$D$7:$P$336,$R41,FALSE)</f>
        <v>95</v>
      </c>
      <c r="AC41" s="60">
        <f ca="1">100+HLOOKUP(AC$4,$D$7:$P$336,$R41,FALSE)-HLOOKUP(AC$3,$D$7:$P$336,$R41,FALSE)</f>
        <v>101</v>
      </c>
      <c r="AD41" s="60">
        <f ca="1">100+HLOOKUP(AD$4,$D$7:$P$336,$R41,FALSE)-HLOOKUP(AD$3,$D$7:$P$336,$R41,FALSE)</f>
        <v>109</v>
      </c>
      <c r="AE41" s="60">
        <f ca="1">100+HLOOKUP(AE$4,$D$7:$P$336,$R41,FALSE)-HLOOKUP(AE$3,$D$7:$P$336,$R41,FALSE)</f>
        <v>105</v>
      </c>
      <c r="AF41" s="60">
        <f ca="1">100+HLOOKUP(AF$4,$D$7:$P$336,$R41,FALSE)-HLOOKUP(AF$3,$D$7:$P$336,$R41,FALSE)</f>
        <v>98</v>
      </c>
      <c r="AG41" s="60">
        <f ca="1">100+HLOOKUP(AG$4,$D$7:$P$336,$R41,FALSE)-HLOOKUP(AG$3,$D$7:$P$336,$R41,FALSE)</f>
        <v>92</v>
      </c>
      <c r="AH41" s="60" t="e">
        <f>100+HLOOKUP(AH$4,$D$7:$P$336,$R41,FALSE)-HLOOKUP(AH$3,$D$7:$P$336,$R41,FALSE)</f>
        <v>#N/A</v>
      </c>
      <c r="AI41" s="60" t="e">
        <f>100+HLOOKUP(AI$4,$D$7:$P$336,$R41,FALSE)-HLOOKUP(AI$3,$D$7:$P$336,$R41,FALSE)</f>
        <v>#N/A</v>
      </c>
      <c r="AJ41" s="60" t="e">
        <f>100+HLOOKUP(AJ$4,$D$7:$P$336,$R41,FALSE)-HLOOKUP(AJ$3,$D$7:$P$336,$R41,FALSE)</f>
        <v>#N/A</v>
      </c>
      <c r="AK41" s="60" t="e">
        <f>100+HLOOKUP(AK$4,$D$7:$P$336,$R41,FALSE)-HLOOKUP(AK$3,$D$7:$P$336,$R41,FALSE)</f>
        <v>#N/A</v>
      </c>
      <c r="AL41" s="60" t="e">
        <f>100+HLOOKUP(AL$4,$D$7:$P$336,$R41,FALSE)-HLOOKUP(AL$3,$D$7:$P$336,$R41,FALSE)</f>
        <v>#N/A</v>
      </c>
      <c r="AM41" s="60" t="e">
        <f>100+HLOOKUP(AM$4,$D$7:$P$336,$R41,FALSE)-HLOOKUP(AM$3,$D$7:$P$336,$R41,FALSE)</f>
        <v>#N/A</v>
      </c>
      <c r="AN41" s="60" t="e">
        <f>100+HLOOKUP(AN$4,$D$7:$P$336,$R41,FALSE)-HLOOKUP(AN$3,$D$7:$P$336,$R41,FALSE)</f>
        <v>#N/A</v>
      </c>
      <c r="AO41" s="60" t="e">
        <f>100+HLOOKUP(AO$4,$D$7:$P$336,$R41,FALSE)-HLOOKUP(AO$3,$D$7:$P$336,$R41,FALSE)</f>
        <v>#N/A</v>
      </c>
      <c r="AP41" s="60" t="e">
        <f>100+HLOOKUP(AP$4,$D$7:$P$336,$R41,FALSE)-HLOOKUP(AP$3,$D$7:$P$336,$R41,FALSE)</f>
        <v>#N/A</v>
      </c>
      <c r="AQ41" s="60" t="e">
        <f>100+HLOOKUP(AQ$4,$D$7:$P$336,$R41,FALSE)-HLOOKUP(AQ$3,$D$7:$P$336,$R41,FALSE)</f>
        <v>#N/A</v>
      </c>
      <c r="AV41" s="60">
        <f ca="1">AV$5-S41</f>
        <v>8.1903994267964322</v>
      </c>
      <c r="AW41" s="60">
        <f ca="1">AW$5-T41</f>
        <v>3.2206505297577479</v>
      </c>
      <c r="AX41" s="60">
        <f ca="1">AX$5-U41</f>
        <v>2.7759154036680513</v>
      </c>
      <c r="AY41" s="60">
        <f ca="1">AY$5-V41</f>
        <v>1.6030144015278012</v>
      </c>
      <c r="AZ41" s="60">
        <f ca="1">AZ$5-W41</f>
        <v>2.4544821725960304</v>
      </c>
      <c r="BA41" s="60">
        <f ca="1">BA$5-X41</f>
        <v>3.4650590589827033</v>
      </c>
      <c r="BB41" s="60">
        <f ca="1">BB$5-Y41</f>
        <v>2.3505927273811267</v>
      </c>
      <c r="BC41" s="60">
        <f ca="1">BC$5-Z41</f>
        <v>8.4374659098821638</v>
      </c>
      <c r="BD41" s="60">
        <f ca="1">BD$5-AA41</f>
        <v>5.936518664382362</v>
      </c>
      <c r="BE41" s="60">
        <f ca="1">BE$5-AB41</f>
        <v>-3.170609408007806</v>
      </c>
      <c r="BF41" s="60">
        <f ca="1">BF$5-AC41</f>
        <v>1.7304316477080306E-2</v>
      </c>
      <c r="BG41" s="60">
        <f ca="1">BG$5-AD41</f>
        <v>-5.0147412949814907</v>
      </c>
      <c r="BH41" s="60">
        <f ca="1">BH$5-AE41</f>
        <v>-6.0454077696324333</v>
      </c>
      <c r="BI41" s="60">
        <f ca="1">BI$5-AF41</f>
        <v>-7.3914944887451952</v>
      </c>
      <c r="BJ41" s="60">
        <f ca="1">BJ$5-AG41</f>
        <v>-0.56044894232122999</v>
      </c>
      <c r="BK41" s="60" t="e">
        <f>BK$5-AH41</f>
        <v>#N/A</v>
      </c>
      <c r="BL41" s="60" t="e">
        <f>BL$5-AI41</f>
        <v>#N/A</v>
      </c>
      <c r="BM41" s="60" t="e">
        <f>BM$5-AJ41</f>
        <v>#N/A</v>
      </c>
      <c r="BN41" s="60" t="e">
        <f>BN$5-AK41</f>
        <v>#N/A</v>
      </c>
      <c r="BO41" s="60" t="e">
        <f>BO$5-AL41</f>
        <v>#N/A</v>
      </c>
      <c r="BP41" s="60" t="e">
        <f>BP$5-AM41</f>
        <v>#N/A</v>
      </c>
      <c r="BQ41" s="60" t="e">
        <f>BQ$5-AN41</f>
        <v>#N/A</v>
      </c>
      <c r="BR41" s="60" t="e">
        <f>BR$5-AO41</f>
        <v>#N/A</v>
      </c>
      <c r="BS41" s="60" t="e">
        <f>BS$5-AP41</f>
        <v>#N/A</v>
      </c>
      <c r="BT41" s="60" t="e">
        <f>BT$5-AQ41</f>
        <v>#N/A</v>
      </c>
      <c r="BV41" s="60" cm="1">
        <f t="array" aca="1" ref="BV41" ca="1">SQRT(SUMSQ(_xlfn._xlws.FILTER(AV41:BT41,ISNUMBER(AV41:BT41)))/COUNT(_xlfn._xlws.FILTER(AV41:BT41,ISNUMBER(AV41:BT41))))</f>
        <v>4.7917708955687397</v>
      </c>
    </row>
    <row r="42" spans="3:74" x14ac:dyDescent="0.2">
      <c r="C42" s="60" t="s">
        <v>287</v>
      </c>
      <c r="D42" s="60">
        <v>0</v>
      </c>
      <c r="E42" s="60">
        <v>-2</v>
      </c>
      <c r="F42" s="60">
        <v>-5</v>
      </c>
      <c r="G42" s="60">
        <v>-7</v>
      </c>
      <c r="H42" s="60">
        <v>-10</v>
      </c>
      <c r="I42" s="60">
        <v>-8</v>
      </c>
      <c r="J42" s="60">
        <v>-6</v>
      </c>
      <c r="K42" s="60">
        <v>-4</v>
      </c>
      <c r="L42" s="60">
        <v>-5</v>
      </c>
      <c r="M42" s="60">
        <v>-6</v>
      </c>
      <c r="N42" s="60">
        <v>-4</v>
      </c>
      <c r="O42" s="60">
        <v>-2</v>
      </c>
      <c r="P42" s="60">
        <v>0</v>
      </c>
      <c r="R42" s="61">
        <f>(ROW(R42)-ROW($C$6))</f>
        <v>36</v>
      </c>
      <c r="S42" s="60">
        <f ca="1">100+HLOOKUP(S$4,$D$7:$P$336,$R42,FALSE)-HLOOKUP(S$3,$D$7:$P$336,$R42,FALSE)</f>
        <v>96</v>
      </c>
      <c r="T42" s="60">
        <f ca="1">100+HLOOKUP(T$4,$D$7:$P$336,$R42,FALSE)-HLOOKUP(T$3,$D$7:$P$336,$R42,FALSE)</f>
        <v>96</v>
      </c>
      <c r="U42" s="60">
        <f ca="1">100+HLOOKUP(U$4,$D$7:$P$336,$R42,FALSE)-HLOOKUP(U$3,$D$7:$P$336,$R42,FALSE)</f>
        <v>97</v>
      </c>
      <c r="V42" s="60">
        <f ca="1">100+HLOOKUP(V$4,$D$7:$P$336,$R42,FALSE)-HLOOKUP(V$3,$D$7:$P$336,$R42,FALSE)</f>
        <v>96</v>
      </c>
      <c r="W42" s="60">
        <f ca="1">100+HLOOKUP(W$4,$D$7:$P$336,$R42,FALSE)-HLOOKUP(W$3,$D$7:$P$336,$R42,FALSE)</f>
        <v>96</v>
      </c>
      <c r="X42" s="60">
        <f ca="1">100+HLOOKUP(X$4,$D$7:$P$336,$R42,FALSE)-HLOOKUP(X$3,$D$7:$P$336,$R42,FALSE)</f>
        <v>96</v>
      </c>
      <c r="Y42" s="60">
        <f ca="1">100+HLOOKUP(Y$4,$D$7:$P$336,$R42,FALSE)-HLOOKUP(Y$3,$D$7:$P$336,$R42,FALSE)</f>
        <v>96</v>
      </c>
      <c r="Z42" s="60">
        <f ca="1">100+HLOOKUP(Z$4,$D$7:$P$336,$R42,FALSE)-HLOOKUP(Z$3,$D$7:$P$336,$R42,FALSE)</f>
        <v>97</v>
      </c>
      <c r="AA42" s="60">
        <f ca="1">100+HLOOKUP(AA$4,$D$7:$P$336,$R42,FALSE)-HLOOKUP(AA$3,$D$7:$P$336,$R42,FALSE)</f>
        <v>96</v>
      </c>
      <c r="AB42" s="60">
        <f ca="1">100+HLOOKUP(AB$4,$D$7:$P$336,$R42,FALSE)-HLOOKUP(AB$3,$D$7:$P$336,$R42,FALSE)</f>
        <v>96</v>
      </c>
      <c r="AC42" s="60">
        <f ca="1">100+HLOOKUP(AC$4,$D$7:$P$336,$R42,FALSE)-HLOOKUP(AC$3,$D$7:$P$336,$R42,FALSE)</f>
        <v>99</v>
      </c>
      <c r="AD42" s="60">
        <f ca="1">100+HLOOKUP(AD$4,$D$7:$P$336,$R42,FALSE)-HLOOKUP(AD$3,$D$7:$P$336,$R42,FALSE)</f>
        <v>108</v>
      </c>
      <c r="AE42" s="60">
        <f ca="1">100+HLOOKUP(AE$4,$D$7:$P$336,$R42,FALSE)-HLOOKUP(AE$3,$D$7:$P$336,$R42,FALSE)</f>
        <v>104</v>
      </c>
      <c r="AF42" s="60">
        <f ca="1">100+HLOOKUP(AF$4,$D$7:$P$336,$R42,FALSE)-HLOOKUP(AF$3,$D$7:$P$336,$R42,FALSE)</f>
        <v>98</v>
      </c>
      <c r="AG42" s="60">
        <f ca="1">100+HLOOKUP(AG$4,$D$7:$P$336,$R42,FALSE)-HLOOKUP(AG$3,$D$7:$P$336,$R42,FALSE)</f>
        <v>96</v>
      </c>
      <c r="AH42" s="60" t="e">
        <f>100+HLOOKUP(AH$4,$D$7:$P$336,$R42,FALSE)-HLOOKUP(AH$3,$D$7:$P$336,$R42,FALSE)</f>
        <v>#N/A</v>
      </c>
      <c r="AI42" s="60" t="e">
        <f>100+HLOOKUP(AI$4,$D$7:$P$336,$R42,FALSE)-HLOOKUP(AI$3,$D$7:$P$336,$R42,FALSE)</f>
        <v>#N/A</v>
      </c>
      <c r="AJ42" s="60" t="e">
        <f>100+HLOOKUP(AJ$4,$D$7:$P$336,$R42,FALSE)-HLOOKUP(AJ$3,$D$7:$P$336,$R42,FALSE)</f>
        <v>#N/A</v>
      </c>
      <c r="AK42" s="60" t="e">
        <f>100+HLOOKUP(AK$4,$D$7:$P$336,$R42,FALSE)-HLOOKUP(AK$3,$D$7:$P$336,$R42,FALSE)</f>
        <v>#N/A</v>
      </c>
      <c r="AL42" s="60" t="e">
        <f>100+HLOOKUP(AL$4,$D$7:$P$336,$R42,FALSE)-HLOOKUP(AL$3,$D$7:$P$336,$R42,FALSE)</f>
        <v>#N/A</v>
      </c>
      <c r="AM42" s="60" t="e">
        <f>100+HLOOKUP(AM$4,$D$7:$P$336,$R42,FALSE)-HLOOKUP(AM$3,$D$7:$P$336,$R42,FALSE)</f>
        <v>#N/A</v>
      </c>
      <c r="AN42" s="60" t="e">
        <f>100+HLOOKUP(AN$4,$D$7:$P$336,$R42,FALSE)-HLOOKUP(AN$3,$D$7:$P$336,$R42,FALSE)</f>
        <v>#N/A</v>
      </c>
      <c r="AO42" s="60" t="e">
        <f>100+HLOOKUP(AO$4,$D$7:$P$336,$R42,FALSE)-HLOOKUP(AO$3,$D$7:$P$336,$R42,FALSE)</f>
        <v>#N/A</v>
      </c>
      <c r="AP42" s="60" t="e">
        <f>100+HLOOKUP(AP$4,$D$7:$P$336,$R42,FALSE)-HLOOKUP(AP$3,$D$7:$P$336,$R42,FALSE)</f>
        <v>#N/A</v>
      </c>
      <c r="AQ42" s="60" t="e">
        <f>100+HLOOKUP(AQ$4,$D$7:$P$336,$R42,FALSE)-HLOOKUP(AQ$3,$D$7:$P$336,$R42,FALSE)</f>
        <v>#N/A</v>
      </c>
      <c r="AV42" s="60">
        <f ca="1">AV$5-S42</f>
        <v>7.1903994267964322</v>
      </c>
      <c r="AW42" s="60">
        <f ca="1">AW$5-T42</f>
        <v>-1.7793494702422521</v>
      </c>
      <c r="AX42" s="60">
        <f ca="1">AX$5-U42</f>
        <v>4.7759154036680513</v>
      </c>
      <c r="AY42" s="60">
        <f ca="1">AY$5-V42</f>
        <v>-2.3969855984721988</v>
      </c>
      <c r="AZ42" s="60">
        <f ca="1">AZ$5-W42</f>
        <v>1.4544821725960304</v>
      </c>
      <c r="BA42" s="60">
        <f ca="1">BA$5-X42</f>
        <v>2.4650590589827033</v>
      </c>
      <c r="BB42" s="60">
        <f ca="1">BB$5-Y42</f>
        <v>-2.6494072726188733</v>
      </c>
      <c r="BC42" s="60">
        <f ca="1">BC$5-Z42</f>
        <v>10.437465909882164</v>
      </c>
      <c r="BD42" s="60">
        <f ca="1">BD$5-AA42</f>
        <v>1.936518664382362</v>
      </c>
      <c r="BE42" s="60">
        <f ca="1">BE$5-AB42</f>
        <v>-4.170609408007806</v>
      </c>
      <c r="BF42" s="60">
        <f ca="1">BF$5-AC42</f>
        <v>2.0173043164770803</v>
      </c>
      <c r="BG42" s="60">
        <f ca="1">BG$5-AD42</f>
        <v>-4.0147412949814907</v>
      </c>
      <c r="BH42" s="60">
        <f ca="1">BH$5-AE42</f>
        <v>-5.0454077696324333</v>
      </c>
      <c r="BI42" s="60">
        <f ca="1">BI$5-AF42</f>
        <v>-7.3914944887451952</v>
      </c>
      <c r="BJ42" s="60">
        <f ca="1">BJ$5-AG42</f>
        <v>-4.56044894232123</v>
      </c>
      <c r="BK42" s="60" t="e">
        <f>BK$5-AH42</f>
        <v>#N/A</v>
      </c>
      <c r="BL42" s="60" t="e">
        <f>BL$5-AI42</f>
        <v>#N/A</v>
      </c>
      <c r="BM42" s="60" t="e">
        <f>BM$5-AJ42</f>
        <v>#N/A</v>
      </c>
      <c r="BN42" s="60" t="e">
        <f>BN$5-AK42</f>
        <v>#N/A</v>
      </c>
      <c r="BO42" s="60" t="e">
        <f>BO$5-AL42</f>
        <v>#N/A</v>
      </c>
      <c r="BP42" s="60" t="e">
        <f>BP$5-AM42</f>
        <v>#N/A</v>
      </c>
      <c r="BQ42" s="60" t="e">
        <f>BQ$5-AN42</f>
        <v>#N/A</v>
      </c>
      <c r="BR42" s="60" t="e">
        <f>BR$5-AO42</f>
        <v>#N/A</v>
      </c>
      <c r="BS42" s="60" t="e">
        <f>BS$5-AP42</f>
        <v>#N/A</v>
      </c>
      <c r="BT42" s="60" t="e">
        <f>BT$5-AQ42</f>
        <v>#N/A</v>
      </c>
      <c r="BV42" s="60" cm="1">
        <f t="array" aca="1" ref="BV42" ca="1">SQRT(SUMSQ(_xlfn._xlws.FILTER(AV42:BT42,ISNUMBER(AV42:BT42)))/COUNT(_xlfn._xlws.FILTER(AV42:BT42,ISNUMBER(AV42:BT42))))</f>
        <v>4.8290420103393945</v>
      </c>
    </row>
    <row r="43" spans="3:74" x14ac:dyDescent="0.2">
      <c r="C43" s="60" t="s">
        <v>436</v>
      </c>
      <c r="D43" s="60">
        <v>0</v>
      </c>
      <c r="E43" s="60">
        <v>-10</v>
      </c>
      <c r="F43" s="60">
        <v>-8</v>
      </c>
      <c r="G43" s="60">
        <v>-6</v>
      </c>
      <c r="H43" s="60">
        <v>-4</v>
      </c>
      <c r="I43" s="60">
        <v>-14</v>
      </c>
      <c r="J43" s="60">
        <v>-12</v>
      </c>
      <c r="K43" s="60">
        <v>-10</v>
      </c>
      <c r="L43" s="60">
        <v>-8</v>
      </c>
      <c r="M43" s="60">
        <v>-6</v>
      </c>
      <c r="N43" s="60">
        <v>-4</v>
      </c>
      <c r="O43" s="60">
        <v>-2</v>
      </c>
      <c r="P43" s="60">
        <v>0</v>
      </c>
      <c r="R43" s="61">
        <f>(ROW(R43)-ROW($C$6))</f>
        <v>37</v>
      </c>
      <c r="S43" s="60">
        <f ca="1">100+HLOOKUP(S$4,$D$7:$P$336,$R43,FALSE)-HLOOKUP(S$3,$D$7:$P$336,$R43,FALSE)</f>
        <v>102</v>
      </c>
      <c r="T43" s="60">
        <f ca="1">100+HLOOKUP(T$4,$D$7:$P$336,$R43,FALSE)-HLOOKUP(T$3,$D$7:$P$336,$R43,FALSE)</f>
        <v>90</v>
      </c>
      <c r="U43" s="60">
        <f ca="1">100+HLOOKUP(U$4,$D$7:$P$336,$R43,FALSE)-HLOOKUP(U$3,$D$7:$P$336,$R43,FALSE)</f>
        <v>102</v>
      </c>
      <c r="V43" s="60">
        <f ca="1">100+HLOOKUP(V$4,$D$7:$P$336,$R43,FALSE)-HLOOKUP(V$3,$D$7:$P$336,$R43,FALSE)</f>
        <v>90</v>
      </c>
      <c r="W43" s="60">
        <f ca="1">100+HLOOKUP(W$4,$D$7:$P$336,$R43,FALSE)-HLOOKUP(W$3,$D$7:$P$336,$R43,FALSE)</f>
        <v>90</v>
      </c>
      <c r="X43" s="60">
        <f ca="1">100+HLOOKUP(X$4,$D$7:$P$336,$R43,FALSE)-HLOOKUP(X$3,$D$7:$P$336,$R43,FALSE)</f>
        <v>102</v>
      </c>
      <c r="Y43" s="60">
        <f ca="1">100+HLOOKUP(Y$4,$D$7:$P$336,$R43,FALSE)-HLOOKUP(Y$3,$D$7:$P$336,$R43,FALSE)</f>
        <v>90</v>
      </c>
      <c r="Z43" s="60">
        <f ca="1">100+HLOOKUP(Z$4,$D$7:$P$336,$R43,FALSE)-HLOOKUP(Z$3,$D$7:$P$336,$R43,FALSE)</f>
        <v>102</v>
      </c>
      <c r="AA43" s="60">
        <f ca="1">100+HLOOKUP(AA$4,$D$7:$P$336,$R43,FALSE)-HLOOKUP(AA$3,$D$7:$P$336,$R43,FALSE)</f>
        <v>90</v>
      </c>
      <c r="AB43" s="60">
        <f ca="1">100+HLOOKUP(AB$4,$D$7:$P$336,$R43,FALSE)-HLOOKUP(AB$3,$D$7:$P$336,$R43,FALSE)</f>
        <v>90</v>
      </c>
      <c r="AC43" s="60">
        <f ca="1">100+HLOOKUP(AC$4,$D$7:$P$336,$R43,FALSE)-HLOOKUP(AC$3,$D$7:$P$336,$R43,FALSE)</f>
        <v>102</v>
      </c>
      <c r="AD43" s="60">
        <f ca="1">100+HLOOKUP(AD$4,$D$7:$P$336,$R43,FALSE)-HLOOKUP(AD$3,$D$7:$P$336,$R43,FALSE)</f>
        <v>102</v>
      </c>
      <c r="AE43" s="60">
        <f ca="1">100+HLOOKUP(AE$4,$D$7:$P$336,$R43,FALSE)-HLOOKUP(AE$3,$D$7:$P$336,$R43,FALSE)</f>
        <v>102</v>
      </c>
      <c r="AF43" s="60">
        <f ca="1">100+HLOOKUP(AF$4,$D$7:$P$336,$R43,FALSE)-HLOOKUP(AF$3,$D$7:$P$336,$R43,FALSE)</f>
        <v>102</v>
      </c>
      <c r="AG43" s="60">
        <f ca="1">100+HLOOKUP(AG$4,$D$7:$P$336,$R43,FALSE)-HLOOKUP(AG$3,$D$7:$P$336,$R43,FALSE)</f>
        <v>90</v>
      </c>
      <c r="AH43" s="60" t="e">
        <f>100+HLOOKUP(AH$4,$D$7:$P$336,$R43,FALSE)-HLOOKUP(AH$3,$D$7:$P$336,$R43,FALSE)</f>
        <v>#N/A</v>
      </c>
      <c r="AI43" s="60" t="e">
        <f>100+HLOOKUP(AI$4,$D$7:$P$336,$R43,FALSE)-HLOOKUP(AI$3,$D$7:$P$336,$R43,FALSE)</f>
        <v>#N/A</v>
      </c>
      <c r="AJ43" s="60" t="e">
        <f>100+HLOOKUP(AJ$4,$D$7:$P$336,$R43,FALSE)-HLOOKUP(AJ$3,$D$7:$P$336,$R43,FALSE)</f>
        <v>#N/A</v>
      </c>
      <c r="AK43" s="60" t="e">
        <f>100+HLOOKUP(AK$4,$D$7:$P$336,$R43,FALSE)-HLOOKUP(AK$3,$D$7:$P$336,$R43,FALSE)</f>
        <v>#N/A</v>
      </c>
      <c r="AL43" s="60" t="e">
        <f>100+HLOOKUP(AL$4,$D$7:$P$336,$R43,FALSE)-HLOOKUP(AL$3,$D$7:$P$336,$R43,FALSE)</f>
        <v>#N/A</v>
      </c>
      <c r="AM43" s="60" t="e">
        <f>100+HLOOKUP(AM$4,$D$7:$P$336,$R43,FALSE)-HLOOKUP(AM$3,$D$7:$P$336,$R43,FALSE)</f>
        <v>#N/A</v>
      </c>
      <c r="AN43" s="60" t="e">
        <f>100+HLOOKUP(AN$4,$D$7:$P$336,$R43,FALSE)-HLOOKUP(AN$3,$D$7:$P$336,$R43,FALSE)</f>
        <v>#N/A</v>
      </c>
      <c r="AO43" s="60" t="e">
        <f>100+HLOOKUP(AO$4,$D$7:$P$336,$R43,FALSE)-HLOOKUP(AO$3,$D$7:$P$336,$R43,FALSE)</f>
        <v>#N/A</v>
      </c>
      <c r="AP43" s="60" t="e">
        <f>100+HLOOKUP(AP$4,$D$7:$P$336,$R43,FALSE)-HLOOKUP(AP$3,$D$7:$P$336,$R43,FALSE)</f>
        <v>#N/A</v>
      </c>
      <c r="AQ43" s="60" t="e">
        <f>100+HLOOKUP(AQ$4,$D$7:$P$336,$R43,FALSE)-HLOOKUP(AQ$3,$D$7:$P$336,$R43,FALSE)</f>
        <v>#N/A</v>
      </c>
      <c r="AV43" s="60">
        <f ca="1">AV$5-S43</f>
        <v>1.1903994267964322</v>
      </c>
      <c r="AW43" s="60">
        <f ca="1">AW$5-T43</f>
        <v>4.2206505297577479</v>
      </c>
      <c r="AX43" s="60">
        <f ca="1">AX$5-U43</f>
        <v>-0.22408459633194866</v>
      </c>
      <c r="AY43" s="60">
        <f ca="1">AY$5-V43</f>
        <v>3.6030144015278012</v>
      </c>
      <c r="AZ43" s="60">
        <f ca="1">AZ$5-W43</f>
        <v>7.4544821725960304</v>
      </c>
      <c r="BA43" s="60">
        <f ca="1">BA$5-X43</f>
        <v>-3.5349409410172967</v>
      </c>
      <c r="BB43" s="60">
        <f ca="1">BB$5-Y43</f>
        <v>3.3505927273811267</v>
      </c>
      <c r="BC43" s="60">
        <f ca="1">BC$5-Z43</f>
        <v>5.4374659098821638</v>
      </c>
      <c r="BD43" s="60">
        <f ca="1">BD$5-AA43</f>
        <v>7.936518664382362</v>
      </c>
      <c r="BE43" s="60">
        <f ca="1">BE$5-AB43</f>
        <v>1.829390591992194</v>
      </c>
      <c r="BF43" s="60">
        <f ca="1">BF$5-AC43</f>
        <v>-0.98269568352291969</v>
      </c>
      <c r="BG43" s="60">
        <f ca="1">BG$5-AD43</f>
        <v>1.9852587050185093</v>
      </c>
      <c r="BH43" s="60">
        <f ca="1">BH$5-AE43</f>
        <v>-3.0454077696324333</v>
      </c>
      <c r="BI43" s="60">
        <f ca="1">BI$5-AF43</f>
        <v>-11.391494488745195</v>
      </c>
      <c r="BJ43" s="60">
        <f ca="1">BJ$5-AG43</f>
        <v>1.43955105767877</v>
      </c>
      <c r="BK43" s="60" t="e">
        <f>BK$5-AH43</f>
        <v>#N/A</v>
      </c>
      <c r="BL43" s="60" t="e">
        <f>BL$5-AI43</f>
        <v>#N/A</v>
      </c>
      <c r="BM43" s="60" t="e">
        <f>BM$5-AJ43</f>
        <v>#N/A</v>
      </c>
      <c r="BN43" s="60" t="e">
        <f>BN$5-AK43</f>
        <v>#N/A</v>
      </c>
      <c r="BO43" s="60" t="e">
        <f>BO$5-AL43</f>
        <v>#N/A</v>
      </c>
      <c r="BP43" s="60" t="e">
        <f>BP$5-AM43</f>
        <v>#N/A</v>
      </c>
      <c r="BQ43" s="60" t="e">
        <f>BQ$5-AN43</f>
        <v>#N/A</v>
      </c>
      <c r="BR43" s="60" t="e">
        <f>BR$5-AO43</f>
        <v>#N/A</v>
      </c>
      <c r="BS43" s="60" t="e">
        <f>BS$5-AP43</f>
        <v>#N/A</v>
      </c>
      <c r="BT43" s="60" t="e">
        <f>BT$5-AQ43</f>
        <v>#N/A</v>
      </c>
      <c r="BV43" s="60" cm="1">
        <f t="array" aca="1" ref="BV43" ca="1">SQRT(SUMSQ(_xlfn._xlws.FILTER(AV43:BT43,ISNUMBER(AV43:BT43)))/COUNT(_xlfn._xlws.FILTER(AV43:BT43,ISNUMBER(AV43:BT43))))</f>
        <v>4.8543821524891175</v>
      </c>
    </row>
    <row r="44" spans="3:74" x14ac:dyDescent="0.2">
      <c r="C44" s="60" t="s">
        <v>195</v>
      </c>
      <c r="D44" s="60">
        <v>0</v>
      </c>
      <c r="E44" s="60">
        <v>-6</v>
      </c>
      <c r="F44" s="60">
        <v>-4</v>
      </c>
      <c r="G44" s="60">
        <v>-10</v>
      </c>
      <c r="H44" s="60">
        <v>-8</v>
      </c>
      <c r="I44" s="60">
        <v>-6</v>
      </c>
      <c r="J44" s="60">
        <v>-4</v>
      </c>
      <c r="K44" s="60">
        <v>-10</v>
      </c>
      <c r="L44" s="60">
        <v>-8</v>
      </c>
      <c r="M44" s="60">
        <v>-6</v>
      </c>
      <c r="N44" s="60">
        <v>-4</v>
      </c>
      <c r="O44" s="60">
        <v>-2</v>
      </c>
      <c r="P44" s="60">
        <v>0</v>
      </c>
      <c r="R44" s="61">
        <f>(ROW(R44)-ROW($C$6))</f>
        <v>38</v>
      </c>
      <c r="S44" s="60">
        <f ca="1">100+HLOOKUP(S$4,$D$7:$P$336,$R44,FALSE)-HLOOKUP(S$3,$D$7:$P$336,$R44,FALSE)</f>
        <v>98</v>
      </c>
      <c r="T44" s="60">
        <f ca="1">100+HLOOKUP(T$4,$D$7:$P$336,$R44,FALSE)-HLOOKUP(T$3,$D$7:$P$336,$R44,FALSE)</f>
        <v>98</v>
      </c>
      <c r="U44" s="60">
        <f ca="1">100+HLOOKUP(U$4,$D$7:$P$336,$R44,FALSE)-HLOOKUP(U$3,$D$7:$P$336,$R44,FALSE)</f>
        <v>98</v>
      </c>
      <c r="V44" s="60">
        <f ca="1">100+HLOOKUP(V$4,$D$7:$P$336,$R44,FALSE)-HLOOKUP(V$3,$D$7:$P$336,$R44,FALSE)</f>
        <v>98</v>
      </c>
      <c r="W44" s="60">
        <f ca="1">100+HLOOKUP(W$4,$D$7:$P$336,$R44,FALSE)-HLOOKUP(W$3,$D$7:$P$336,$R44,FALSE)</f>
        <v>90</v>
      </c>
      <c r="X44" s="60">
        <f ca="1">100+HLOOKUP(X$4,$D$7:$P$336,$R44,FALSE)-HLOOKUP(X$3,$D$7:$P$336,$R44,FALSE)</f>
        <v>98</v>
      </c>
      <c r="Y44" s="60">
        <f ca="1">100+HLOOKUP(Y$4,$D$7:$P$336,$R44,FALSE)-HLOOKUP(Y$3,$D$7:$P$336,$R44,FALSE)</f>
        <v>98</v>
      </c>
      <c r="Z44" s="60">
        <f ca="1">100+HLOOKUP(Z$4,$D$7:$P$336,$R44,FALSE)-HLOOKUP(Z$3,$D$7:$P$336,$R44,FALSE)</f>
        <v>98</v>
      </c>
      <c r="AA44" s="60">
        <f ca="1">100+HLOOKUP(AA$4,$D$7:$P$336,$R44,FALSE)-HLOOKUP(AA$3,$D$7:$P$336,$R44,FALSE)</f>
        <v>98</v>
      </c>
      <c r="AB44" s="60">
        <f ca="1">100+HLOOKUP(AB$4,$D$7:$P$336,$R44,FALSE)-HLOOKUP(AB$3,$D$7:$P$336,$R44,FALSE)</f>
        <v>90</v>
      </c>
      <c r="AC44" s="60">
        <f ca="1">100+HLOOKUP(AC$4,$D$7:$P$336,$R44,FALSE)-HLOOKUP(AC$3,$D$7:$P$336,$R44,FALSE)</f>
        <v>98</v>
      </c>
      <c r="AD44" s="60">
        <f ca="1">100+HLOOKUP(AD$4,$D$7:$P$336,$R44,FALSE)-HLOOKUP(AD$3,$D$7:$P$336,$R44,FALSE)</f>
        <v>106</v>
      </c>
      <c r="AE44" s="60">
        <f ca="1">100+HLOOKUP(AE$4,$D$7:$P$336,$R44,FALSE)-HLOOKUP(AE$3,$D$7:$P$336,$R44,FALSE)</f>
        <v>98</v>
      </c>
      <c r="AF44" s="60">
        <f ca="1">100+HLOOKUP(AF$4,$D$7:$P$336,$R44,FALSE)-HLOOKUP(AF$3,$D$7:$P$336,$R44,FALSE)</f>
        <v>98</v>
      </c>
      <c r="AG44" s="60">
        <f ca="1">100+HLOOKUP(AG$4,$D$7:$P$336,$R44,FALSE)-HLOOKUP(AG$3,$D$7:$P$336,$R44,FALSE)</f>
        <v>98</v>
      </c>
      <c r="AH44" s="60" t="e">
        <f>100+HLOOKUP(AH$4,$D$7:$P$336,$R44,FALSE)-HLOOKUP(AH$3,$D$7:$P$336,$R44,FALSE)</f>
        <v>#N/A</v>
      </c>
      <c r="AI44" s="60" t="e">
        <f>100+HLOOKUP(AI$4,$D$7:$P$336,$R44,FALSE)-HLOOKUP(AI$3,$D$7:$P$336,$R44,FALSE)</f>
        <v>#N/A</v>
      </c>
      <c r="AJ44" s="60" t="e">
        <f>100+HLOOKUP(AJ$4,$D$7:$P$336,$R44,FALSE)-HLOOKUP(AJ$3,$D$7:$P$336,$R44,FALSE)</f>
        <v>#N/A</v>
      </c>
      <c r="AK44" s="60" t="e">
        <f>100+HLOOKUP(AK$4,$D$7:$P$336,$R44,FALSE)-HLOOKUP(AK$3,$D$7:$P$336,$R44,FALSE)</f>
        <v>#N/A</v>
      </c>
      <c r="AL44" s="60" t="e">
        <f>100+HLOOKUP(AL$4,$D$7:$P$336,$R44,FALSE)-HLOOKUP(AL$3,$D$7:$P$336,$R44,FALSE)</f>
        <v>#N/A</v>
      </c>
      <c r="AM44" s="60" t="e">
        <f>100+HLOOKUP(AM$4,$D$7:$P$336,$R44,FALSE)-HLOOKUP(AM$3,$D$7:$P$336,$R44,FALSE)</f>
        <v>#N/A</v>
      </c>
      <c r="AN44" s="60" t="e">
        <f>100+HLOOKUP(AN$4,$D$7:$P$336,$R44,FALSE)-HLOOKUP(AN$3,$D$7:$P$336,$R44,FALSE)</f>
        <v>#N/A</v>
      </c>
      <c r="AO44" s="60" t="e">
        <f>100+HLOOKUP(AO$4,$D$7:$P$336,$R44,FALSE)-HLOOKUP(AO$3,$D$7:$P$336,$R44,FALSE)</f>
        <v>#N/A</v>
      </c>
      <c r="AP44" s="60" t="e">
        <f>100+HLOOKUP(AP$4,$D$7:$P$336,$R44,FALSE)-HLOOKUP(AP$3,$D$7:$P$336,$R44,FALSE)</f>
        <v>#N/A</v>
      </c>
      <c r="AQ44" s="60" t="e">
        <f>100+HLOOKUP(AQ$4,$D$7:$P$336,$R44,FALSE)-HLOOKUP(AQ$3,$D$7:$P$336,$R44,FALSE)</f>
        <v>#N/A</v>
      </c>
      <c r="AV44" s="60">
        <f ca="1">AV$5-S44</f>
        <v>5.1903994267964322</v>
      </c>
      <c r="AW44" s="60">
        <f ca="1">AW$5-T44</f>
        <v>-3.7793494702422521</v>
      </c>
      <c r="AX44" s="60">
        <f ca="1">AX$5-U44</f>
        <v>3.7759154036680513</v>
      </c>
      <c r="AY44" s="60">
        <f ca="1">AY$5-V44</f>
        <v>-4.3969855984721988</v>
      </c>
      <c r="AZ44" s="60">
        <f ca="1">AZ$5-W44</f>
        <v>7.4544821725960304</v>
      </c>
      <c r="BA44" s="60">
        <f ca="1">BA$5-X44</f>
        <v>0.46505905898270328</v>
      </c>
      <c r="BB44" s="60">
        <f ca="1">BB$5-Y44</f>
        <v>-4.6494072726188733</v>
      </c>
      <c r="BC44" s="60">
        <f ca="1">BC$5-Z44</f>
        <v>9.4374659098821638</v>
      </c>
      <c r="BD44" s="60">
        <f ca="1">BD$5-AA44</f>
        <v>-6.3481335617638024E-2</v>
      </c>
      <c r="BE44" s="60">
        <f ca="1">BE$5-AB44</f>
        <v>1.829390591992194</v>
      </c>
      <c r="BF44" s="60">
        <f ca="1">BF$5-AC44</f>
        <v>3.0173043164770803</v>
      </c>
      <c r="BG44" s="60">
        <f ca="1">BG$5-AD44</f>
        <v>-2.0147412949814907</v>
      </c>
      <c r="BH44" s="60">
        <f ca="1">BH$5-AE44</f>
        <v>0.95459223036756669</v>
      </c>
      <c r="BI44" s="60">
        <f ca="1">BI$5-AF44</f>
        <v>-7.3914944887451952</v>
      </c>
      <c r="BJ44" s="60">
        <f ca="1">BJ$5-AG44</f>
        <v>-6.56044894232123</v>
      </c>
      <c r="BK44" s="60" t="e">
        <f>BK$5-AH44</f>
        <v>#N/A</v>
      </c>
      <c r="BL44" s="60" t="e">
        <f>BL$5-AI44</f>
        <v>#N/A</v>
      </c>
      <c r="BM44" s="60" t="e">
        <f>BM$5-AJ44</f>
        <v>#N/A</v>
      </c>
      <c r="BN44" s="60" t="e">
        <f>BN$5-AK44</f>
        <v>#N/A</v>
      </c>
      <c r="BO44" s="60" t="e">
        <f>BO$5-AL44</f>
        <v>#N/A</v>
      </c>
      <c r="BP44" s="60" t="e">
        <f>BP$5-AM44</f>
        <v>#N/A</v>
      </c>
      <c r="BQ44" s="60" t="e">
        <f>BQ$5-AN44</f>
        <v>#N/A</v>
      </c>
      <c r="BR44" s="60" t="e">
        <f>BR$5-AO44</f>
        <v>#N/A</v>
      </c>
      <c r="BS44" s="60" t="e">
        <f>BS$5-AP44</f>
        <v>#N/A</v>
      </c>
      <c r="BT44" s="60" t="e">
        <f>BT$5-AQ44</f>
        <v>#N/A</v>
      </c>
      <c r="BV44" s="60" cm="1">
        <f t="array" aca="1" ref="BV44" ca="1">SQRT(SUMSQ(_xlfn._xlws.FILTER(AV44:BT44,ISNUMBER(AV44:BT44)))/COUNT(_xlfn._xlws.FILTER(AV44:BT44,ISNUMBER(AV44:BT44))))</f>
        <v>4.8743000753182368</v>
      </c>
    </row>
    <row r="45" spans="3:74" x14ac:dyDescent="0.2">
      <c r="C45" s="60" t="s">
        <v>305</v>
      </c>
      <c r="D45" s="60">
        <v>0</v>
      </c>
      <c r="E45" s="60">
        <v>-1</v>
      </c>
      <c r="F45" s="60">
        <v>-2</v>
      </c>
      <c r="G45" s="60">
        <v>-4</v>
      </c>
      <c r="H45" s="60">
        <v>-6</v>
      </c>
      <c r="I45" s="60">
        <v>-6</v>
      </c>
      <c r="J45" s="60">
        <v>-6</v>
      </c>
      <c r="K45" s="60">
        <v>-6</v>
      </c>
      <c r="L45" s="60">
        <v>-4</v>
      </c>
      <c r="M45" s="60">
        <v>-2</v>
      </c>
      <c r="N45" s="60">
        <v>0</v>
      </c>
      <c r="O45" s="60">
        <v>0</v>
      </c>
      <c r="P45" s="60">
        <v>0</v>
      </c>
      <c r="R45" s="61">
        <f>(ROW(R45)-ROW($C$6))</f>
        <v>39</v>
      </c>
      <c r="S45" s="60">
        <f ca="1">100+HLOOKUP(S$4,$D$7:$P$336,$R45,FALSE)-HLOOKUP(S$3,$D$7:$P$336,$R45,FALSE)</f>
        <v>96</v>
      </c>
      <c r="T45" s="60">
        <f ca="1">100+HLOOKUP(T$4,$D$7:$P$336,$R45,FALSE)-HLOOKUP(T$3,$D$7:$P$336,$R45,FALSE)</f>
        <v>94</v>
      </c>
      <c r="U45" s="60">
        <f ca="1">100+HLOOKUP(U$4,$D$7:$P$336,$R45,FALSE)-HLOOKUP(U$3,$D$7:$P$336,$R45,FALSE)</f>
        <v>97</v>
      </c>
      <c r="V45" s="60">
        <f ca="1">100+HLOOKUP(V$4,$D$7:$P$336,$R45,FALSE)-HLOOKUP(V$3,$D$7:$P$336,$R45,FALSE)</f>
        <v>94</v>
      </c>
      <c r="W45" s="60">
        <f ca="1">100+HLOOKUP(W$4,$D$7:$P$336,$R45,FALSE)-HLOOKUP(W$3,$D$7:$P$336,$R45,FALSE)</f>
        <v>94</v>
      </c>
      <c r="X45" s="60">
        <f ca="1">100+HLOOKUP(X$4,$D$7:$P$336,$R45,FALSE)-HLOOKUP(X$3,$D$7:$P$336,$R45,FALSE)</f>
        <v>96</v>
      </c>
      <c r="Y45" s="60">
        <f ca="1">100+HLOOKUP(Y$4,$D$7:$P$336,$R45,FALSE)-HLOOKUP(Y$3,$D$7:$P$336,$R45,FALSE)</f>
        <v>94</v>
      </c>
      <c r="Z45" s="60">
        <f ca="1">100+HLOOKUP(Z$4,$D$7:$P$336,$R45,FALSE)-HLOOKUP(Z$3,$D$7:$P$336,$R45,FALSE)</f>
        <v>97</v>
      </c>
      <c r="AA45" s="60">
        <f ca="1">100+HLOOKUP(AA$4,$D$7:$P$336,$R45,FALSE)-HLOOKUP(AA$3,$D$7:$P$336,$R45,FALSE)</f>
        <v>94</v>
      </c>
      <c r="AB45" s="60">
        <f ca="1">100+HLOOKUP(AB$4,$D$7:$P$336,$R45,FALSE)-HLOOKUP(AB$3,$D$7:$P$336,$R45,FALSE)</f>
        <v>94</v>
      </c>
      <c r="AC45" s="60">
        <f ca="1">100+HLOOKUP(AC$4,$D$7:$P$336,$R45,FALSE)-HLOOKUP(AC$3,$D$7:$P$336,$R45,FALSE)</f>
        <v>100</v>
      </c>
      <c r="AD45" s="60">
        <f ca="1">100+HLOOKUP(AD$4,$D$7:$P$336,$R45,FALSE)-HLOOKUP(AD$3,$D$7:$P$336,$R45,FALSE)</f>
        <v>106</v>
      </c>
      <c r="AE45" s="60">
        <f ca="1">100+HLOOKUP(AE$4,$D$7:$P$336,$R45,FALSE)-HLOOKUP(AE$3,$D$7:$P$336,$R45,FALSE)</f>
        <v>105</v>
      </c>
      <c r="AF45" s="60">
        <f ca="1">100+HLOOKUP(AF$4,$D$7:$P$336,$R45,FALSE)-HLOOKUP(AF$3,$D$7:$P$336,$R45,FALSE)</f>
        <v>100</v>
      </c>
      <c r="AG45" s="60">
        <f ca="1">100+HLOOKUP(AG$4,$D$7:$P$336,$R45,FALSE)-HLOOKUP(AG$3,$D$7:$P$336,$R45,FALSE)</f>
        <v>94</v>
      </c>
      <c r="AH45" s="60" t="e">
        <f>100+HLOOKUP(AH$4,$D$7:$P$336,$R45,FALSE)-HLOOKUP(AH$3,$D$7:$P$336,$R45,FALSE)</f>
        <v>#N/A</v>
      </c>
      <c r="AI45" s="60" t="e">
        <f>100+HLOOKUP(AI$4,$D$7:$P$336,$R45,FALSE)-HLOOKUP(AI$3,$D$7:$P$336,$R45,FALSE)</f>
        <v>#N/A</v>
      </c>
      <c r="AJ45" s="60" t="e">
        <f>100+HLOOKUP(AJ$4,$D$7:$P$336,$R45,FALSE)-HLOOKUP(AJ$3,$D$7:$P$336,$R45,FALSE)</f>
        <v>#N/A</v>
      </c>
      <c r="AK45" s="60" t="e">
        <f>100+HLOOKUP(AK$4,$D$7:$P$336,$R45,FALSE)-HLOOKUP(AK$3,$D$7:$P$336,$R45,FALSE)</f>
        <v>#N/A</v>
      </c>
      <c r="AL45" s="60" t="e">
        <f>100+HLOOKUP(AL$4,$D$7:$P$336,$R45,FALSE)-HLOOKUP(AL$3,$D$7:$P$336,$R45,FALSE)</f>
        <v>#N/A</v>
      </c>
      <c r="AM45" s="60" t="e">
        <f>100+HLOOKUP(AM$4,$D$7:$P$336,$R45,FALSE)-HLOOKUP(AM$3,$D$7:$P$336,$R45,FALSE)</f>
        <v>#N/A</v>
      </c>
      <c r="AN45" s="60" t="e">
        <f>100+HLOOKUP(AN$4,$D$7:$P$336,$R45,FALSE)-HLOOKUP(AN$3,$D$7:$P$336,$R45,FALSE)</f>
        <v>#N/A</v>
      </c>
      <c r="AO45" s="60" t="e">
        <f>100+HLOOKUP(AO$4,$D$7:$P$336,$R45,FALSE)-HLOOKUP(AO$3,$D$7:$P$336,$R45,FALSE)</f>
        <v>#N/A</v>
      </c>
      <c r="AP45" s="60" t="e">
        <f>100+HLOOKUP(AP$4,$D$7:$P$336,$R45,FALSE)-HLOOKUP(AP$3,$D$7:$P$336,$R45,FALSE)</f>
        <v>#N/A</v>
      </c>
      <c r="AQ45" s="60" t="e">
        <f>100+HLOOKUP(AQ$4,$D$7:$P$336,$R45,FALSE)-HLOOKUP(AQ$3,$D$7:$P$336,$R45,FALSE)</f>
        <v>#N/A</v>
      </c>
      <c r="AV45" s="60">
        <f ca="1">AV$5-S45</f>
        <v>7.1903994267964322</v>
      </c>
      <c r="AW45" s="60">
        <f ca="1">AW$5-T45</f>
        <v>0.2206505297577479</v>
      </c>
      <c r="AX45" s="60">
        <f ca="1">AX$5-U45</f>
        <v>4.7759154036680513</v>
      </c>
      <c r="AY45" s="60">
        <f ca="1">AY$5-V45</f>
        <v>-0.39698559847219883</v>
      </c>
      <c r="AZ45" s="60">
        <f ca="1">AZ$5-W45</f>
        <v>3.4544821725960304</v>
      </c>
      <c r="BA45" s="60">
        <f ca="1">BA$5-X45</f>
        <v>2.4650590589827033</v>
      </c>
      <c r="BB45" s="60">
        <f ca="1">BB$5-Y45</f>
        <v>-0.64940727261887332</v>
      </c>
      <c r="BC45" s="60">
        <f ca="1">BC$5-Z45</f>
        <v>10.437465909882164</v>
      </c>
      <c r="BD45" s="60">
        <f ca="1">BD$5-AA45</f>
        <v>3.936518664382362</v>
      </c>
      <c r="BE45" s="60">
        <f ca="1">BE$5-AB45</f>
        <v>-2.170609408007806</v>
      </c>
      <c r="BF45" s="60">
        <f ca="1">BF$5-AC45</f>
        <v>1.0173043164770803</v>
      </c>
      <c r="BG45" s="60">
        <f ca="1">BG$5-AD45</f>
        <v>-2.0147412949814907</v>
      </c>
      <c r="BH45" s="60">
        <f ca="1">BH$5-AE45</f>
        <v>-6.0454077696324333</v>
      </c>
      <c r="BI45" s="60">
        <f ca="1">BI$5-AF45</f>
        <v>-9.3914944887451952</v>
      </c>
      <c r="BJ45" s="60">
        <f ca="1">BJ$5-AG45</f>
        <v>-2.56044894232123</v>
      </c>
      <c r="BK45" s="60" t="e">
        <f>BK$5-AH45</f>
        <v>#N/A</v>
      </c>
      <c r="BL45" s="60" t="e">
        <f>BL$5-AI45</f>
        <v>#N/A</v>
      </c>
      <c r="BM45" s="60" t="e">
        <f>BM$5-AJ45</f>
        <v>#N/A</v>
      </c>
      <c r="BN45" s="60" t="e">
        <f>BN$5-AK45</f>
        <v>#N/A</v>
      </c>
      <c r="BO45" s="60" t="e">
        <f>BO$5-AL45</f>
        <v>#N/A</v>
      </c>
      <c r="BP45" s="60" t="e">
        <f>BP$5-AM45</f>
        <v>#N/A</v>
      </c>
      <c r="BQ45" s="60" t="e">
        <f>BQ$5-AN45</f>
        <v>#N/A</v>
      </c>
      <c r="BR45" s="60" t="e">
        <f>BR$5-AO45</f>
        <v>#N/A</v>
      </c>
      <c r="BS45" s="60" t="e">
        <f>BS$5-AP45</f>
        <v>#N/A</v>
      </c>
      <c r="BT45" s="60" t="e">
        <f>BT$5-AQ45</f>
        <v>#N/A</v>
      </c>
      <c r="BV45" s="60" cm="1">
        <f t="array" aca="1" ref="BV45" ca="1">SQRT(SUMSQ(_xlfn._xlws.FILTER(AV45:BT45,ISNUMBER(AV45:BT45)))/COUNT(_xlfn._xlws.FILTER(AV45:BT45,ISNUMBER(AV45:BT45))))</f>
        <v>4.8900901240977195</v>
      </c>
    </row>
    <row r="46" spans="3:74" x14ac:dyDescent="0.2">
      <c r="C46" s="60" t="s">
        <v>215</v>
      </c>
      <c r="D46" s="60">
        <v>0</v>
      </c>
      <c r="E46" s="60">
        <v>-0.69</v>
      </c>
      <c r="F46" s="60">
        <v>-2.94</v>
      </c>
      <c r="G46" s="60">
        <v>-3.8</v>
      </c>
      <c r="H46" s="60">
        <v>-5.78</v>
      </c>
      <c r="I46" s="60">
        <v>-3.83</v>
      </c>
      <c r="J46" s="60">
        <v>-7.04</v>
      </c>
      <c r="K46" s="60">
        <v>-5.09</v>
      </c>
      <c r="L46" s="60">
        <v>-3.13</v>
      </c>
      <c r="M46" s="60">
        <v>-2.21</v>
      </c>
      <c r="N46" s="60">
        <v>-0.94</v>
      </c>
      <c r="O46" s="60">
        <v>-1.96</v>
      </c>
      <c r="P46" s="60">
        <v>0</v>
      </c>
      <c r="R46" s="61">
        <f>(ROW(R46)-ROW($C$6))</f>
        <v>40</v>
      </c>
      <c r="S46" s="60">
        <f ca="1">100+HLOOKUP(S$4,$D$7:$P$336,$R46,FALSE)-HLOOKUP(S$3,$D$7:$P$336,$R46,FALSE)</f>
        <v>96.429999999999993</v>
      </c>
      <c r="T46" s="60">
        <f ca="1">100+HLOOKUP(T$4,$D$7:$P$336,$R46,FALSE)-HLOOKUP(T$3,$D$7:$P$336,$R46,FALSE)</f>
        <v>94.919999999999987</v>
      </c>
      <c r="U46" s="60">
        <f ca="1">100+HLOOKUP(U$4,$D$7:$P$336,$R46,FALSE)-HLOOKUP(U$3,$D$7:$P$336,$R46,FALSE)</f>
        <v>97.56</v>
      </c>
      <c r="V46" s="60">
        <f ca="1">100+HLOOKUP(V$4,$D$7:$P$336,$R46,FALSE)-HLOOKUP(V$3,$D$7:$P$336,$R46,FALSE)</f>
        <v>97.11</v>
      </c>
      <c r="W46" s="60">
        <f ca="1">100+HLOOKUP(W$4,$D$7:$P$336,$R46,FALSE)-HLOOKUP(W$3,$D$7:$P$336,$R46,FALSE)</f>
        <v>94.91</v>
      </c>
      <c r="X46" s="60">
        <f ca="1">100+HLOOKUP(X$4,$D$7:$P$336,$R46,FALSE)-HLOOKUP(X$3,$D$7:$P$336,$R46,FALSE)</f>
        <v>96.429999999999993</v>
      </c>
      <c r="Y46" s="60">
        <f ca="1">100+HLOOKUP(Y$4,$D$7:$P$336,$R46,FALSE)-HLOOKUP(Y$3,$D$7:$P$336,$R46,FALSE)</f>
        <v>94.919999999999987</v>
      </c>
      <c r="Z46" s="60">
        <f ca="1">100+HLOOKUP(Z$4,$D$7:$P$336,$R46,FALSE)-HLOOKUP(Z$3,$D$7:$P$336,$R46,FALSE)</f>
        <v>97.56</v>
      </c>
      <c r="AA46" s="60">
        <f ca="1">100+HLOOKUP(AA$4,$D$7:$P$336,$R46,FALSE)-HLOOKUP(AA$3,$D$7:$P$336,$R46,FALSE)</f>
        <v>97.11</v>
      </c>
      <c r="AB46" s="60">
        <f ca="1">100+HLOOKUP(AB$4,$D$7:$P$336,$R46,FALSE)-HLOOKUP(AB$3,$D$7:$P$336,$R46,FALSE)</f>
        <v>94.91</v>
      </c>
      <c r="AC46" s="60">
        <f ca="1">100+HLOOKUP(AC$4,$D$7:$P$336,$R46,FALSE)-HLOOKUP(AC$3,$D$7:$P$336,$R46,FALSE)</f>
        <v>100.73</v>
      </c>
      <c r="AD46" s="60">
        <f ca="1">100+HLOOKUP(AD$4,$D$7:$P$336,$R46,FALSE)-HLOOKUP(AD$3,$D$7:$P$336,$R46,FALSE)</f>
        <v>103.82000000000001</v>
      </c>
      <c r="AE46" s="60">
        <f ca="1">100+HLOOKUP(AE$4,$D$7:$P$336,$R46,FALSE)-HLOOKUP(AE$3,$D$7:$P$336,$R46,FALSE)</f>
        <v>106.35000000000001</v>
      </c>
      <c r="AF46" s="60">
        <f ca="1">100+HLOOKUP(AF$4,$D$7:$P$336,$R46,FALSE)-HLOOKUP(AF$3,$D$7:$P$336,$R46,FALSE)</f>
        <v>99.33</v>
      </c>
      <c r="AG46" s="60">
        <f ca="1">100+HLOOKUP(AG$4,$D$7:$P$336,$R46,FALSE)-HLOOKUP(AG$3,$D$7:$P$336,$R46,FALSE)</f>
        <v>97.11</v>
      </c>
      <c r="AH46" s="60" t="e">
        <f>100+HLOOKUP(AH$4,$D$7:$P$336,$R46,FALSE)-HLOOKUP(AH$3,$D$7:$P$336,$R46,FALSE)</f>
        <v>#N/A</v>
      </c>
      <c r="AI46" s="60" t="e">
        <f>100+HLOOKUP(AI$4,$D$7:$P$336,$R46,FALSE)-HLOOKUP(AI$3,$D$7:$P$336,$R46,FALSE)</f>
        <v>#N/A</v>
      </c>
      <c r="AJ46" s="60" t="e">
        <f>100+HLOOKUP(AJ$4,$D$7:$P$336,$R46,FALSE)-HLOOKUP(AJ$3,$D$7:$P$336,$R46,FALSE)</f>
        <v>#N/A</v>
      </c>
      <c r="AK46" s="60" t="e">
        <f>100+HLOOKUP(AK$4,$D$7:$P$336,$R46,FALSE)-HLOOKUP(AK$3,$D$7:$P$336,$R46,FALSE)</f>
        <v>#N/A</v>
      </c>
      <c r="AL46" s="60" t="e">
        <f>100+HLOOKUP(AL$4,$D$7:$P$336,$R46,FALSE)-HLOOKUP(AL$3,$D$7:$P$336,$R46,FALSE)</f>
        <v>#N/A</v>
      </c>
      <c r="AM46" s="60" t="e">
        <f>100+HLOOKUP(AM$4,$D$7:$P$336,$R46,FALSE)-HLOOKUP(AM$3,$D$7:$P$336,$R46,FALSE)</f>
        <v>#N/A</v>
      </c>
      <c r="AN46" s="60" t="e">
        <f>100+HLOOKUP(AN$4,$D$7:$P$336,$R46,FALSE)-HLOOKUP(AN$3,$D$7:$P$336,$R46,FALSE)</f>
        <v>#N/A</v>
      </c>
      <c r="AO46" s="60" t="e">
        <f>100+HLOOKUP(AO$4,$D$7:$P$336,$R46,FALSE)-HLOOKUP(AO$3,$D$7:$P$336,$R46,FALSE)</f>
        <v>#N/A</v>
      </c>
      <c r="AP46" s="60" t="e">
        <f>100+HLOOKUP(AP$4,$D$7:$P$336,$R46,FALSE)-HLOOKUP(AP$3,$D$7:$P$336,$R46,FALSE)</f>
        <v>#N/A</v>
      </c>
      <c r="AQ46" s="60" t="e">
        <f>100+HLOOKUP(AQ$4,$D$7:$P$336,$R46,FALSE)-HLOOKUP(AQ$3,$D$7:$P$336,$R46,FALSE)</f>
        <v>#N/A</v>
      </c>
      <c r="AV46" s="60">
        <f ca="1">AV$5-S46</f>
        <v>6.7603994267964396</v>
      </c>
      <c r="AW46" s="60">
        <f ca="1">AW$5-T46</f>
        <v>-0.69934947024223959</v>
      </c>
      <c r="AX46" s="60">
        <f ca="1">AX$5-U46</f>
        <v>4.2159154036680491</v>
      </c>
      <c r="AY46" s="60">
        <f ca="1">AY$5-V46</f>
        <v>-3.5069855984721983</v>
      </c>
      <c r="AZ46" s="60">
        <f ca="1">AZ$5-W46</f>
        <v>2.5444821725960338</v>
      </c>
      <c r="BA46" s="60">
        <f ca="1">BA$5-X46</f>
        <v>2.0350590589827107</v>
      </c>
      <c r="BB46" s="60">
        <f ca="1">BB$5-Y46</f>
        <v>-1.5694072726188608</v>
      </c>
      <c r="BC46" s="60">
        <f ca="1">BC$5-Z46</f>
        <v>9.8774659098821616</v>
      </c>
      <c r="BD46" s="60">
        <f ca="1">BD$5-AA46</f>
        <v>0.82651866438236254</v>
      </c>
      <c r="BE46" s="60">
        <f ca="1">BE$5-AB46</f>
        <v>-3.0806094080078026</v>
      </c>
      <c r="BF46" s="60">
        <f ca="1">BF$5-AC46</f>
        <v>0.28730431647707633</v>
      </c>
      <c r="BG46" s="60">
        <f ca="1">BG$5-AD46</f>
        <v>0.16525870501850193</v>
      </c>
      <c r="BH46" s="60">
        <f ca="1">BH$5-AE46</f>
        <v>-7.3954077696324418</v>
      </c>
      <c r="BI46" s="60">
        <f ca="1">BI$5-AF46</f>
        <v>-8.7214944887451935</v>
      </c>
      <c r="BJ46" s="60">
        <f ca="1">BJ$5-AG46</f>
        <v>-5.6704489423212294</v>
      </c>
      <c r="BK46" s="60" t="e">
        <f>BK$5-AH46</f>
        <v>#N/A</v>
      </c>
      <c r="BL46" s="60" t="e">
        <f>BL$5-AI46</f>
        <v>#N/A</v>
      </c>
      <c r="BM46" s="60" t="e">
        <f>BM$5-AJ46</f>
        <v>#N/A</v>
      </c>
      <c r="BN46" s="60" t="e">
        <f>BN$5-AK46</f>
        <v>#N/A</v>
      </c>
      <c r="BO46" s="60" t="e">
        <f>BO$5-AL46</f>
        <v>#N/A</v>
      </c>
      <c r="BP46" s="60" t="e">
        <f>BP$5-AM46</f>
        <v>#N/A</v>
      </c>
      <c r="BQ46" s="60" t="e">
        <f>BQ$5-AN46</f>
        <v>#N/A</v>
      </c>
      <c r="BR46" s="60" t="e">
        <f>BR$5-AO46</f>
        <v>#N/A</v>
      </c>
      <c r="BS46" s="60" t="e">
        <f>BS$5-AP46</f>
        <v>#N/A</v>
      </c>
      <c r="BT46" s="60" t="e">
        <f>BT$5-AQ46</f>
        <v>#N/A</v>
      </c>
      <c r="BV46" s="60" cm="1">
        <f t="array" aca="1" ref="BV46" ca="1">SQRT(SUMSQ(_xlfn._xlws.FILTER(AV46:BT46,ISNUMBER(AV46:BT46)))/COUNT(_xlfn._xlws.FILTER(AV46:BT46,ISNUMBER(AV46:BT46))))</f>
        <v>4.8996725244280599</v>
      </c>
    </row>
    <row r="47" spans="3:74" x14ac:dyDescent="0.2">
      <c r="C47" s="60" t="s">
        <v>229</v>
      </c>
      <c r="D47" s="60">
        <v>0</v>
      </c>
      <c r="E47" s="60">
        <v>0</v>
      </c>
      <c r="F47" s="60">
        <v>-1</v>
      </c>
      <c r="G47" s="60">
        <v>-2</v>
      </c>
      <c r="H47" s="60">
        <v>-2</v>
      </c>
      <c r="I47" s="60">
        <v>-2</v>
      </c>
      <c r="J47" s="60">
        <v>-2</v>
      </c>
      <c r="K47" s="60">
        <v>-2</v>
      </c>
      <c r="L47" s="60">
        <v>-2</v>
      </c>
      <c r="M47" s="60">
        <v>-1</v>
      </c>
      <c r="N47" s="60">
        <v>0</v>
      </c>
      <c r="O47" s="60">
        <v>0</v>
      </c>
      <c r="P47" s="60">
        <v>0</v>
      </c>
      <c r="R47" s="61">
        <f>(ROW(R47)-ROW($C$6))</f>
        <v>41</v>
      </c>
      <c r="S47" s="60">
        <f ca="1">100+HLOOKUP(S$4,$D$7:$P$336,$R47,FALSE)-HLOOKUP(S$3,$D$7:$P$336,$R47,FALSE)</f>
        <v>99</v>
      </c>
      <c r="T47" s="60">
        <f ca="1">100+HLOOKUP(T$4,$D$7:$P$336,$R47,FALSE)-HLOOKUP(T$3,$D$7:$P$336,$R47,FALSE)</f>
        <v>98</v>
      </c>
      <c r="U47" s="60">
        <f ca="1">100+HLOOKUP(U$4,$D$7:$P$336,$R47,FALSE)-HLOOKUP(U$3,$D$7:$P$336,$R47,FALSE)</f>
        <v>98</v>
      </c>
      <c r="V47" s="60">
        <f ca="1">100+HLOOKUP(V$4,$D$7:$P$336,$R47,FALSE)-HLOOKUP(V$3,$D$7:$P$336,$R47,FALSE)</f>
        <v>98</v>
      </c>
      <c r="W47" s="60">
        <f ca="1">100+HLOOKUP(W$4,$D$7:$P$336,$R47,FALSE)-HLOOKUP(W$3,$D$7:$P$336,$R47,FALSE)</f>
        <v>98</v>
      </c>
      <c r="X47" s="60">
        <f ca="1">100+HLOOKUP(X$4,$D$7:$P$336,$R47,FALSE)-HLOOKUP(X$3,$D$7:$P$336,$R47,FALSE)</f>
        <v>99</v>
      </c>
      <c r="Y47" s="60">
        <f ca="1">100+HLOOKUP(Y$4,$D$7:$P$336,$R47,FALSE)-HLOOKUP(Y$3,$D$7:$P$336,$R47,FALSE)</f>
        <v>98</v>
      </c>
      <c r="Z47" s="60">
        <f ca="1">100+HLOOKUP(Z$4,$D$7:$P$336,$R47,FALSE)-HLOOKUP(Z$3,$D$7:$P$336,$R47,FALSE)</f>
        <v>98</v>
      </c>
      <c r="AA47" s="60">
        <f ca="1">100+HLOOKUP(AA$4,$D$7:$P$336,$R47,FALSE)-HLOOKUP(AA$3,$D$7:$P$336,$R47,FALSE)</f>
        <v>98</v>
      </c>
      <c r="AB47" s="60">
        <f ca="1">100+HLOOKUP(AB$4,$D$7:$P$336,$R47,FALSE)-HLOOKUP(AB$3,$D$7:$P$336,$R47,FALSE)</f>
        <v>98</v>
      </c>
      <c r="AC47" s="60">
        <f ca="1">100+HLOOKUP(AC$4,$D$7:$P$336,$R47,FALSE)-HLOOKUP(AC$3,$D$7:$P$336,$R47,FALSE)</f>
        <v>100</v>
      </c>
      <c r="AD47" s="60">
        <f ca="1">100+HLOOKUP(AD$4,$D$7:$P$336,$R47,FALSE)-HLOOKUP(AD$3,$D$7:$P$336,$R47,FALSE)</f>
        <v>102</v>
      </c>
      <c r="AE47" s="60">
        <f ca="1">100+HLOOKUP(AE$4,$D$7:$P$336,$R47,FALSE)-HLOOKUP(AE$3,$D$7:$P$336,$R47,FALSE)</f>
        <v>102</v>
      </c>
      <c r="AF47" s="60">
        <f ca="1">100+HLOOKUP(AF$4,$D$7:$P$336,$R47,FALSE)-HLOOKUP(AF$3,$D$7:$P$336,$R47,FALSE)</f>
        <v>100</v>
      </c>
      <c r="AG47" s="60">
        <f ca="1">100+HLOOKUP(AG$4,$D$7:$P$336,$R47,FALSE)-HLOOKUP(AG$3,$D$7:$P$336,$R47,FALSE)</f>
        <v>98</v>
      </c>
      <c r="AH47" s="60" t="e">
        <f>100+HLOOKUP(AH$4,$D$7:$P$336,$R47,FALSE)-HLOOKUP(AH$3,$D$7:$P$336,$R47,FALSE)</f>
        <v>#N/A</v>
      </c>
      <c r="AI47" s="60" t="e">
        <f>100+HLOOKUP(AI$4,$D$7:$P$336,$R47,FALSE)-HLOOKUP(AI$3,$D$7:$P$336,$R47,FALSE)</f>
        <v>#N/A</v>
      </c>
      <c r="AJ47" s="60" t="e">
        <f>100+HLOOKUP(AJ$4,$D$7:$P$336,$R47,FALSE)-HLOOKUP(AJ$3,$D$7:$P$336,$R47,FALSE)</f>
        <v>#N/A</v>
      </c>
      <c r="AK47" s="60" t="e">
        <f>100+HLOOKUP(AK$4,$D$7:$P$336,$R47,FALSE)-HLOOKUP(AK$3,$D$7:$P$336,$R47,FALSE)</f>
        <v>#N/A</v>
      </c>
      <c r="AL47" s="60" t="e">
        <f>100+HLOOKUP(AL$4,$D$7:$P$336,$R47,FALSE)-HLOOKUP(AL$3,$D$7:$P$336,$R47,FALSE)</f>
        <v>#N/A</v>
      </c>
      <c r="AM47" s="60" t="e">
        <f>100+HLOOKUP(AM$4,$D$7:$P$336,$R47,FALSE)-HLOOKUP(AM$3,$D$7:$P$336,$R47,FALSE)</f>
        <v>#N/A</v>
      </c>
      <c r="AN47" s="60" t="e">
        <f>100+HLOOKUP(AN$4,$D$7:$P$336,$R47,FALSE)-HLOOKUP(AN$3,$D$7:$P$336,$R47,FALSE)</f>
        <v>#N/A</v>
      </c>
      <c r="AO47" s="60" t="e">
        <f>100+HLOOKUP(AO$4,$D$7:$P$336,$R47,FALSE)-HLOOKUP(AO$3,$D$7:$P$336,$R47,FALSE)</f>
        <v>#N/A</v>
      </c>
      <c r="AP47" s="60" t="e">
        <f>100+HLOOKUP(AP$4,$D$7:$P$336,$R47,FALSE)-HLOOKUP(AP$3,$D$7:$P$336,$R47,FALSE)</f>
        <v>#N/A</v>
      </c>
      <c r="AQ47" s="60" t="e">
        <f>100+HLOOKUP(AQ$4,$D$7:$P$336,$R47,FALSE)-HLOOKUP(AQ$3,$D$7:$P$336,$R47,FALSE)</f>
        <v>#N/A</v>
      </c>
      <c r="AV47" s="60">
        <f ca="1">AV$5-S47</f>
        <v>4.1903994267964322</v>
      </c>
      <c r="AW47" s="60">
        <f ca="1">AW$5-T47</f>
        <v>-3.7793494702422521</v>
      </c>
      <c r="AX47" s="60">
        <f ca="1">AX$5-U47</f>
        <v>3.7759154036680513</v>
      </c>
      <c r="AY47" s="60">
        <f ca="1">AY$5-V47</f>
        <v>-4.3969855984721988</v>
      </c>
      <c r="AZ47" s="60">
        <f ca="1">AZ$5-W47</f>
        <v>-0.54551782740396959</v>
      </c>
      <c r="BA47" s="60">
        <f ca="1">BA$5-X47</f>
        <v>-0.53494094101729672</v>
      </c>
      <c r="BB47" s="60">
        <f ca="1">BB$5-Y47</f>
        <v>-4.6494072726188733</v>
      </c>
      <c r="BC47" s="60">
        <f ca="1">BC$5-Z47</f>
        <v>9.4374659098821638</v>
      </c>
      <c r="BD47" s="60">
        <f ca="1">BD$5-AA47</f>
        <v>-6.3481335617638024E-2</v>
      </c>
      <c r="BE47" s="60">
        <f ca="1">BE$5-AB47</f>
        <v>-6.170609408007806</v>
      </c>
      <c r="BF47" s="60">
        <f ca="1">BF$5-AC47</f>
        <v>1.0173043164770803</v>
      </c>
      <c r="BG47" s="60">
        <f ca="1">BG$5-AD47</f>
        <v>1.9852587050185093</v>
      </c>
      <c r="BH47" s="60">
        <f ca="1">BH$5-AE47</f>
        <v>-3.0454077696324333</v>
      </c>
      <c r="BI47" s="60">
        <f ca="1">BI$5-AF47</f>
        <v>-9.3914944887451952</v>
      </c>
      <c r="BJ47" s="60">
        <f ca="1">BJ$5-AG47</f>
        <v>-6.56044894232123</v>
      </c>
      <c r="BK47" s="60" t="e">
        <f>BK$5-AH47</f>
        <v>#N/A</v>
      </c>
      <c r="BL47" s="60" t="e">
        <f>BL$5-AI47</f>
        <v>#N/A</v>
      </c>
      <c r="BM47" s="60" t="e">
        <f>BM$5-AJ47</f>
        <v>#N/A</v>
      </c>
      <c r="BN47" s="60" t="e">
        <f>BN$5-AK47</f>
        <v>#N/A</v>
      </c>
      <c r="BO47" s="60" t="e">
        <f>BO$5-AL47</f>
        <v>#N/A</v>
      </c>
      <c r="BP47" s="60" t="e">
        <f>BP$5-AM47</f>
        <v>#N/A</v>
      </c>
      <c r="BQ47" s="60" t="e">
        <f>BQ$5-AN47</f>
        <v>#N/A</v>
      </c>
      <c r="BR47" s="60" t="e">
        <f>BR$5-AO47</f>
        <v>#N/A</v>
      </c>
      <c r="BS47" s="60" t="e">
        <f>BS$5-AP47</f>
        <v>#N/A</v>
      </c>
      <c r="BT47" s="60" t="e">
        <f>BT$5-AQ47</f>
        <v>#N/A</v>
      </c>
      <c r="BV47" s="60" cm="1">
        <f t="array" aca="1" ref="BV47" ca="1">SQRT(SUMSQ(_xlfn._xlws.FILTER(AV47:BT47,ISNUMBER(AV47:BT47)))/COUNT(_xlfn._xlws.FILTER(AV47:BT47,ISNUMBER(AV47:BT47))))</f>
        <v>4.9008246220748113</v>
      </c>
    </row>
    <row r="48" spans="3:74" x14ac:dyDescent="0.2">
      <c r="C48" s="60" t="s">
        <v>279</v>
      </c>
      <c r="D48" s="60">
        <v>0</v>
      </c>
      <c r="E48" s="60">
        <v>0</v>
      </c>
      <c r="F48" s="60">
        <v>-2</v>
      </c>
      <c r="G48" s="60">
        <v>-6</v>
      </c>
      <c r="H48" s="60">
        <v>-6</v>
      </c>
      <c r="I48" s="60">
        <v>-2</v>
      </c>
      <c r="J48" s="60">
        <v>-2</v>
      </c>
      <c r="K48" s="60">
        <v>-4</v>
      </c>
      <c r="L48" s="60">
        <v>0</v>
      </c>
      <c r="M48" s="60">
        <v>-4</v>
      </c>
      <c r="N48" s="60">
        <v>-4</v>
      </c>
      <c r="O48" s="60">
        <v>0</v>
      </c>
      <c r="P48" s="60">
        <v>0</v>
      </c>
      <c r="R48" s="61">
        <f>(ROW(R48)-ROW($C$6))</f>
        <v>42</v>
      </c>
      <c r="S48" s="60">
        <f ca="1">100+HLOOKUP(S$4,$D$7:$P$336,$R48,FALSE)-HLOOKUP(S$3,$D$7:$P$336,$R48,FALSE)</f>
        <v>98</v>
      </c>
      <c r="T48" s="60">
        <f ca="1">100+HLOOKUP(T$4,$D$7:$P$336,$R48,FALSE)-HLOOKUP(T$3,$D$7:$P$336,$R48,FALSE)</f>
        <v>98</v>
      </c>
      <c r="U48" s="60">
        <f ca="1">100+HLOOKUP(U$4,$D$7:$P$336,$R48,FALSE)-HLOOKUP(U$3,$D$7:$P$336,$R48,FALSE)</f>
        <v>100</v>
      </c>
      <c r="V48" s="60">
        <f ca="1">100+HLOOKUP(V$4,$D$7:$P$336,$R48,FALSE)-HLOOKUP(V$3,$D$7:$P$336,$R48,FALSE)</f>
        <v>102</v>
      </c>
      <c r="W48" s="60">
        <f ca="1">100+HLOOKUP(W$4,$D$7:$P$336,$R48,FALSE)-HLOOKUP(W$3,$D$7:$P$336,$R48,FALSE)</f>
        <v>96</v>
      </c>
      <c r="X48" s="60">
        <f ca="1">100+HLOOKUP(X$4,$D$7:$P$336,$R48,FALSE)-HLOOKUP(X$3,$D$7:$P$336,$R48,FALSE)</f>
        <v>98</v>
      </c>
      <c r="Y48" s="60">
        <f ca="1">100+HLOOKUP(Y$4,$D$7:$P$336,$R48,FALSE)-HLOOKUP(Y$3,$D$7:$P$336,$R48,FALSE)</f>
        <v>98</v>
      </c>
      <c r="Z48" s="60">
        <f ca="1">100+HLOOKUP(Z$4,$D$7:$P$336,$R48,FALSE)-HLOOKUP(Z$3,$D$7:$P$336,$R48,FALSE)</f>
        <v>100</v>
      </c>
      <c r="AA48" s="60">
        <f ca="1">100+HLOOKUP(AA$4,$D$7:$P$336,$R48,FALSE)-HLOOKUP(AA$3,$D$7:$P$336,$R48,FALSE)</f>
        <v>102</v>
      </c>
      <c r="AB48" s="60">
        <f ca="1">100+HLOOKUP(AB$4,$D$7:$P$336,$R48,FALSE)-HLOOKUP(AB$3,$D$7:$P$336,$R48,FALSE)</f>
        <v>96</v>
      </c>
      <c r="AC48" s="60">
        <f ca="1">100+HLOOKUP(AC$4,$D$7:$P$336,$R48,FALSE)-HLOOKUP(AC$3,$D$7:$P$336,$R48,FALSE)</f>
        <v>98</v>
      </c>
      <c r="AD48" s="60">
        <f ca="1">100+HLOOKUP(AD$4,$D$7:$P$336,$R48,FALSE)-HLOOKUP(AD$3,$D$7:$P$336,$R48,FALSE)</f>
        <v>106</v>
      </c>
      <c r="AE48" s="60">
        <f ca="1">100+HLOOKUP(AE$4,$D$7:$P$336,$R48,FALSE)-HLOOKUP(AE$3,$D$7:$P$336,$R48,FALSE)</f>
        <v>102</v>
      </c>
      <c r="AF48" s="60">
        <f ca="1">100+HLOOKUP(AF$4,$D$7:$P$336,$R48,FALSE)-HLOOKUP(AF$3,$D$7:$P$336,$R48,FALSE)</f>
        <v>94</v>
      </c>
      <c r="AG48" s="60">
        <f ca="1">100+HLOOKUP(AG$4,$D$7:$P$336,$R48,FALSE)-HLOOKUP(AG$3,$D$7:$P$336,$R48,FALSE)</f>
        <v>102</v>
      </c>
      <c r="AH48" s="60" t="e">
        <f>100+HLOOKUP(AH$4,$D$7:$P$336,$R48,FALSE)-HLOOKUP(AH$3,$D$7:$P$336,$R48,FALSE)</f>
        <v>#N/A</v>
      </c>
      <c r="AI48" s="60" t="e">
        <f>100+HLOOKUP(AI$4,$D$7:$P$336,$R48,FALSE)-HLOOKUP(AI$3,$D$7:$P$336,$R48,FALSE)</f>
        <v>#N/A</v>
      </c>
      <c r="AJ48" s="60" t="e">
        <f>100+HLOOKUP(AJ$4,$D$7:$P$336,$R48,FALSE)-HLOOKUP(AJ$3,$D$7:$P$336,$R48,FALSE)</f>
        <v>#N/A</v>
      </c>
      <c r="AK48" s="60" t="e">
        <f>100+HLOOKUP(AK$4,$D$7:$P$336,$R48,FALSE)-HLOOKUP(AK$3,$D$7:$P$336,$R48,FALSE)</f>
        <v>#N/A</v>
      </c>
      <c r="AL48" s="60" t="e">
        <f>100+HLOOKUP(AL$4,$D$7:$P$336,$R48,FALSE)-HLOOKUP(AL$3,$D$7:$P$336,$R48,FALSE)</f>
        <v>#N/A</v>
      </c>
      <c r="AM48" s="60" t="e">
        <f>100+HLOOKUP(AM$4,$D$7:$P$336,$R48,FALSE)-HLOOKUP(AM$3,$D$7:$P$336,$R48,FALSE)</f>
        <v>#N/A</v>
      </c>
      <c r="AN48" s="60" t="e">
        <f>100+HLOOKUP(AN$4,$D$7:$P$336,$R48,FALSE)-HLOOKUP(AN$3,$D$7:$P$336,$R48,FALSE)</f>
        <v>#N/A</v>
      </c>
      <c r="AO48" s="60" t="e">
        <f>100+HLOOKUP(AO$4,$D$7:$P$336,$R48,FALSE)-HLOOKUP(AO$3,$D$7:$P$336,$R48,FALSE)</f>
        <v>#N/A</v>
      </c>
      <c r="AP48" s="60" t="e">
        <f>100+HLOOKUP(AP$4,$D$7:$P$336,$R48,FALSE)-HLOOKUP(AP$3,$D$7:$P$336,$R48,FALSE)</f>
        <v>#N/A</v>
      </c>
      <c r="AQ48" s="60" t="e">
        <f>100+HLOOKUP(AQ$4,$D$7:$P$336,$R48,FALSE)-HLOOKUP(AQ$3,$D$7:$P$336,$R48,FALSE)</f>
        <v>#N/A</v>
      </c>
      <c r="AV48" s="60">
        <f ca="1">AV$5-S48</f>
        <v>5.1903994267964322</v>
      </c>
      <c r="AW48" s="60">
        <f ca="1">AW$5-T48</f>
        <v>-3.7793494702422521</v>
      </c>
      <c r="AX48" s="60">
        <f ca="1">AX$5-U48</f>
        <v>1.7759154036680513</v>
      </c>
      <c r="AY48" s="60">
        <f ca="1">AY$5-V48</f>
        <v>-8.3969855984721988</v>
      </c>
      <c r="AZ48" s="60">
        <f ca="1">AZ$5-W48</f>
        <v>1.4544821725960304</v>
      </c>
      <c r="BA48" s="60">
        <f ca="1">BA$5-X48</f>
        <v>0.46505905898270328</v>
      </c>
      <c r="BB48" s="60">
        <f ca="1">BB$5-Y48</f>
        <v>-4.6494072726188733</v>
      </c>
      <c r="BC48" s="60">
        <f ca="1">BC$5-Z48</f>
        <v>7.4374659098821638</v>
      </c>
      <c r="BD48" s="60">
        <f ca="1">BD$5-AA48</f>
        <v>-4.063481335617638</v>
      </c>
      <c r="BE48" s="60">
        <f ca="1">BE$5-AB48</f>
        <v>-4.170609408007806</v>
      </c>
      <c r="BF48" s="60">
        <f ca="1">BF$5-AC48</f>
        <v>3.0173043164770803</v>
      </c>
      <c r="BG48" s="60">
        <f ca="1">BG$5-AD48</f>
        <v>-2.0147412949814907</v>
      </c>
      <c r="BH48" s="60">
        <f ca="1">BH$5-AE48</f>
        <v>-3.0454077696324333</v>
      </c>
      <c r="BI48" s="60">
        <f ca="1">BI$5-AF48</f>
        <v>-3.3914944887451952</v>
      </c>
      <c r="BJ48" s="60">
        <f ca="1">BJ$5-AG48</f>
        <v>-10.56044894232123</v>
      </c>
      <c r="BK48" s="60" t="e">
        <f>BK$5-AH48</f>
        <v>#N/A</v>
      </c>
      <c r="BL48" s="60" t="e">
        <f>BL$5-AI48</f>
        <v>#N/A</v>
      </c>
      <c r="BM48" s="60" t="e">
        <f>BM$5-AJ48</f>
        <v>#N/A</v>
      </c>
      <c r="BN48" s="60" t="e">
        <f>BN$5-AK48</f>
        <v>#N/A</v>
      </c>
      <c r="BO48" s="60" t="e">
        <f>BO$5-AL48</f>
        <v>#N/A</v>
      </c>
      <c r="BP48" s="60" t="e">
        <f>BP$5-AM48</f>
        <v>#N/A</v>
      </c>
      <c r="BQ48" s="60" t="e">
        <f>BQ$5-AN48</f>
        <v>#N/A</v>
      </c>
      <c r="BR48" s="60" t="e">
        <f>BR$5-AO48</f>
        <v>#N/A</v>
      </c>
      <c r="BS48" s="60" t="e">
        <f>BS$5-AP48</f>
        <v>#N/A</v>
      </c>
      <c r="BT48" s="60" t="e">
        <f>BT$5-AQ48</f>
        <v>#N/A</v>
      </c>
      <c r="BV48" s="60" cm="1">
        <f t="array" aca="1" ref="BV48" ca="1">SQRT(SUMSQ(_xlfn._xlws.FILTER(AV48:BT48,ISNUMBER(AV48:BT48)))/COUNT(_xlfn._xlws.FILTER(AV48:BT48,ISNUMBER(AV48:BT48))))</f>
        <v>4.9901279421997291</v>
      </c>
    </row>
    <row r="49" spans="3:74" x14ac:dyDescent="0.2">
      <c r="C49" s="60" t="s">
        <v>468</v>
      </c>
      <c r="D49" s="60">
        <v>0</v>
      </c>
      <c r="E49" s="60">
        <v>-2</v>
      </c>
      <c r="F49" s="60">
        <v>-4</v>
      </c>
      <c r="G49" s="60">
        <v>-6</v>
      </c>
      <c r="H49" s="60">
        <v>-8</v>
      </c>
      <c r="I49" s="60">
        <v>-8</v>
      </c>
      <c r="J49" s="60">
        <v>-8</v>
      </c>
      <c r="K49" s="60">
        <v>-6</v>
      </c>
      <c r="L49" s="60">
        <v>-4</v>
      </c>
      <c r="M49" s="60">
        <v>-2</v>
      </c>
      <c r="N49" s="60">
        <v>0</v>
      </c>
      <c r="O49" s="60">
        <v>0</v>
      </c>
      <c r="P49" s="60">
        <v>0</v>
      </c>
      <c r="R49" s="61">
        <f>(ROW(R49)-ROW($C$6))</f>
        <v>43</v>
      </c>
      <c r="S49" s="60">
        <f ca="1">100+HLOOKUP(S$4,$D$7:$P$336,$R49,FALSE)-HLOOKUP(S$3,$D$7:$P$336,$R49,FALSE)</f>
        <v>94</v>
      </c>
      <c r="T49" s="60">
        <f ca="1">100+HLOOKUP(T$4,$D$7:$P$336,$R49,FALSE)-HLOOKUP(T$3,$D$7:$P$336,$R49,FALSE)</f>
        <v>92</v>
      </c>
      <c r="U49" s="60">
        <f ca="1">100+HLOOKUP(U$4,$D$7:$P$336,$R49,FALSE)-HLOOKUP(U$3,$D$7:$P$336,$R49,FALSE)</f>
        <v>98</v>
      </c>
      <c r="V49" s="60">
        <f ca="1">100+HLOOKUP(V$4,$D$7:$P$336,$R49,FALSE)-HLOOKUP(V$3,$D$7:$P$336,$R49,FALSE)</f>
        <v>92</v>
      </c>
      <c r="W49" s="60">
        <f ca="1">100+HLOOKUP(W$4,$D$7:$P$336,$R49,FALSE)-HLOOKUP(W$3,$D$7:$P$336,$R49,FALSE)</f>
        <v>94</v>
      </c>
      <c r="X49" s="60">
        <f ca="1">100+HLOOKUP(X$4,$D$7:$P$336,$R49,FALSE)-HLOOKUP(X$3,$D$7:$P$336,$R49,FALSE)</f>
        <v>94</v>
      </c>
      <c r="Y49" s="60">
        <f ca="1">100+HLOOKUP(Y$4,$D$7:$P$336,$R49,FALSE)-HLOOKUP(Y$3,$D$7:$P$336,$R49,FALSE)</f>
        <v>92</v>
      </c>
      <c r="Z49" s="60">
        <f ca="1">100+HLOOKUP(Z$4,$D$7:$P$336,$R49,FALSE)-HLOOKUP(Z$3,$D$7:$P$336,$R49,FALSE)</f>
        <v>98</v>
      </c>
      <c r="AA49" s="60">
        <f ca="1">100+HLOOKUP(AA$4,$D$7:$P$336,$R49,FALSE)-HLOOKUP(AA$3,$D$7:$P$336,$R49,FALSE)</f>
        <v>92</v>
      </c>
      <c r="AB49" s="60">
        <f ca="1">100+HLOOKUP(AB$4,$D$7:$P$336,$R49,FALSE)-HLOOKUP(AB$3,$D$7:$P$336,$R49,FALSE)</f>
        <v>94</v>
      </c>
      <c r="AC49" s="60">
        <f ca="1">100+HLOOKUP(AC$4,$D$7:$P$336,$R49,FALSE)-HLOOKUP(AC$3,$D$7:$P$336,$R49,FALSE)</f>
        <v>102</v>
      </c>
      <c r="AD49" s="60">
        <f ca="1">100+HLOOKUP(AD$4,$D$7:$P$336,$R49,FALSE)-HLOOKUP(AD$3,$D$7:$P$336,$R49,FALSE)</f>
        <v>108</v>
      </c>
      <c r="AE49" s="60">
        <f ca="1">100+HLOOKUP(AE$4,$D$7:$P$336,$R49,FALSE)-HLOOKUP(AE$3,$D$7:$P$336,$R49,FALSE)</f>
        <v>106</v>
      </c>
      <c r="AF49" s="60">
        <f ca="1">100+HLOOKUP(AF$4,$D$7:$P$336,$R49,FALSE)-HLOOKUP(AF$3,$D$7:$P$336,$R49,FALSE)</f>
        <v>98</v>
      </c>
      <c r="AG49" s="60">
        <f ca="1">100+HLOOKUP(AG$4,$D$7:$P$336,$R49,FALSE)-HLOOKUP(AG$3,$D$7:$P$336,$R49,FALSE)</f>
        <v>92</v>
      </c>
      <c r="AH49" s="60" t="e">
        <f>100+HLOOKUP(AH$4,$D$7:$P$336,$R49,FALSE)-HLOOKUP(AH$3,$D$7:$P$336,$R49,FALSE)</f>
        <v>#N/A</v>
      </c>
      <c r="AI49" s="60" t="e">
        <f>100+HLOOKUP(AI$4,$D$7:$P$336,$R49,FALSE)-HLOOKUP(AI$3,$D$7:$P$336,$R49,FALSE)</f>
        <v>#N/A</v>
      </c>
      <c r="AJ49" s="60" t="e">
        <f>100+HLOOKUP(AJ$4,$D$7:$P$336,$R49,FALSE)-HLOOKUP(AJ$3,$D$7:$P$336,$R49,FALSE)</f>
        <v>#N/A</v>
      </c>
      <c r="AK49" s="60" t="e">
        <f>100+HLOOKUP(AK$4,$D$7:$P$336,$R49,FALSE)-HLOOKUP(AK$3,$D$7:$P$336,$R49,FALSE)</f>
        <v>#N/A</v>
      </c>
      <c r="AL49" s="60" t="e">
        <f>100+HLOOKUP(AL$4,$D$7:$P$336,$R49,FALSE)-HLOOKUP(AL$3,$D$7:$P$336,$R49,FALSE)</f>
        <v>#N/A</v>
      </c>
      <c r="AM49" s="60" t="e">
        <f>100+HLOOKUP(AM$4,$D$7:$P$336,$R49,FALSE)-HLOOKUP(AM$3,$D$7:$P$336,$R49,FALSE)</f>
        <v>#N/A</v>
      </c>
      <c r="AN49" s="60" t="e">
        <f>100+HLOOKUP(AN$4,$D$7:$P$336,$R49,FALSE)-HLOOKUP(AN$3,$D$7:$P$336,$R49,FALSE)</f>
        <v>#N/A</v>
      </c>
      <c r="AO49" s="60" t="e">
        <f>100+HLOOKUP(AO$4,$D$7:$P$336,$R49,FALSE)-HLOOKUP(AO$3,$D$7:$P$336,$R49,FALSE)</f>
        <v>#N/A</v>
      </c>
      <c r="AP49" s="60" t="e">
        <f>100+HLOOKUP(AP$4,$D$7:$P$336,$R49,FALSE)-HLOOKUP(AP$3,$D$7:$P$336,$R49,FALSE)</f>
        <v>#N/A</v>
      </c>
      <c r="AQ49" s="60" t="e">
        <f>100+HLOOKUP(AQ$4,$D$7:$P$336,$R49,FALSE)-HLOOKUP(AQ$3,$D$7:$P$336,$R49,FALSE)</f>
        <v>#N/A</v>
      </c>
      <c r="AV49" s="60">
        <f ca="1">AV$5-S49</f>
        <v>9.1903994267964322</v>
      </c>
      <c r="AW49" s="60">
        <f ca="1">AW$5-T49</f>
        <v>2.2206505297577479</v>
      </c>
      <c r="AX49" s="60">
        <f ca="1">AX$5-U49</f>
        <v>3.7759154036680513</v>
      </c>
      <c r="AY49" s="60">
        <f ca="1">AY$5-V49</f>
        <v>1.6030144015278012</v>
      </c>
      <c r="AZ49" s="60">
        <f ca="1">AZ$5-W49</f>
        <v>3.4544821725960304</v>
      </c>
      <c r="BA49" s="60">
        <f ca="1">BA$5-X49</f>
        <v>4.4650590589827033</v>
      </c>
      <c r="BB49" s="60">
        <f ca="1">BB$5-Y49</f>
        <v>1.3505927273811267</v>
      </c>
      <c r="BC49" s="60">
        <f ca="1">BC$5-Z49</f>
        <v>9.4374659098821638</v>
      </c>
      <c r="BD49" s="60">
        <f ca="1">BD$5-AA49</f>
        <v>5.936518664382362</v>
      </c>
      <c r="BE49" s="60">
        <f ca="1">BE$5-AB49</f>
        <v>-2.170609408007806</v>
      </c>
      <c r="BF49" s="60">
        <f ca="1">BF$5-AC49</f>
        <v>-0.98269568352291969</v>
      </c>
      <c r="BG49" s="60">
        <f ca="1">BG$5-AD49</f>
        <v>-4.0147412949814907</v>
      </c>
      <c r="BH49" s="60">
        <f ca="1">BH$5-AE49</f>
        <v>-7.0454077696324333</v>
      </c>
      <c r="BI49" s="60">
        <f ca="1">BI$5-AF49</f>
        <v>-7.3914944887451952</v>
      </c>
      <c r="BJ49" s="60">
        <f ca="1">BJ$5-AG49</f>
        <v>-0.56044894232122999</v>
      </c>
      <c r="BK49" s="60" t="e">
        <f>BK$5-AH49</f>
        <v>#N/A</v>
      </c>
      <c r="BL49" s="60" t="e">
        <f>BL$5-AI49</f>
        <v>#N/A</v>
      </c>
      <c r="BM49" s="60" t="e">
        <f>BM$5-AJ49</f>
        <v>#N/A</v>
      </c>
      <c r="BN49" s="60" t="e">
        <f>BN$5-AK49</f>
        <v>#N/A</v>
      </c>
      <c r="BO49" s="60" t="e">
        <f>BO$5-AL49</f>
        <v>#N/A</v>
      </c>
      <c r="BP49" s="60" t="e">
        <f>BP$5-AM49</f>
        <v>#N/A</v>
      </c>
      <c r="BQ49" s="60" t="e">
        <f>BQ$5-AN49</f>
        <v>#N/A</v>
      </c>
      <c r="BR49" s="60" t="e">
        <f>BR$5-AO49</f>
        <v>#N/A</v>
      </c>
      <c r="BS49" s="60" t="e">
        <f>BS$5-AP49</f>
        <v>#N/A</v>
      </c>
      <c r="BT49" s="60" t="e">
        <f>BT$5-AQ49</f>
        <v>#N/A</v>
      </c>
      <c r="BV49" s="60" cm="1">
        <f t="array" aca="1" ref="BV49" ca="1">SQRT(SUMSQ(_xlfn._xlws.FILTER(AV49:BT49,ISNUMBER(AV49:BT49)))/COUNT(_xlfn._xlws.FILTER(AV49:BT49,ISNUMBER(AV49:BT49))))</f>
        <v>5.102977481589873</v>
      </c>
    </row>
    <row r="50" spans="3:74" x14ac:dyDescent="0.2">
      <c r="C50" s="60" t="s">
        <v>426</v>
      </c>
      <c r="D50" s="60">
        <v>0</v>
      </c>
      <c r="E50" s="60">
        <v>-2</v>
      </c>
      <c r="F50" s="60">
        <v>-3</v>
      </c>
      <c r="G50" s="60">
        <v>-5</v>
      </c>
      <c r="H50" s="60">
        <v>-7</v>
      </c>
      <c r="I50" s="60">
        <v>-8</v>
      </c>
      <c r="J50" s="60">
        <v>-6</v>
      </c>
      <c r="K50" s="60">
        <v>-4</v>
      </c>
      <c r="L50" s="60">
        <v>-2</v>
      </c>
      <c r="M50" s="60">
        <v>0</v>
      </c>
      <c r="N50" s="60">
        <v>2</v>
      </c>
      <c r="O50" s="60">
        <v>2</v>
      </c>
      <c r="P50" s="60">
        <v>0</v>
      </c>
      <c r="R50" s="61">
        <f>(ROW(R50)-ROW($C$6))</f>
        <v>44</v>
      </c>
      <c r="S50" s="60">
        <f ca="1">100+HLOOKUP(S$4,$D$7:$P$336,$R50,FALSE)-HLOOKUP(S$3,$D$7:$P$336,$R50,FALSE)</f>
        <v>93</v>
      </c>
      <c r="T50" s="60">
        <f ca="1">100+HLOOKUP(T$4,$D$7:$P$336,$R50,FALSE)-HLOOKUP(T$3,$D$7:$P$336,$R50,FALSE)</f>
        <v>92</v>
      </c>
      <c r="U50" s="60">
        <f ca="1">100+HLOOKUP(U$4,$D$7:$P$336,$R50,FALSE)-HLOOKUP(U$3,$D$7:$P$336,$R50,FALSE)</f>
        <v>100</v>
      </c>
      <c r="V50" s="60">
        <f ca="1">100+HLOOKUP(V$4,$D$7:$P$336,$R50,FALSE)-HLOOKUP(V$3,$D$7:$P$336,$R50,FALSE)</f>
        <v>90</v>
      </c>
      <c r="W50" s="60">
        <f ca="1">100+HLOOKUP(W$4,$D$7:$P$336,$R50,FALSE)-HLOOKUP(W$3,$D$7:$P$336,$R50,FALSE)</f>
        <v>96</v>
      </c>
      <c r="X50" s="60">
        <f ca="1">100+HLOOKUP(X$4,$D$7:$P$336,$R50,FALSE)-HLOOKUP(X$3,$D$7:$P$336,$R50,FALSE)</f>
        <v>93</v>
      </c>
      <c r="Y50" s="60">
        <f ca="1">100+HLOOKUP(Y$4,$D$7:$P$336,$R50,FALSE)-HLOOKUP(Y$3,$D$7:$P$336,$R50,FALSE)</f>
        <v>92</v>
      </c>
      <c r="Z50" s="60">
        <f ca="1">100+HLOOKUP(Z$4,$D$7:$P$336,$R50,FALSE)-HLOOKUP(Z$3,$D$7:$P$336,$R50,FALSE)</f>
        <v>100</v>
      </c>
      <c r="AA50" s="60">
        <f ca="1">100+HLOOKUP(AA$4,$D$7:$P$336,$R50,FALSE)-HLOOKUP(AA$3,$D$7:$P$336,$R50,FALSE)</f>
        <v>90</v>
      </c>
      <c r="AB50" s="60">
        <f ca="1">100+HLOOKUP(AB$4,$D$7:$P$336,$R50,FALSE)-HLOOKUP(AB$3,$D$7:$P$336,$R50,FALSE)</f>
        <v>96</v>
      </c>
      <c r="AC50" s="60">
        <f ca="1">100+HLOOKUP(AC$4,$D$7:$P$336,$R50,FALSE)-HLOOKUP(AC$3,$D$7:$P$336,$R50,FALSE)</f>
        <v>103</v>
      </c>
      <c r="AD50" s="60">
        <f ca="1">100+HLOOKUP(AD$4,$D$7:$P$336,$R50,FALSE)-HLOOKUP(AD$3,$D$7:$P$336,$R50,FALSE)</f>
        <v>109</v>
      </c>
      <c r="AE50" s="60">
        <f ca="1">100+HLOOKUP(AE$4,$D$7:$P$336,$R50,FALSE)-HLOOKUP(AE$3,$D$7:$P$336,$R50,FALSE)</f>
        <v>104</v>
      </c>
      <c r="AF50" s="60">
        <f ca="1">100+HLOOKUP(AF$4,$D$7:$P$336,$R50,FALSE)-HLOOKUP(AF$3,$D$7:$P$336,$R50,FALSE)</f>
        <v>97</v>
      </c>
      <c r="AG50" s="60">
        <f ca="1">100+HLOOKUP(AG$4,$D$7:$P$336,$R50,FALSE)-HLOOKUP(AG$3,$D$7:$P$336,$R50,FALSE)</f>
        <v>90</v>
      </c>
      <c r="AH50" s="60" t="e">
        <f>100+HLOOKUP(AH$4,$D$7:$P$336,$R50,FALSE)-HLOOKUP(AH$3,$D$7:$P$336,$R50,FALSE)</f>
        <v>#N/A</v>
      </c>
      <c r="AI50" s="60" t="e">
        <f>100+HLOOKUP(AI$4,$D$7:$P$336,$R50,FALSE)-HLOOKUP(AI$3,$D$7:$P$336,$R50,FALSE)</f>
        <v>#N/A</v>
      </c>
      <c r="AJ50" s="60" t="e">
        <f>100+HLOOKUP(AJ$4,$D$7:$P$336,$R50,FALSE)-HLOOKUP(AJ$3,$D$7:$P$336,$R50,FALSE)</f>
        <v>#N/A</v>
      </c>
      <c r="AK50" s="60" t="e">
        <f>100+HLOOKUP(AK$4,$D$7:$P$336,$R50,FALSE)-HLOOKUP(AK$3,$D$7:$P$336,$R50,FALSE)</f>
        <v>#N/A</v>
      </c>
      <c r="AL50" s="60" t="e">
        <f>100+HLOOKUP(AL$4,$D$7:$P$336,$R50,FALSE)-HLOOKUP(AL$3,$D$7:$P$336,$R50,FALSE)</f>
        <v>#N/A</v>
      </c>
      <c r="AM50" s="60" t="e">
        <f>100+HLOOKUP(AM$4,$D$7:$P$336,$R50,FALSE)-HLOOKUP(AM$3,$D$7:$P$336,$R50,FALSE)</f>
        <v>#N/A</v>
      </c>
      <c r="AN50" s="60" t="e">
        <f>100+HLOOKUP(AN$4,$D$7:$P$336,$R50,FALSE)-HLOOKUP(AN$3,$D$7:$P$336,$R50,FALSE)</f>
        <v>#N/A</v>
      </c>
      <c r="AO50" s="60" t="e">
        <f>100+HLOOKUP(AO$4,$D$7:$P$336,$R50,FALSE)-HLOOKUP(AO$3,$D$7:$P$336,$R50,FALSE)</f>
        <v>#N/A</v>
      </c>
      <c r="AP50" s="60" t="e">
        <f>100+HLOOKUP(AP$4,$D$7:$P$336,$R50,FALSE)-HLOOKUP(AP$3,$D$7:$P$336,$R50,FALSE)</f>
        <v>#N/A</v>
      </c>
      <c r="AQ50" s="60" t="e">
        <f>100+HLOOKUP(AQ$4,$D$7:$P$336,$R50,FALSE)-HLOOKUP(AQ$3,$D$7:$P$336,$R50,FALSE)</f>
        <v>#N/A</v>
      </c>
      <c r="AV50" s="60">
        <f ca="1">AV$5-S50</f>
        <v>10.190399426796432</v>
      </c>
      <c r="AW50" s="60">
        <f ca="1">AW$5-T50</f>
        <v>2.2206505297577479</v>
      </c>
      <c r="AX50" s="60">
        <f ca="1">AX$5-U50</f>
        <v>1.7759154036680513</v>
      </c>
      <c r="AY50" s="60">
        <f ca="1">AY$5-V50</f>
        <v>3.6030144015278012</v>
      </c>
      <c r="AZ50" s="60">
        <f ca="1">AZ$5-W50</f>
        <v>1.4544821725960304</v>
      </c>
      <c r="BA50" s="60">
        <f ca="1">BA$5-X50</f>
        <v>5.4650590589827033</v>
      </c>
      <c r="BB50" s="60">
        <f ca="1">BB$5-Y50</f>
        <v>1.3505927273811267</v>
      </c>
      <c r="BC50" s="60">
        <f ca="1">BC$5-Z50</f>
        <v>7.4374659098821638</v>
      </c>
      <c r="BD50" s="60">
        <f ca="1">BD$5-AA50</f>
        <v>7.936518664382362</v>
      </c>
      <c r="BE50" s="60">
        <f ca="1">BE$5-AB50</f>
        <v>-4.170609408007806</v>
      </c>
      <c r="BF50" s="60">
        <f ca="1">BF$5-AC50</f>
        <v>-1.9826956835229197</v>
      </c>
      <c r="BG50" s="60">
        <f ca="1">BG$5-AD50</f>
        <v>-5.0147412949814907</v>
      </c>
      <c r="BH50" s="60">
        <f ca="1">BH$5-AE50</f>
        <v>-5.0454077696324333</v>
      </c>
      <c r="BI50" s="60">
        <f ca="1">BI$5-AF50</f>
        <v>-6.3914944887451952</v>
      </c>
      <c r="BJ50" s="60">
        <f ca="1">BJ$5-AG50</f>
        <v>1.43955105767877</v>
      </c>
      <c r="BK50" s="60" t="e">
        <f>BK$5-AH50</f>
        <v>#N/A</v>
      </c>
      <c r="BL50" s="60" t="e">
        <f>BL$5-AI50</f>
        <v>#N/A</v>
      </c>
      <c r="BM50" s="60" t="e">
        <f>BM$5-AJ50</f>
        <v>#N/A</v>
      </c>
      <c r="BN50" s="60" t="e">
        <f>BN$5-AK50</f>
        <v>#N/A</v>
      </c>
      <c r="BO50" s="60" t="e">
        <f>BO$5-AL50</f>
        <v>#N/A</v>
      </c>
      <c r="BP50" s="60" t="e">
        <f>BP$5-AM50</f>
        <v>#N/A</v>
      </c>
      <c r="BQ50" s="60" t="e">
        <f>BQ$5-AN50</f>
        <v>#N/A</v>
      </c>
      <c r="BR50" s="60" t="e">
        <f>BR$5-AO50</f>
        <v>#N/A</v>
      </c>
      <c r="BS50" s="60" t="e">
        <f>BS$5-AP50</f>
        <v>#N/A</v>
      </c>
      <c r="BT50" s="60" t="e">
        <f>BT$5-AQ50</f>
        <v>#N/A</v>
      </c>
      <c r="BV50" s="60" cm="1">
        <f t="array" aca="1" ref="BV50" ca="1">SQRT(SUMSQ(_xlfn._xlws.FILTER(AV50:BT50,ISNUMBER(AV50:BT50)))/COUNT(_xlfn._xlws.FILTER(AV50:BT50,ISNUMBER(AV50:BT50))))</f>
        <v>5.1112567190372324</v>
      </c>
    </row>
    <row r="51" spans="3:74" x14ac:dyDescent="0.2">
      <c r="C51" s="60" t="s">
        <v>230</v>
      </c>
      <c r="D51" s="60">
        <v>0</v>
      </c>
      <c r="E51" s="60">
        <v>-7</v>
      </c>
      <c r="F51" s="60">
        <v>-2</v>
      </c>
      <c r="G51" s="60">
        <v>-9</v>
      </c>
      <c r="H51" s="60">
        <v>-4</v>
      </c>
      <c r="I51" s="60">
        <v>-11</v>
      </c>
      <c r="J51" s="60">
        <v>-6</v>
      </c>
      <c r="K51" s="60">
        <v>-1</v>
      </c>
      <c r="L51" s="60">
        <v>-8</v>
      </c>
      <c r="M51" s="60">
        <v>-3</v>
      </c>
      <c r="N51" s="60">
        <v>-10</v>
      </c>
      <c r="O51" s="60">
        <v>-5</v>
      </c>
      <c r="P51" s="60">
        <v>0</v>
      </c>
      <c r="R51" s="61">
        <f>(ROW(R51)-ROW($C$6))</f>
        <v>45</v>
      </c>
      <c r="S51" s="60">
        <f ca="1">100+HLOOKUP(S$4,$D$7:$P$336,$R51,FALSE)-HLOOKUP(S$3,$D$7:$P$336,$R51,FALSE)</f>
        <v>99</v>
      </c>
      <c r="T51" s="60">
        <f ca="1">100+HLOOKUP(T$4,$D$7:$P$336,$R51,FALSE)-HLOOKUP(T$3,$D$7:$P$336,$R51,FALSE)</f>
        <v>99</v>
      </c>
      <c r="U51" s="60">
        <f ca="1">100+HLOOKUP(U$4,$D$7:$P$336,$R51,FALSE)-HLOOKUP(U$3,$D$7:$P$336,$R51,FALSE)</f>
        <v>99</v>
      </c>
      <c r="V51" s="60">
        <f ca="1">100+HLOOKUP(V$4,$D$7:$P$336,$R51,FALSE)-HLOOKUP(V$3,$D$7:$P$336,$R51,FALSE)</f>
        <v>99</v>
      </c>
      <c r="W51" s="60">
        <f ca="1">100+HLOOKUP(W$4,$D$7:$P$336,$R51,FALSE)-HLOOKUP(W$3,$D$7:$P$336,$R51,FALSE)</f>
        <v>99</v>
      </c>
      <c r="X51" s="60">
        <f ca="1">100+HLOOKUP(X$4,$D$7:$P$336,$R51,FALSE)-HLOOKUP(X$3,$D$7:$P$336,$R51,FALSE)</f>
        <v>99</v>
      </c>
      <c r="Y51" s="60">
        <f ca="1">100+HLOOKUP(Y$4,$D$7:$P$336,$R51,FALSE)-HLOOKUP(Y$3,$D$7:$P$336,$R51,FALSE)</f>
        <v>99</v>
      </c>
      <c r="Z51" s="60">
        <f ca="1">100+HLOOKUP(Z$4,$D$7:$P$336,$R51,FALSE)-HLOOKUP(Z$3,$D$7:$P$336,$R51,FALSE)</f>
        <v>99</v>
      </c>
      <c r="AA51" s="60">
        <f ca="1">100+HLOOKUP(AA$4,$D$7:$P$336,$R51,FALSE)-HLOOKUP(AA$3,$D$7:$P$336,$R51,FALSE)</f>
        <v>99</v>
      </c>
      <c r="AB51" s="60">
        <f ca="1">100+HLOOKUP(AB$4,$D$7:$P$336,$R51,FALSE)-HLOOKUP(AB$3,$D$7:$P$336,$R51,FALSE)</f>
        <v>99</v>
      </c>
      <c r="AC51" s="60">
        <f ca="1">100+HLOOKUP(AC$4,$D$7:$P$336,$R51,FALSE)-HLOOKUP(AC$3,$D$7:$P$336,$R51,FALSE)</f>
        <v>99</v>
      </c>
      <c r="AD51" s="60">
        <f ca="1">100+HLOOKUP(AD$4,$D$7:$P$336,$R51,FALSE)-HLOOKUP(AD$3,$D$7:$P$336,$R51,FALSE)</f>
        <v>99</v>
      </c>
      <c r="AE51" s="60">
        <f ca="1">100+HLOOKUP(AE$4,$D$7:$P$336,$R51,FALSE)-HLOOKUP(AE$3,$D$7:$P$336,$R51,FALSE)</f>
        <v>99</v>
      </c>
      <c r="AF51" s="60">
        <f ca="1">100+HLOOKUP(AF$4,$D$7:$P$336,$R51,FALSE)-HLOOKUP(AF$3,$D$7:$P$336,$R51,FALSE)</f>
        <v>99</v>
      </c>
      <c r="AG51" s="60">
        <f ca="1">100+HLOOKUP(AG$4,$D$7:$P$336,$R51,FALSE)-HLOOKUP(AG$3,$D$7:$P$336,$R51,FALSE)</f>
        <v>99</v>
      </c>
      <c r="AH51" s="60" t="e">
        <f>100+HLOOKUP(AH$4,$D$7:$P$336,$R51,FALSE)-HLOOKUP(AH$3,$D$7:$P$336,$R51,FALSE)</f>
        <v>#N/A</v>
      </c>
      <c r="AI51" s="60" t="e">
        <f>100+HLOOKUP(AI$4,$D$7:$P$336,$R51,FALSE)-HLOOKUP(AI$3,$D$7:$P$336,$R51,FALSE)</f>
        <v>#N/A</v>
      </c>
      <c r="AJ51" s="60" t="e">
        <f>100+HLOOKUP(AJ$4,$D$7:$P$336,$R51,FALSE)-HLOOKUP(AJ$3,$D$7:$P$336,$R51,FALSE)</f>
        <v>#N/A</v>
      </c>
      <c r="AK51" s="60" t="e">
        <f>100+HLOOKUP(AK$4,$D$7:$P$336,$R51,FALSE)-HLOOKUP(AK$3,$D$7:$P$336,$R51,FALSE)</f>
        <v>#N/A</v>
      </c>
      <c r="AL51" s="60" t="e">
        <f>100+HLOOKUP(AL$4,$D$7:$P$336,$R51,FALSE)-HLOOKUP(AL$3,$D$7:$P$336,$R51,FALSE)</f>
        <v>#N/A</v>
      </c>
      <c r="AM51" s="60" t="e">
        <f>100+HLOOKUP(AM$4,$D$7:$P$336,$R51,FALSE)-HLOOKUP(AM$3,$D$7:$P$336,$R51,FALSE)</f>
        <v>#N/A</v>
      </c>
      <c r="AN51" s="60" t="e">
        <f>100+HLOOKUP(AN$4,$D$7:$P$336,$R51,FALSE)-HLOOKUP(AN$3,$D$7:$P$336,$R51,FALSE)</f>
        <v>#N/A</v>
      </c>
      <c r="AO51" s="60" t="e">
        <f>100+HLOOKUP(AO$4,$D$7:$P$336,$R51,FALSE)-HLOOKUP(AO$3,$D$7:$P$336,$R51,FALSE)</f>
        <v>#N/A</v>
      </c>
      <c r="AP51" s="60" t="e">
        <f>100+HLOOKUP(AP$4,$D$7:$P$336,$R51,FALSE)-HLOOKUP(AP$3,$D$7:$P$336,$R51,FALSE)</f>
        <v>#N/A</v>
      </c>
      <c r="AQ51" s="60" t="e">
        <f>100+HLOOKUP(AQ$4,$D$7:$P$336,$R51,FALSE)-HLOOKUP(AQ$3,$D$7:$P$336,$R51,FALSE)</f>
        <v>#N/A</v>
      </c>
      <c r="AV51" s="60">
        <f ca="1">AV$5-S51</f>
        <v>4.1903994267964322</v>
      </c>
      <c r="AW51" s="60">
        <f ca="1">AW$5-T51</f>
        <v>-4.7793494702422521</v>
      </c>
      <c r="AX51" s="60">
        <f ca="1">AX$5-U51</f>
        <v>2.7759154036680513</v>
      </c>
      <c r="AY51" s="60">
        <f ca="1">AY$5-V51</f>
        <v>-5.3969855984721988</v>
      </c>
      <c r="AZ51" s="60">
        <f ca="1">AZ$5-W51</f>
        <v>-1.5455178274039696</v>
      </c>
      <c r="BA51" s="60">
        <f ca="1">BA$5-X51</f>
        <v>-0.53494094101729672</v>
      </c>
      <c r="BB51" s="60">
        <f ca="1">BB$5-Y51</f>
        <v>-5.6494072726188733</v>
      </c>
      <c r="BC51" s="60">
        <f ca="1">BC$5-Z51</f>
        <v>8.4374659098821638</v>
      </c>
      <c r="BD51" s="60">
        <f ca="1">BD$5-AA51</f>
        <v>-1.063481335617638</v>
      </c>
      <c r="BE51" s="60">
        <f ca="1">BE$5-AB51</f>
        <v>-7.170609408007806</v>
      </c>
      <c r="BF51" s="60">
        <f ca="1">BF$5-AC51</f>
        <v>2.0173043164770803</v>
      </c>
      <c r="BG51" s="60">
        <f ca="1">BG$5-AD51</f>
        <v>4.9852587050185093</v>
      </c>
      <c r="BH51" s="60">
        <f ca="1">BH$5-AE51</f>
        <v>-4.5407769632433315E-2</v>
      </c>
      <c r="BI51" s="60">
        <f ca="1">BI$5-AF51</f>
        <v>-8.3914944887451952</v>
      </c>
      <c r="BJ51" s="60">
        <f ca="1">BJ$5-AG51</f>
        <v>-7.56044894232123</v>
      </c>
      <c r="BK51" s="60" t="e">
        <f>BK$5-AH51</f>
        <v>#N/A</v>
      </c>
      <c r="BL51" s="60" t="e">
        <f>BL$5-AI51</f>
        <v>#N/A</v>
      </c>
      <c r="BM51" s="60" t="e">
        <f>BM$5-AJ51</f>
        <v>#N/A</v>
      </c>
      <c r="BN51" s="60" t="e">
        <f>BN$5-AK51</f>
        <v>#N/A</v>
      </c>
      <c r="BO51" s="60" t="e">
        <f>BO$5-AL51</f>
        <v>#N/A</v>
      </c>
      <c r="BP51" s="60" t="e">
        <f>BP$5-AM51</f>
        <v>#N/A</v>
      </c>
      <c r="BQ51" s="60" t="e">
        <f>BQ$5-AN51</f>
        <v>#N/A</v>
      </c>
      <c r="BR51" s="60" t="e">
        <f>BR$5-AO51</f>
        <v>#N/A</v>
      </c>
      <c r="BS51" s="60" t="e">
        <f>BS$5-AP51</f>
        <v>#N/A</v>
      </c>
      <c r="BT51" s="60" t="e">
        <f>BT$5-AQ51</f>
        <v>#N/A</v>
      </c>
      <c r="BV51" s="60" cm="1">
        <f t="array" aca="1" ref="BV51" ca="1">SQRT(SUMSQ(_xlfn._xlws.FILTER(AV51:BT51,ISNUMBER(AV51:BT51)))/COUNT(_xlfn._xlws.FILTER(AV51:BT51,ISNUMBER(AV51:BT51))))</f>
        <v>5.1125127024785533</v>
      </c>
    </row>
    <row r="52" spans="3:74" x14ac:dyDescent="0.2">
      <c r="C52" s="60" t="s">
        <v>362</v>
      </c>
      <c r="D52" s="60">
        <v>0</v>
      </c>
      <c r="E52" s="60">
        <v>-1</v>
      </c>
      <c r="F52" s="60">
        <v>-3</v>
      </c>
      <c r="G52" s="60">
        <v>-4</v>
      </c>
      <c r="H52" s="60">
        <v>-6</v>
      </c>
      <c r="I52" s="60">
        <v>-7</v>
      </c>
      <c r="J52" s="60">
        <v>-5</v>
      </c>
      <c r="K52" s="60">
        <v>-7</v>
      </c>
      <c r="L52" s="60">
        <v>-5</v>
      </c>
      <c r="M52" s="60">
        <v>-3</v>
      </c>
      <c r="N52" s="60">
        <v>-1</v>
      </c>
      <c r="O52" s="60">
        <v>1</v>
      </c>
      <c r="P52" s="60">
        <v>0</v>
      </c>
      <c r="R52" s="61">
        <f>(ROW(R52)-ROW($C$6))</f>
        <v>46</v>
      </c>
      <c r="S52" s="60">
        <f ca="1">100+HLOOKUP(S$4,$D$7:$P$336,$R52,FALSE)-HLOOKUP(S$3,$D$7:$P$336,$R52,FALSE)</f>
        <v>97</v>
      </c>
      <c r="T52" s="60">
        <f ca="1">100+HLOOKUP(T$4,$D$7:$P$336,$R52,FALSE)-HLOOKUP(T$3,$D$7:$P$336,$R52,FALSE)</f>
        <v>94</v>
      </c>
      <c r="U52" s="60">
        <f ca="1">100+HLOOKUP(U$4,$D$7:$P$336,$R52,FALSE)-HLOOKUP(U$3,$D$7:$P$336,$R52,FALSE)</f>
        <v>96</v>
      </c>
      <c r="V52" s="60">
        <f ca="1">100+HLOOKUP(V$4,$D$7:$P$336,$R52,FALSE)-HLOOKUP(V$3,$D$7:$P$336,$R52,FALSE)</f>
        <v>94</v>
      </c>
      <c r="W52" s="60">
        <f ca="1">100+HLOOKUP(W$4,$D$7:$P$336,$R52,FALSE)-HLOOKUP(W$3,$D$7:$P$336,$R52,FALSE)</f>
        <v>93</v>
      </c>
      <c r="X52" s="60">
        <f ca="1">100+HLOOKUP(X$4,$D$7:$P$336,$R52,FALSE)-HLOOKUP(X$3,$D$7:$P$336,$R52,FALSE)</f>
        <v>97</v>
      </c>
      <c r="Y52" s="60">
        <f ca="1">100+HLOOKUP(Y$4,$D$7:$P$336,$R52,FALSE)-HLOOKUP(Y$3,$D$7:$P$336,$R52,FALSE)</f>
        <v>94</v>
      </c>
      <c r="Z52" s="60">
        <f ca="1">100+HLOOKUP(Z$4,$D$7:$P$336,$R52,FALSE)-HLOOKUP(Z$3,$D$7:$P$336,$R52,FALSE)</f>
        <v>96</v>
      </c>
      <c r="AA52" s="60">
        <f ca="1">100+HLOOKUP(AA$4,$D$7:$P$336,$R52,FALSE)-HLOOKUP(AA$3,$D$7:$P$336,$R52,FALSE)</f>
        <v>94</v>
      </c>
      <c r="AB52" s="60">
        <f ca="1">100+HLOOKUP(AB$4,$D$7:$P$336,$R52,FALSE)-HLOOKUP(AB$3,$D$7:$P$336,$R52,FALSE)</f>
        <v>93</v>
      </c>
      <c r="AC52" s="60">
        <f ca="1">100+HLOOKUP(AC$4,$D$7:$P$336,$R52,FALSE)-HLOOKUP(AC$3,$D$7:$P$336,$R52,FALSE)</f>
        <v>100</v>
      </c>
      <c r="AD52" s="60">
        <f ca="1">100+HLOOKUP(AD$4,$D$7:$P$336,$R52,FALSE)-HLOOKUP(AD$3,$D$7:$P$336,$R52,FALSE)</f>
        <v>107</v>
      </c>
      <c r="AE52" s="60">
        <f ca="1">100+HLOOKUP(AE$4,$D$7:$P$336,$R52,FALSE)-HLOOKUP(AE$3,$D$7:$P$336,$R52,FALSE)</f>
        <v>104</v>
      </c>
      <c r="AF52" s="60">
        <f ca="1">100+HLOOKUP(AF$4,$D$7:$P$336,$R52,FALSE)-HLOOKUP(AF$3,$D$7:$P$336,$R52,FALSE)</f>
        <v>101</v>
      </c>
      <c r="AG52" s="60">
        <f ca="1">100+HLOOKUP(AG$4,$D$7:$P$336,$R52,FALSE)-HLOOKUP(AG$3,$D$7:$P$336,$R52,FALSE)</f>
        <v>94</v>
      </c>
      <c r="AH52" s="60" t="e">
        <f>100+HLOOKUP(AH$4,$D$7:$P$336,$R52,FALSE)-HLOOKUP(AH$3,$D$7:$P$336,$R52,FALSE)</f>
        <v>#N/A</v>
      </c>
      <c r="AI52" s="60" t="e">
        <f>100+HLOOKUP(AI$4,$D$7:$P$336,$R52,FALSE)-HLOOKUP(AI$3,$D$7:$P$336,$R52,FALSE)</f>
        <v>#N/A</v>
      </c>
      <c r="AJ52" s="60" t="e">
        <f>100+HLOOKUP(AJ$4,$D$7:$P$336,$R52,FALSE)-HLOOKUP(AJ$3,$D$7:$P$336,$R52,FALSE)</f>
        <v>#N/A</v>
      </c>
      <c r="AK52" s="60" t="e">
        <f>100+HLOOKUP(AK$4,$D$7:$P$336,$R52,FALSE)-HLOOKUP(AK$3,$D$7:$P$336,$R52,FALSE)</f>
        <v>#N/A</v>
      </c>
      <c r="AL52" s="60" t="e">
        <f>100+HLOOKUP(AL$4,$D$7:$P$336,$R52,FALSE)-HLOOKUP(AL$3,$D$7:$P$336,$R52,FALSE)</f>
        <v>#N/A</v>
      </c>
      <c r="AM52" s="60" t="e">
        <f>100+HLOOKUP(AM$4,$D$7:$P$336,$R52,FALSE)-HLOOKUP(AM$3,$D$7:$P$336,$R52,FALSE)</f>
        <v>#N/A</v>
      </c>
      <c r="AN52" s="60" t="e">
        <f>100+HLOOKUP(AN$4,$D$7:$P$336,$R52,FALSE)-HLOOKUP(AN$3,$D$7:$P$336,$R52,FALSE)</f>
        <v>#N/A</v>
      </c>
      <c r="AO52" s="60" t="e">
        <f>100+HLOOKUP(AO$4,$D$7:$P$336,$R52,FALSE)-HLOOKUP(AO$3,$D$7:$P$336,$R52,FALSE)</f>
        <v>#N/A</v>
      </c>
      <c r="AP52" s="60" t="e">
        <f>100+HLOOKUP(AP$4,$D$7:$P$336,$R52,FALSE)-HLOOKUP(AP$3,$D$7:$P$336,$R52,FALSE)</f>
        <v>#N/A</v>
      </c>
      <c r="AQ52" s="60" t="e">
        <f>100+HLOOKUP(AQ$4,$D$7:$P$336,$R52,FALSE)-HLOOKUP(AQ$3,$D$7:$P$336,$R52,FALSE)</f>
        <v>#N/A</v>
      </c>
      <c r="AV52" s="60">
        <f ca="1">AV$5-S52</f>
        <v>6.1903994267964322</v>
      </c>
      <c r="AW52" s="60">
        <f ca="1">AW$5-T52</f>
        <v>0.2206505297577479</v>
      </c>
      <c r="AX52" s="60">
        <f ca="1">AX$5-U52</f>
        <v>5.7759154036680513</v>
      </c>
      <c r="AY52" s="60">
        <f ca="1">AY$5-V52</f>
        <v>-0.39698559847219883</v>
      </c>
      <c r="AZ52" s="60">
        <f ca="1">AZ$5-W52</f>
        <v>4.4544821725960304</v>
      </c>
      <c r="BA52" s="60">
        <f ca="1">BA$5-X52</f>
        <v>1.4650590589827033</v>
      </c>
      <c r="BB52" s="60">
        <f ca="1">BB$5-Y52</f>
        <v>-0.64940727261887332</v>
      </c>
      <c r="BC52" s="60">
        <f ca="1">BC$5-Z52</f>
        <v>11.437465909882164</v>
      </c>
      <c r="BD52" s="60">
        <f ca="1">BD$5-AA52</f>
        <v>3.936518664382362</v>
      </c>
      <c r="BE52" s="60">
        <f ca="1">BE$5-AB52</f>
        <v>-1.170609408007806</v>
      </c>
      <c r="BF52" s="60">
        <f ca="1">BF$5-AC52</f>
        <v>1.0173043164770803</v>
      </c>
      <c r="BG52" s="60">
        <f ca="1">BG$5-AD52</f>
        <v>-3.0147412949814907</v>
      </c>
      <c r="BH52" s="60">
        <f ca="1">BH$5-AE52</f>
        <v>-5.0454077696324333</v>
      </c>
      <c r="BI52" s="60">
        <f ca="1">BI$5-AF52</f>
        <v>-10.391494488745195</v>
      </c>
      <c r="BJ52" s="60">
        <f ca="1">BJ$5-AG52</f>
        <v>-2.56044894232123</v>
      </c>
      <c r="BK52" s="60" t="e">
        <f>BK$5-AH52</f>
        <v>#N/A</v>
      </c>
      <c r="BL52" s="60" t="e">
        <f>BL$5-AI52</f>
        <v>#N/A</v>
      </c>
      <c r="BM52" s="60" t="e">
        <f>BM$5-AJ52</f>
        <v>#N/A</v>
      </c>
      <c r="BN52" s="60" t="e">
        <f>BN$5-AK52</f>
        <v>#N/A</v>
      </c>
      <c r="BO52" s="60" t="e">
        <f>BO$5-AL52</f>
        <v>#N/A</v>
      </c>
      <c r="BP52" s="60" t="e">
        <f>BP$5-AM52</f>
        <v>#N/A</v>
      </c>
      <c r="BQ52" s="60" t="e">
        <f>BQ$5-AN52</f>
        <v>#N/A</v>
      </c>
      <c r="BR52" s="60" t="e">
        <f>BR$5-AO52</f>
        <v>#N/A</v>
      </c>
      <c r="BS52" s="60" t="e">
        <f>BS$5-AP52</f>
        <v>#N/A</v>
      </c>
      <c r="BT52" s="60" t="e">
        <f>BT$5-AQ52</f>
        <v>#N/A</v>
      </c>
      <c r="BV52" s="60" cm="1">
        <f t="array" aca="1" ref="BV52" ca="1">SQRT(SUMSQ(_xlfn._xlws.FILTER(AV52:BT52,ISNUMBER(AV52:BT52)))/COUNT(_xlfn._xlws.FILTER(AV52:BT52,ISNUMBER(AV52:BT52))))</f>
        <v>5.1127290073559077</v>
      </c>
    </row>
    <row r="53" spans="3:74" x14ac:dyDescent="0.2">
      <c r="C53" s="60" t="s">
        <v>211</v>
      </c>
      <c r="D53" s="60">
        <v>0</v>
      </c>
      <c r="E53" s="60">
        <v>-1</v>
      </c>
      <c r="F53" s="60">
        <v>-1</v>
      </c>
      <c r="G53" s="60">
        <v>-2</v>
      </c>
      <c r="H53" s="60">
        <v>-3</v>
      </c>
      <c r="I53" s="60">
        <v>-3</v>
      </c>
      <c r="J53" s="60">
        <v>-3</v>
      </c>
      <c r="K53" s="60">
        <v>-3</v>
      </c>
      <c r="L53" s="60">
        <v>-3</v>
      </c>
      <c r="M53" s="60">
        <v>-3</v>
      </c>
      <c r="N53" s="60">
        <v>-2</v>
      </c>
      <c r="O53" s="60">
        <v>-1</v>
      </c>
      <c r="P53" s="60">
        <v>0</v>
      </c>
      <c r="R53" s="61">
        <f>(ROW(R53)-ROW($C$6))</f>
        <v>47</v>
      </c>
      <c r="S53" s="60">
        <f ca="1">100+HLOOKUP(S$4,$D$7:$P$336,$R53,FALSE)-HLOOKUP(S$3,$D$7:$P$336,$R53,FALSE)</f>
        <v>100</v>
      </c>
      <c r="T53" s="60">
        <f ca="1">100+HLOOKUP(T$4,$D$7:$P$336,$R53,FALSE)-HLOOKUP(T$3,$D$7:$P$336,$R53,FALSE)</f>
        <v>98</v>
      </c>
      <c r="U53" s="60">
        <f ca="1">100+HLOOKUP(U$4,$D$7:$P$336,$R53,FALSE)-HLOOKUP(U$3,$D$7:$P$336,$R53,FALSE)</f>
        <v>98</v>
      </c>
      <c r="V53" s="60">
        <f ca="1">100+HLOOKUP(V$4,$D$7:$P$336,$R53,FALSE)-HLOOKUP(V$3,$D$7:$P$336,$R53,FALSE)</f>
        <v>99</v>
      </c>
      <c r="W53" s="60">
        <f ca="1">100+HLOOKUP(W$4,$D$7:$P$336,$R53,FALSE)-HLOOKUP(W$3,$D$7:$P$336,$R53,FALSE)</f>
        <v>97</v>
      </c>
      <c r="X53" s="60">
        <f ca="1">100+HLOOKUP(X$4,$D$7:$P$336,$R53,FALSE)-HLOOKUP(X$3,$D$7:$P$336,$R53,FALSE)</f>
        <v>100</v>
      </c>
      <c r="Y53" s="60">
        <f ca="1">100+HLOOKUP(Y$4,$D$7:$P$336,$R53,FALSE)-HLOOKUP(Y$3,$D$7:$P$336,$R53,FALSE)</f>
        <v>98</v>
      </c>
      <c r="Z53" s="60">
        <f ca="1">100+HLOOKUP(Z$4,$D$7:$P$336,$R53,FALSE)-HLOOKUP(Z$3,$D$7:$P$336,$R53,FALSE)</f>
        <v>98</v>
      </c>
      <c r="AA53" s="60">
        <f ca="1">100+HLOOKUP(AA$4,$D$7:$P$336,$R53,FALSE)-HLOOKUP(AA$3,$D$7:$P$336,$R53,FALSE)</f>
        <v>99</v>
      </c>
      <c r="AB53" s="60">
        <f ca="1">100+HLOOKUP(AB$4,$D$7:$P$336,$R53,FALSE)-HLOOKUP(AB$3,$D$7:$P$336,$R53,FALSE)</f>
        <v>97</v>
      </c>
      <c r="AC53" s="60">
        <f ca="1">100+HLOOKUP(AC$4,$D$7:$P$336,$R53,FALSE)-HLOOKUP(AC$3,$D$7:$P$336,$R53,FALSE)</f>
        <v>98</v>
      </c>
      <c r="AD53" s="60">
        <f ca="1">100+HLOOKUP(AD$4,$D$7:$P$336,$R53,FALSE)-HLOOKUP(AD$3,$D$7:$P$336,$R53,FALSE)</f>
        <v>102</v>
      </c>
      <c r="AE53" s="60">
        <f ca="1">100+HLOOKUP(AE$4,$D$7:$P$336,$R53,FALSE)-HLOOKUP(AE$3,$D$7:$P$336,$R53,FALSE)</f>
        <v>102</v>
      </c>
      <c r="AF53" s="60">
        <f ca="1">100+HLOOKUP(AF$4,$D$7:$P$336,$R53,FALSE)-HLOOKUP(AF$3,$D$7:$P$336,$R53,FALSE)</f>
        <v>101</v>
      </c>
      <c r="AG53" s="60">
        <f ca="1">100+HLOOKUP(AG$4,$D$7:$P$336,$R53,FALSE)-HLOOKUP(AG$3,$D$7:$P$336,$R53,FALSE)</f>
        <v>99</v>
      </c>
      <c r="AH53" s="60" t="e">
        <f>100+HLOOKUP(AH$4,$D$7:$P$336,$R53,FALSE)-HLOOKUP(AH$3,$D$7:$P$336,$R53,FALSE)</f>
        <v>#N/A</v>
      </c>
      <c r="AI53" s="60" t="e">
        <f>100+HLOOKUP(AI$4,$D$7:$P$336,$R53,FALSE)-HLOOKUP(AI$3,$D$7:$P$336,$R53,FALSE)</f>
        <v>#N/A</v>
      </c>
      <c r="AJ53" s="60" t="e">
        <f>100+HLOOKUP(AJ$4,$D$7:$P$336,$R53,FALSE)-HLOOKUP(AJ$3,$D$7:$P$336,$R53,FALSE)</f>
        <v>#N/A</v>
      </c>
      <c r="AK53" s="60" t="e">
        <f>100+HLOOKUP(AK$4,$D$7:$P$336,$R53,FALSE)-HLOOKUP(AK$3,$D$7:$P$336,$R53,FALSE)</f>
        <v>#N/A</v>
      </c>
      <c r="AL53" s="60" t="e">
        <f>100+HLOOKUP(AL$4,$D$7:$P$336,$R53,FALSE)-HLOOKUP(AL$3,$D$7:$P$336,$R53,FALSE)</f>
        <v>#N/A</v>
      </c>
      <c r="AM53" s="60" t="e">
        <f>100+HLOOKUP(AM$4,$D$7:$P$336,$R53,FALSE)-HLOOKUP(AM$3,$D$7:$P$336,$R53,FALSE)</f>
        <v>#N/A</v>
      </c>
      <c r="AN53" s="60" t="e">
        <f>100+HLOOKUP(AN$4,$D$7:$P$336,$R53,FALSE)-HLOOKUP(AN$3,$D$7:$P$336,$R53,FALSE)</f>
        <v>#N/A</v>
      </c>
      <c r="AO53" s="60" t="e">
        <f>100+HLOOKUP(AO$4,$D$7:$P$336,$R53,FALSE)-HLOOKUP(AO$3,$D$7:$P$336,$R53,FALSE)</f>
        <v>#N/A</v>
      </c>
      <c r="AP53" s="60" t="e">
        <f>100+HLOOKUP(AP$4,$D$7:$P$336,$R53,FALSE)-HLOOKUP(AP$3,$D$7:$P$336,$R53,FALSE)</f>
        <v>#N/A</v>
      </c>
      <c r="AQ53" s="60" t="e">
        <f>100+HLOOKUP(AQ$4,$D$7:$P$336,$R53,FALSE)-HLOOKUP(AQ$3,$D$7:$P$336,$R53,FALSE)</f>
        <v>#N/A</v>
      </c>
      <c r="AV53" s="60">
        <f ca="1">AV$5-S53</f>
        <v>3.1903994267964322</v>
      </c>
      <c r="AW53" s="60">
        <f ca="1">AW$5-T53</f>
        <v>-3.7793494702422521</v>
      </c>
      <c r="AX53" s="60">
        <f ca="1">AX$5-U53</f>
        <v>3.7759154036680513</v>
      </c>
      <c r="AY53" s="60">
        <f ca="1">AY$5-V53</f>
        <v>-5.3969855984721988</v>
      </c>
      <c r="AZ53" s="60">
        <f ca="1">AZ$5-W53</f>
        <v>0.45448217259603041</v>
      </c>
      <c r="BA53" s="60">
        <f ca="1">BA$5-X53</f>
        <v>-1.5349409410172967</v>
      </c>
      <c r="BB53" s="60">
        <f ca="1">BB$5-Y53</f>
        <v>-4.6494072726188733</v>
      </c>
      <c r="BC53" s="60">
        <f ca="1">BC$5-Z53</f>
        <v>9.4374659098821638</v>
      </c>
      <c r="BD53" s="60">
        <f ca="1">BD$5-AA53</f>
        <v>-1.063481335617638</v>
      </c>
      <c r="BE53" s="60">
        <f ca="1">BE$5-AB53</f>
        <v>-5.170609408007806</v>
      </c>
      <c r="BF53" s="60">
        <f ca="1">BF$5-AC53</f>
        <v>3.0173043164770803</v>
      </c>
      <c r="BG53" s="60">
        <f ca="1">BG$5-AD53</f>
        <v>1.9852587050185093</v>
      </c>
      <c r="BH53" s="60">
        <f ca="1">BH$5-AE53</f>
        <v>-3.0454077696324333</v>
      </c>
      <c r="BI53" s="60">
        <f ca="1">BI$5-AF53</f>
        <v>-10.391494488745195</v>
      </c>
      <c r="BJ53" s="60">
        <f ca="1">BJ$5-AG53</f>
        <v>-7.56044894232123</v>
      </c>
      <c r="BK53" s="60" t="e">
        <f>BK$5-AH53</f>
        <v>#N/A</v>
      </c>
      <c r="BL53" s="60" t="e">
        <f>BL$5-AI53</f>
        <v>#N/A</v>
      </c>
      <c r="BM53" s="60" t="e">
        <f>BM$5-AJ53</f>
        <v>#N/A</v>
      </c>
      <c r="BN53" s="60" t="e">
        <f>BN$5-AK53</f>
        <v>#N/A</v>
      </c>
      <c r="BO53" s="60" t="e">
        <f>BO$5-AL53</f>
        <v>#N/A</v>
      </c>
      <c r="BP53" s="60" t="e">
        <f>BP$5-AM53</f>
        <v>#N/A</v>
      </c>
      <c r="BQ53" s="60" t="e">
        <f>BQ$5-AN53</f>
        <v>#N/A</v>
      </c>
      <c r="BR53" s="60" t="e">
        <f>BR$5-AO53</f>
        <v>#N/A</v>
      </c>
      <c r="BS53" s="60" t="e">
        <f>BS$5-AP53</f>
        <v>#N/A</v>
      </c>
      <c r="BT53" s="60" t="e">
        <f>BT$5-AQ53</f>
        <v>#N/A</v>
      </c>
      <c r="BV53" s="60" cm="1">
        <f t="array" aca="1" ref="BV53" ca="1">SQRT(SUMSQ(_xlfn._xlws.FILTER(AV53:BT53,ISNUMBER(AV53:BT53)))/COUNT(_xlfn._xlws.FILTER(AV53:BT53,ISNUMBER(AV53:BT53))))</f>
        <v>5.1408306475306746</v>
      </c>
    </row>
    <row r="54" spans="3:74" x14ac:dyDescent="0.2">
      <c r="C54" s="60" t="s">
        <v>273</v>
      </c>
      <c r="D54" s="60">
        <v>0</v>
      </c>
      <c r="E54" s="60">
        <v>0</v>
      </c>
      <c r="F54" s="60">
        <v>0</v>
      </c>
      <c r="G54" s="60">
        <v>-2</v>
      </c>
      <c r="H54" s="60">
        <v>2</v>
      </c>
      <c r="I54" s="60">
        <v>2</v>
      </c>
      <c r="J54" s="60">
        <v>0</v>
      </c>
      <c r="K54" s="60">
        <v>0</v>
      </c>
      <c r="L54" s="60">
        <v>0</v>
      </c>
      <c r="M54" s="60">
        <v>-2</v>
      </c>
      <c r="N54" s="60">
        <v>2</v>
      </c>
      <c r="O54" s="60">
        <v>2</v>
      </c>
      <c r="P54" s="60">
        <v>0</v>
      </c>
      <c r="R54" s="61">
        <f>(ROW(R54)-ROW($C$6))</f>
        <v>48</v>
      </c>
      <c r="S54" s="60">
        <f ca="1">100+HLOOKUP(S$4,$D$7:$P$336,$R54,FALSE)-HLOOKUP(S$3,$D$7:$P$336,$R54,FALSE)</f>
        <v>104</v>
      </c>
      <c r="T54" s="60">
        <f ca="1">100+HLOOKUP(T$4,$D$7:$P$336,$R54,FALSE)-HLOOKUP(T$3,$D$7:$P$336,$R54,FALSE)</f>
        <v>98</v>
      </c>
      <c r="U54" s="60">
        <f ca="1">100+HLOOKUP(U$4,$D$7:$P$336,$R54,FALSE)-HLOOKUP(U$3,$D$7:$P$336,$R54,FALSE)</f>
        <v>100</v>
      </c>
      <c r="V54" s="60">
        <f ca="1">100+HLOOKUP(V$4,$D$7:$P$336,$R54,FALSE)-HLOOKUP(V$3,$D$7:$P$336,$R54,FALSE)</f>
        <v>100</v>
      </c>
      <c r="W54" s="60">
        <f ca="1">100+HLOOKUP(W$4,$D$7:$P$336,$R54,FALSE)-HLOOKUP(W$3,$D$7:$P$336,$R54,FALSE)</f>
        <v>100</v>
      </c>
      <c r="X54" s="60">
        <f ca="1">100+HLOOKUP(X$4,$D$7:$P$336,$R54,FALSE)-HLOOKUP(X$3,$D$7:$P$336,$R54,FALSE)</f>
        <v>104</v>
      </c>
      <c r="Y54" s="60">
        <f ca="1">100+HLOOKUP(Y$4,$D$7:$P$336,$R54,FALSE)-HLOOKUP(Y$3,$D$7:$P$336,$R54,FALSE)</f>
        <v>98</v>
      </c>
      <c r="Z54" s="60">
        <f ca="1">100+HLOOKUP(Z$4,$D$7:$P$336,$R54,FALSE)-HLOOKUP(Z$3,$D$7:$P$336,$R54,FALSE)</f>
        <v>100</v>
      </c>
      <c r="AA54" s="60">
        <f ca="1">100+HLOOKUP(AA$4,$D$7:$P$336,$R54,FALSE)-HLOOKUP(AA$3,$D$7:$P$336,$R54,FALSE)</f>
        <v>100</v>
      </c>
      <c r="AB54" s="60">
        <f ca="1">100+HLOOKUP(AB$4,$D$7:$P$336,$R54,FALSE)-HLOOKUP(AB$3,$D$7:$P$336,$R54,FALSE)</f>
        <v>100</v>
      </c>
      <c r="AC54" s="60">
        <f ca="1">100+HLOOKUP(AC$4,$D$7:$P$336,$R54,FALSE)-HLOOKUP(AC$3,$D$7:$P$336,$R54,FALSE)</f>
        <v>98</v>
      </c>
      <c r="AD54" s="60">
        <f ca="1">100+HLOOKUP(AD$4,$D$7:$P$336,$R54,FALSE)-HLOOKUP(AD$3,$D$7:$P$336,$R54,FALSE)</f>
        <v>100</v>
      </c>
      <c r="AE54" s="60">
        <f ca="1">100+HLOOKUP(AE$4,$D$7:$P$336,$R54,FALSE)-HLOOKUP(AE$3,$D$7:$P$336,$R54,FALSE)</f>
        <v>100</v>
      </c>
      <c r="AF54" s="60">
        <f ca="1">100+HLOOKUP(AF$4,$D$7:$P$336,$R54,FALSE)-HLOOKUP(AF$3,$D$7:$P$336,$R54,FALSE)</f>
        <v>98</v>
      </c>
      <c r="AG54" s="60">
        <f ca="1">100+HLOOKUP(AG$4,$D$7:$P$336,$R54,FALSE)-HLOOKUP(AG$3,$D$7:$P$336,$R54,FALSE)</f>
        <v>100</v>
      </c>
      <c r="AH54" s="60" t="e">
        <f>100+HLOOKUP(AH$4,$D$7:$P$336,$R54,FALSE)-HLOOKUP(AH$3,$D$7:$P$336,$R54,FALSE)</f>
        <v>#N/A</v>
      </c>
      <c r="AI54" s="60" t="e">
        <f>100+HLOOKUP(AI$4,$D$7:$P$336,$R54,FALSE)-HLOOKUP(AI$3,$D$7:$P$336,$R54,FALSE)</f>
        <v>#N/A</v>
      </c>
      <c r="AJ54" s="60" t="e">
        <f>100+HLOOKUP(AJ$4,$D$7:$P$336,$R54,FALSE)-HLOOKUP(AJ$3,$D$7:$P$336,$R54,FALSE)</f>
        <v>#N/A</v>
      </c>
      <c r="AK54" s="60" t="e">
        <f>100+HLOOKUP(AK$4,$D$7:$P$336,$R54,FALSE)-HLOOKUP(AK$3,$D$7:$P$336,$R54,FALSE)</f>
        <v>#N/A</v>
      </c>
      <c r="AL54" s="60" t="e">
        <f>100+HLOOKUP(AL$4,$D$7:$P$336,$R54,FALSE)-HLOOKUP(AL$3,$D$7:$P$336,$R54,FALSE)</f>
        <v>#N/A</v>
      </c>
      <c r="AM54" s="60" t="e">
        <f>100+HLOOKUP(AM$4,$D$7:$P$336,$R54,FALSE)-HLOOKUP(AM$3,$D$7:$P$336,$R54,FALSE)</f>
        <v>#N/A</v>
      </c>
      <c r="AN54" s="60" t="e">
        <f>100+HLOOKUP(AN$4,$D$7:$P$336,$R54,FALSE)-HLOOKUP(AN$3,$D$7:$P$336,$R54,FALSE)</f>
        <v>#N/A</v>
      </c>
      <c r="AO54" s="60" t="e">
        <f>100+HLOOKUP(AO$4,$D$7:$P$336,$R54,FALSE)-HLOOKUP(AO$3,$D$7:$P$336,$R54,FALSE)</f>
        <v>#N/A</v>
      </c>
      <c r="AP54" s="60" t="e">
        <f>100+HLOOKUP(AP$4,$D$7:$P$336,$R54,FALSE)-HLOOKUP(AP$3,$D$7:$P$336,$R54,FALSE)</f>
        <v>#N/A</v>
      </c>
      <c r="AQ54" s="60" t="e">
        <f>100+HLOOKUP(AQ$4,$D$7:$P$336,$R54,FALSE)-HLOOKUP(AQ$3,$D$7:$P$336,$R54,FALSE)</f>
        <v>#N/A</v>
      </c>
      <c r="AV54" s="60">
        <f ca="1">AV$5-S54</f>
        <v>-0.80960057320356782</v>
      </c>
      <c r="AW54" s="60">
        <f ca="1">AW$5-T54</f>
        <v>-3.7793494702422521</v>
      </c>
      <c r="AX54" s="60">
        <f ca="1">AX$5-U54</f>
        <v>1.7759154036680513</v>
      </c>
      <c r="AY54" s="60">
        <f ca="1">AY$5-V54</f>
        <v>-6.3969855984721988</v>
      </c>
      <c r="AZ54" s="60">
        <f ca="1">AZ$5-W54</f>
        <v>-2.5455178274039696</v>
      </c>
      <c r="BA54" s="60">
        <f ca="1">BA$5-X54</f>
        <v>-5.5349409410172967</v>
      </c>
      <c r="BB54" s="60">
        <f ca="1">BB$5-Y54</f>
        <v>-4.6494072726188733</v>
      </c>
      <c r="BC54" s="60">
        <f ca="1">BC$5-Z54</f>
        <v>7.4374659098821638</v>
      </c>
      <c r="BD54" s="60">
        <f ca="1">BD$5-AA54</f>
        <v>-2.063481335617638</v>
      </c>
      <c r="BE54" s="60">
        <f ca="1">BE$5-AB54</f>
        <v>-8.170609408007806</v>
      </c>
      <c r="BF54" s="60">
        <f ca="1">BF$5-AC54</f>
        <v>3.0173043164770803</v>
      </c>
      <c r="BG54" s="60">
        <f ca="1">BG$5-AD54</f>
        <v>3.9852587050185093</v>
      </c>
      <c r="BH54" s="60">
        <f ca="1">BH$5-AE54</f>
        <v>-1.0454077696324333</v>
      </c>
      <c r="BI54" s="60">
        <f ca="1">BI$5-AF54</f>
        <v>-7.3914944887451952</v>
      </c>
      <c r="BJ54" s="60">
        <f ca="1">BJ$5-AG54</f>
        <v>-8.56044894232123</v>
      </c>
      <c r="BK54" s="60" t="e">
        <f>BK$5-AH54</f>
        <v>#N/A</v>
      </c>
      <c r="BL54" s="60" t="e">
        <f>BL$5-AI54</f>
        <v>#N/A</v>
      </c>
      <c r="BM54" s="60" t="e">
        <f>BM$5-AJ54</f>
        <v>#N/A</v>
      </c>
      <c r="BN54" s="60" t="e">
        <f>BN$5-AK54</f>
        <v>#N/A</v>
      </c>
      <c r="BO54" s="60" t="e">
        <f>BO$5-AL54</f>
        <v>#N/A</v>
      </c>
      <c r="BP54" s="60" t="e">
        <f>BP$5-AM54</f>
        <v>#N/A</v>
      </c>
      <c r="BQ54" s="60" t="e">
        <f>BQ$5-AN54</f>
        <v>#N/A</v>
      </c>
      <c r="BR54" s="60" t="e">
        <f>BR$5-AO54</f>
        <v>#N/A</v>
      </c>
      <c r="BS54" s="60" t="e">
        <f>BS$5-AP54</f>
        <v>#N/A</v>
      </c>
      <c r="BT54" s="60" t="e">
        <f>BT$5-AQ54</f>
        <v>#N/A</v>
      </c>
      <c r="BV54" s="60" cm="1">
        <f t="array" aca="1" ref="BV54" ca="1">SQRT(SUMSQ(_xlfn._xlws.FILTER(AV54:BT54,ISNUMBER(AV54:BT54)))/COUNT(_xlfn._xlws.FILTER(AV54:BT54,ISNUMBER(AV54:BT54))))</f>
        <v>5.1515300965363142</v>
      </c>
    </row>
    <row r="55" spans="3:74" x14ac:dyDescent="0.2">
      <c r="C55" s="60" t="s">
        <v>290</v>
      </c>
      <c r="D55" s="60">
        <v>0</v>
      </c>
      <c r="E55" s="60">
        <v>-2</v>
      </c>
      <c r="F55" s="60">
        <v>-3</v>
      </c>
      <c r="G55" s="60">
        <v>-5</v>
      </c>
      <c r="H55" s="60">
        <v>-7</v>
      </c>
      <c r="I55" s="60">
        <v>-6</v>
      </c>
      <c r="J55" s="60">
        <v>-6</v>
      </c>
      <c r="K55" s="60">
        <v>-6</v>
      </c>
      <c r="L55" s="60">
        <v>-6</v>
      </c>
      <c r="M55" s="60">
        <v>-4</v>
      </c>
      <c r="N55" s="60">
        <v>-2</v>
      </c>
      <c r="O55" s="60">
        <v>0</v>
      </c>
      <c r="P55" s="60">
        <v>0</v>
      </c>
      <c r="R55" s="61">
        <f>(ROW(R55)-ROW($C$6))</f>
        <v>49</v>
      </c>
      <c r="S55" s="60">
        <f ca="1">100+HLOOKUP(S$4,$D$7:$P$336,$R55,FALSE)-HLOOKUP(S$3,$D$7:$P$336,$R55,FALSE)</f>
        <v>97</v>
      </c>
      <c r="T55" s="60">
        <f ca="1">100+HLOOKUP(T$4,$D$7:$P$336,$R55,FALSE)-HLOOKUP(T$3,$D$7:$P$336,$R55,FALSE)</f>
        <v>94</v>
      </c>
      <c r="U55" s="60">
        <f ca="1">100+HLOOKUP(U$4,$D$7:$P$336,$R55,FALSE)-HLOOKUP(U$3,$D$7:$P$336,$R55,FALSE)</f>
        <v>96</v>
      </c>
      <c r="V55" s="60">
        <f ca="1">100+HLOOKUP(V$4,$D$7:$P$336,$R55,FALSE)-HLOOKUP(V$3,$D$7:$P$336,$R55,FALSE)</f>
        <v>96</v>
      </c>
      <c r="W55" s="60">
        <f ca="1">100+HLOOKUP(W$4,$D$7:$P$336,$R55,FALSE)-HLOOKUP(W$3,$D$7:$P$336,$R55,FALSE)</f>
        <v>94</v>
      </c>
      <c r="X55" s="60">
        <f ca="1">100+HLOOKUP(X$4,$D$7:$P$336,$R55,FALSE)-HLOOKUP(X$3,$D$7:$P$336,$R55,FALSE)</f>
        <v>97</v>
      </c>
      <c r="Y55" s="60">
        <f ca="1">100+HLOOKUP(Y$4,$D$7:$P$336,$R55,FALSE)-HLOOKUP(Y$3,$D$7:$P$336,$R55,FALSE)</f>
        <v>94</v>
      </c>
      <c r="Z55" s="60">
        <f ca="1">100+HLOOKUP(Z$4,$D$7:$P$336,$R55,FALSE)-HLOOKUP(Z$3,$D$7:$P$336,$R55,FALSE)</f>
        <v>96</v>
      </c>
      <c r="AA55" s="60">
        <f ca="1">100+HLOOKUP(AA$4,$D$7:$P$336,$R55,FALSE)-HLOOKUP(AA$3,$D$7:$P$336,$R55,FALSE)</f>
        <v>96</v>
      </c>
      <c r="AB55" s="60">
        <f ca="1">100+HLOOKUP(AB$4,$D$7:$P$336,$R55,FALSE)-HLOOKUP(AB$3,$D$7:$P$336,$R55,FALSE)</f>
        <v>94</v>
      </c>
      <c r="AC55" s="60">
        <f ca="1">100+HLOOKUP(AC$4,$D$7:$P$336,$R55,FALSE)-HLOOKUP(AC$3,$D$7:$P$336,$R55,FALSE)</f>
        <v>99</v>
      </c>
      <c r="AD55" s="60">
        <f ca="1">100+HLOOKUP(AD$4,$D$7:$P$336,$R55,FALSE)-HLOOKUP(AD$3,$D$7:$P$336,$R55,FALSE)</f>
        <v>107</v>
      </c>
      <c r="AE55" s="60">
        <f ca="1">100+HLOOKUP(AE$4,$D$7:$P$336,$R55,FALSE)-HLOOKUP(AE$3,$D$7:$P$336,$R55,FALSE)</f>
        <v>104</v>
      </c>
      <c r="AF55" s="60">
        <f ca="1">100+HLOOKUP(AF$4,$D$7:$P$336,$R55,FALSE)-HLOOKUP(AF$3,$D$7:$P$336,$R55,FALSE)</f>
        <v>101</v>
      </c>
      <c r="AG55" s="60">
        <f ca="1">100+HLOOKUP(AG$4,$D$7:$P$336,$R55,FALSE)-HLOOKUP(AG$3,$D$7:$P$336,$R55,FALSE)</f>
        <v>96</v>
      </c>
      <c r="AH55" s="60" t="e">
        <f>100+HLOOKUP(AH$4,$D$7:$P$336,$R55,FALSE)-HLOOKUP(AH$3,$D$7:$P$336,$R55,FALSE)</f>
        <v>#N/A</v>
      </c>
      <c r="AI55" s="60" t="e">
        <f>100+HLOOKUP(AI$4,$D$7:$P$336,$R55,FALSE)-HLOOKUP(AI$3,$D$7:$P$336,$R55,FALSE)</f>
        <v>#N/A</v>
      </c>
      <c r="AJ55" s="60" t="e">
        <f>100+HLOOKUP(AJ$4,$D$7:$P$336,$R55,FALSE)-HLOOKUP(AJ$3,$D$7:$P$336,$R55,FALSE)</f>
        <v>#N/A</v>
      </c>
      <c r="AK55" s="60" t="e">
        <f>100+HLOOKUP(AK$4,$D$7:$P$336,$R55,FALSE)-HLOOKUP(AK$3,$D$7:$P$336,$R55,FALSE)</f>
        <v>#N/A</v>
      </c>
      <c r="AL55" s="60" t="e">
        <f>100+HLOOKUP(AL$4,$D$7:$P$336,$R55,FALSE)-HLOOKUP(AL$3,$D$7:$P$336,$R55,FALSE)</f>
        <v>#N/A</v>
      </c>
      <c r="AM55" s="60" t="e">
        <f>100+HLOOKUP(AM$4,$D$7:$P$336,$R55,FALSE)-HLOOKUP(AM$3,$D$7:$P$336,$R55,FALSE)</f>
        <v>#N/A</v>
      </c>
      <c r="AN55" s="60" t="e">
        <f>100+HLOOKUP(AN$4,$D$7:$P$336,$R55,FALSE)-HLOOKUP(AN$3,$D$7:$P$336,$R55,FALSE)</f>
        <v>#N/A</v>
      </c>
      <c r="AO55" s="60" t="e">
        <f>100+HLOOKUP(AO$4,$D$7:$P$336,$R55,FALSE)-HLOOKUP(AO$3,$D$7:$P$336,$R55,FALSE)</f>
        <v>#N/A</v>
      </c>
      <c r="AP55" s="60" t="e">
        <f>100+HLOOKUP(AP$4,$D$7:$P$336,$R55,FALSE)-HLOOKUP(AP$3,$D$7:$P$336,$R55,FALSE)</f>
        <v>#N/A</v>
      </c>
      <c r="AQ55" s="60" t="e">
        <f>100+HLOOKUP(AQ$4,$D$7:$P$336,$R55,FALSE)-HLOOKUP(AQ$3,$D$7:$P$336,$R55,FALSE)</f>
        <v>#N/A</v>
      </c>
      <c r="AV55" s="60">
        <f ca="1">AV$5-S55</f>
        <v>6.1903994267964322</v>
      </c>
      <c r="AW55" s="60">
        <f ca="1">AW$5-T55</f>
        <v>0.2206505297577479</v>
      </c>
      <c r="AX55" s="60">
        <f ca="1">AX$5-U55</f>
        <v>5.7759154036680513</v>
      </c>
      <c r="AY55" s="60">
        <f ca="1">AY$5-V55</f>
        <v>-2.3969855984721988</v>
      </c>
      <c r="AZ55" s="60">
        <f ca="1">AZ$5-W55</f>
        <v>3.4544821725960304</v>
      </c>
      <c r="BA55" s="60">
        <f ca="1">BA$5-X55</f>
        <v>1.4650590589827033</v>
      </c>
      <c r="BB55" s="60">
        <f ca="1">BB$5-Y55</f>
        <v>-0.64940727261887332</v>
      </c>
      <c r="BC55" s="60">
        <f ca="1">BC$5-Z55</f>
        <v>11.437465909882164</v>
      </c>
      <c r="BD55" s="60">
        <f ca="1">BD$5-AA55</f>
        <v>1.936518664382362</v>
      </c>
      <c r="BE55" s="60">
        <f ca="1">BE$5-AB55</f>
        <v>-2.170609408007806</v>
      </c>
      <c r="BF55" s="60">
        <f ca="1">BF$5-AC55</f>
        <v>2.0173043164770803</v>
      </c>
      <c r="BG55" s="60">
        <f ca="1">BG$5-AD55</f>
        <v>-3.0147412949814907</v>
      </c>
      <c r="BH55" s="60">
        <f ca="1">BH$5-AE55</f>
        <v>-5.0454077696324333</v>
      </c>
      <c r="BI55" s="60">
        <f ca="1">BI$5-AF55</f>
        <v>-10.391494488745195</v>
      </c>
      <c r="BJ55" s="60">
        <f ca="1">BJ$5-AG55</f>
        <v>-4.56044894232123</v>
      </c>
      <c r="BK55" s="60" t="e">
        <f>BK$5-AH55</f>
        <v>#N/A</v>
      </c>
      <c r="BL55" s="60" t="e">
        <f>BL$5-AI55</f>
        <v>#N/A</v>
      </c>
      <c r="BM55" s="60" t="e">
        <f>BM$5-AJ55</f>
        <v>#N/A</v>
      </c>
      <c r="BN55" s="60" t="e">
        <f>BN$5-AK55</f>
        <v>#N/A</v>
      </c>
      <c r="BO55" s="60" t="e">
        <f>BO$5-AL55</f>
        <v>#N/A</v>
      </c>
      <c r="BP55" s="60" t="e">
        <f>BP$5-AM55</f>
        <v>#N/A</v>
      </c>
      <c r="BQ55" s="60" t="e">
        <f>BQ$5-AN55</f>
        <v>#N/A</v>
      </c>
      <c r="BR55" s="60" t="e">
        <f>BR$5-AO55</f>
        <v>#N/A</v>
      </c>
      <c r="BS55" s="60" t="e">
        <f>BS$5-AP55</f>
        <v>#N/A</v>
      </c>
      <c r="BT55" s="60" t="e">
        <f>BT$5-AQ55</f>
        <v>#N/A</v>
      </c>
      <c r="BV55" s="60" cm="1">
        <f t="array" aca="1" ref="BV55" ca="1">SQRT(SUMSQ(_xlfn._xlws.FILTER(AV55:BT55,ISNUMBER(AV55:BT55)))/COUNT(_xlfn._xlws.FILTER(AV55:BT55,ISNUMBER(AV55:BT55))))</f>
        <v>5.1552594189448886</v>
      </c>
    </row>
    <row r="56" spans="3:74" x14ac:dyDescent="0.2">
      <c r="C56" s="60" t="s">
        <v>334</v>
      </c>
      <c r="D56" s="60">
        <v>0</v>
      </c>
      <c r="E56" s="60">
        <v>-0.19600000000000001</v>
      </c>
      <c r="F56" s="60">
        <v>-0.39100000000000001</v>
      </c>
      <c r="G56" s="60">
        <v>-0.58699999999999997</v>
      </c>
      <c r="H56" s="60">
        <v>-0.78300000000000003</v>
      </c>
      <c r="I56" s="60">
        <v>-0.97799999999999998</v>
      </c>
      <c r="J56" s="60">
        <v>-1.1739999999999999</v>
      </c>
      <c r="K56" s="60">
        <v>-1.369</v>
      </c>
      <c r="L56" s="60">
        <v>-1.5649999999999999</v>
      </c>
      <c r="M56" s="60">
        <v>0.58699999999999997</v>
      </c>
      <c r="N56" s="60">
        <v>0.39100000000000001</v>
      </c>
      <c r="O56" s="60">
        <v>0.19600000000000001</v>
      </c>
      <c r="P56" s="60">
        <v>0</v>
      </c>
      <c r="R56" s="61">
        <f>(ROW(R56)-ROW($C$6))</f>
        <v>50</v>
      </c>
      <c r="S56" s="60">
        <f ca="1">100+HLOOKUP(S$4,$D$7:$P$336,$R56,FALSE)-HLOOKUP(S$3,$D$7:$P$336,$R56,FALSE)</f>
        <v>98.63</v>
      </c>
      <c r="T56" s="60">
        <f ca="1">100+HLOOKUP(T$4,$D$7:$P$336,$R56,FALSE)-HLOOKUP(T$3,$D$7:$P$336,$R56,FALSE)</f>
        <v>98.63</v>
      </c>
      <c r="U56" s="60">
        <f ca="1">100+HLOOKUP(U$4,$D$7:$P$336,$R56,FALSE)-HLOOKUP(U$3,$D$7:$P$336,$R56,FALSE)</f>
        <v>98.631</v>
      </c>
      <c r="V56" s="60">
        <f ca="1">100+HLOOKUP(V$4,$D$7:$P$336,$R56,FALSE)-HLOOKUP(V$3,$D$7:$P$336,$R56,FALSE)</f>
        <v>98.631</v>
      </c>
      <c r="W56" s="60">
        <f ca="1">100+HLOOKUP(W$4,$D$7:$P$336,$R56,FALSE)-HLOOKUP(W$3,$D$7:$P$336,$R56,FALSE)</f>
        <v>98.631</v>
      </c>
      <c r="X56" s="60">
        <f ca="1">100+HLOOKUP(X$4,$D$7:$P$336,$R56,FALSE)-HLOOKUP(X$3,$D$7:$P$336,$R56,FALSE)</f>
        <v>98.63</v>
      </c>
      <c r="Y56" s="60">
        <f ca="1">100+HLOOKUP(Y$4,$D$7:$P$336,$R56,FALSE)-HLOOKUP(Y$3,$D$7:$P$336,$R56,FALSE)</f>
        <v>98.63</v>
      </c>
      <c r="Z56" s="60">
        <f ca="1">100+HLOOKUP(Z$4,$D$7:$P$336,$R56,FALSE)-HLOOKUP(Z$3,$D$7:$P$336,$R56,FALSE)</f>
        <v>98.631</v>
      </c>
      <c r="AA56" s="60">
        <f ca="1">100+HLOOKUP(AA$4,$D$7:$P$336,$R56,FALSE)-HLOOKUP(AA$3,$D$7:$P$336,$R56,FALSE)</f>
        <v>98.631</v>
      </c>
      <c r="AB56" s="60">
        <f ca="1">100+HLOOKUP(AB$4,$D$7:$P$336,$R56,FALSE)-HLOOKUP(AB$3,$D$7:$P$336,$R56,FALSE)</f>
        <v>98.631</v>
      </c>
      <c r="AC56" s="60">
        <f ca="1">100+HLOOKUP(AC$4,$D$7:$P$336,$R56,FALSE)-HLOOKUP(AC$3,$D$7:$P$336,$R56,FALSE)</f>
        <v>100.97800000000001</v>
      </c>
      <c r="AD56" s="60">
        <f ca="1">100+HLOOKUP(AD$4,$D$7:$P$336,$R56,FALSE)-HLOOKUP(AD$3,$D$7:$P$336,$R56,FALSE)</f>
        <v>100.979</v>
      </c>
      <c r="AE56" s="60">
        <f ca="1">100+HLOOKUP(AE$4,$D$7:$P$336,$R56,FALSE)-HLOOKUP(AE$3,$D$7:$P$336,$R56,FALSE)</f>
        <v>100.97800000000001</v>
      </c>
      <c r="AF56" s="60">
        <f ca="1">100+HLOOKUP(AF$4,$D$7:$P$336,$R56,FALSE)-HLOOKUP(AF$3,$D$7:$P$336,$R56,FALSE)</f>
        <v>100.97799999999999</v>
      </c>
      <c r="AG56" s="60">
        <f ca="1">100+HLOOKUP(AG$4,$D$7:$P$336,$R56,FALSE)-HLOOKUP(AG$3,$D$7:$P$336,$R56,FALSE)</f>
        <v>98.631</v>
      </c>
      <c r="AH56" s="60" t="e">
        <f>100+HLOOKUP(AH$4,$D$7:$P$336,$R56,FALSE)-HLOOKUP(AH$3,$D$7:$P$336,$R56,FALSE)</f>
        <v>#N/A</v>
      </c>
      <c r="AI56" s="60" t="e">
        <f>100+HLOOKUP(AI$4,$D$7:$P$336,$R56,FALSE)-HLOOKUP(AI$3,$D$7:$P$336,$R56,FALSE)</f>
        <v>#N/A</v>
      </c>
      <c r="AJ56" s="60" t="e">
        <f>100+HLOOKUP(AJ$4,$D$7:$P$336,$R56,FALSE)-HLOOKUP(AJ$3,$D$7:$P$336,$R56,FALSE)</f>
        <v>#N/A</v>
      </c>
      <c r="AK56" s="60" t="e">
        <f>100+HLOOKUP(AK$4,$D$7:$P$336,$R56,FALSE)-HLOOKUP(AK$3,$D$7:$P$336,$R56,FALSE)</f>
        <v>#N/A</v>
      </c>
      <c r="AL56" s="60" t="e">
        <f>100+HLOOKUP(AL$4,$D$7:$P$336,$R56,FALSE)-HLOOKUP(AL$3,$D$7:$P$336,$R56,FALSE)</f>
        <v>#N/A</v>
      </c>
      <c r="AM56" s="60" t="e">
        <f>100+HLOOKUP(AM$4,$D$7:$P$336,$R56,FALSE)-HLOOKUP(AM$3,$D$7:$P$336,$R56,FALSE)</f>
        <v>#N/A</v>
      </c>
      <c r="AN56" s="60" t="e">
        <f>100+HLOOKUP(AN$4,$D$7:$P$336,$R56,FALSE)-HLOOKUP(AN$3,$D$7:$P$336,$R56,FALSE)</f>
        <v>#N/A</v>
      </c>
      <c r="AO56" s="60" t="e">
        <f>100+HLOOKUP(AO$4,$D$7:$P$336,$R56,FALSE)-HLOOKUP(AO$3,$D$7:$P$336,$R56,FALSE)</f>
        <v>#N/A</v>
      </c>
      <c r="AP56" s="60" t="e">
        <f>100+HLOOKUP(AP$4,$D$7:$P$336,$R56,FALSE)-HLOOKUP(AP$3,$D$7:$P$336,$R56,FALSE)</f>
        <v>#N/A</v>
      </c>
      <c r="AQ56" s="60" t="e">
        <f>100+HLOOKUP(AQ$4,$D$7:$P$336,$R56,FALSE)-HLOOKUP(AQ$3,$D$7:$P$336,$R56,FALSE)</f>
        <v>#N/A</v>
      </c>
      <c r="AV56" s="60">
        <f ca="1">AV$5-S56</f>
        <v>4.5603994267964367</v>
      </c>
      <c r="AW56" s="60">
        <f ca="1">AW$5-T56</f>
        <v>-4.4093494702422475</v>
      </c>
      <c r="AX56" s="60">
        <f ca="1">AX$5-U56</f>
        <v>3.1449154036680511</v>
      </c>
      <c r="AY56" s="60">
        <f ca="1">AY$5-V56</f>
        <v>-5.0279855984721991</v>
      </c>
      <c r="AZ56" s="60">
        <f ca="1">AZ$5-W56</f>
        <v>-1.1765178274039698</v>
      </c>
      <c r="BA56" s="60">
        <f ca="1">BA$5-X56</f>
        <v>-0.16494094101729218</v>
      </c>
      <c r="BB56" s="60">
        <f ca="1">BB$5-Y56</f>
        <v>-5.2794072726188688</v>
      </c>
      <c r="BC56" s="60">
        <f ca="1">BC$5-Z56</f>
        <v>8.8064659098821636</v>
      </c>
      <c r="BD56" s="60">
        <f ca="1">BD$5-AA56</f>
        <v>-0.69448133561763825</v>
      </c>
      <c r="BE56" s="60">
        <f ca="1">BE$5-AB56</f>
        <v>-6.8016094080078062</v>
      </c>
      <c r="BF56" s="60">
        <f ca="1">BF$5-AC56</f>
        <v>3.9304316477071666E-2</v>
      </c>
      <c r="BG56" s="60">
        <f ca="1">BG$5-AD56</f>
        <v>3.0062587050185101</v>
      </c>
      <c r="BH56" s="60">
        <f ca="1">BH$5-AE56</f>
        <v>-2.023407769632442</v>
      </c>
      <c r="BI56" s="60">
        <f ca="1">BI$5-AF56</f>
        <v>-10.36949448874519</v>
      </c>
      <c r="BJ56" s="60">
        <f ca="1">BJ$5-AG56</f>
        <v>-7.1914489423212302</v>
      </c>
      <c r="BK56" s="60" t="e">
        <f>BK$5-AH56</f>
        <v>#N/A</v>
      </c>
      <c r="BL56" s="60" t="e">
        <f>BL$5-AI56</f>
        <v>#N/A</v>
      </c>
      <c r="BM56" s="60" t="e">
        <f>BM$5-AJ56</f>
        <v>#N/A</v>
      </c>
      <c r="BN56" s="60" t="e">
        <f>BN$5-AK56</f>
        <v>#N/A</v>
      </c>
      <c r="BO56" s="60" t="e">
        <f>BO$5-AL56</f>
        <v>#N/A</v>
      </c>
      <c r="BP56" s="60" t="e">
        <f>BP$5-AM56</f>
        <v>#N/A</v>
      </c>
      <c r="BQ56" s="60" t="e">
        <f>BQ$5-AN56</f>
        <v>#N/A</v>
      </c>
      <c r="BR56" s="60" t="e">
        <f>BR$5-AO56</f>
        <v>#N/A</v>
      </c>
      <c r="BS56" s="60" t="e">
        <f>BS$5-AP56</f>
        <v>#N/A</v>
      </c>
      <c r="BT56" s="60" t="e">
        <f>BT$5-AQ56</f>
        <v>#N/A</v>
      </c>
      <c r="BV56" s="60" cm="1">
        <f t="array" aca="1" ref="BV56" ca="1">SQRT(SUMSQ(_xlfn._xlws.FILTER(AV56:BT56,ISNUMBER(AV56:BT56)))/COUNT(_xlfn._xlws.FILTER(AV56:BT56,ISNUMBER(AV56:BT56))))</f>
        <v>5.1728070031746967</v>
      </c>
    </row>
    <row r="57" spans="3:74" x14ac:dyDescent="0.2">
      <c r="C57" s="60" t="s">
        <v>226</v>
      </c>
      <c r="D57" s="60">
        <v>0</v>
      </c>
      <c r="E57" s="60">
        <v>-1</v>
      </c>
      <c r="F57" s="60">
        <v>-2</v>
      </c>
      <c r="G57" s="60">
        <v>-3</v>
      </c>
      <c r="H57" s="60">
        <v>-4</v>
      </c>
      <c r="I57" s="60">
        <v>-5</v>
      </c>
      <c r="J57" s="60">
        <v>-6</v>
      </c>
      <c r="K57" s="60">
        <v>-4</v>
      </c>
      <c r="L57" s="60">
        <v>-5</v>
      </c>
      <c r="M57" s="60">
        <v>-3</v>
      </c>
      <c r="N57" s="60">
        <v>-1</v>
      </c>
      <c r="O57" s="60">
        <v>1</v>
      </c>
      <c r="P57" s="60">
        <v>0</v>
      </c>
      <c r="R57" s="61">
        <f>(ROW(R57)-ROW($C$6))</f>
        <v>51</v>
      </c>
      <c r="S57" s="60">
        <f ca="1">100+HLOOKUP(S$4,$D$7:$P$336,$R57,FALSE)-HLOOKUP(S$3,$D$7:$P$336,$R57,FALSE)</f>
        <v>99</v>
      </c>
      <c r="T57" s="60">
        <f ca="1">100+HLOOKUP(T$4,$D$7:$P$336,$R57,FALSE)-HLOOKUP(T$3,$D$7:$P$336,$R57,FALSE)</f>
        <v>93</v>
      </c>
      <c r="U57" s="60">
        <f ca="1">100+HLOOKUP(U$4,$D$7:$P$336,$R57,FALSE)-HLOOKUP(U$3,$D$7:$P$336,$R57,FALSE)</f>
        <v>96</v>
      </c>
      <c r="V57" s="60">
        <f ca="1">100+HLOOKUP(V$4,$D$7:$P$336,$R57,FALSE)-HLOOKUP(V$3,$D$7:$P$336,$R57,FALSE)</f>
        <v>96</v>
      </c>
      <c r="W57" s="60">
        <f ca="1">100+HLOOKUP(W$4,$D$7:$P$336,$R57,FALSE)-HLOOKUP(W$3,$D$7:$P$336,$R57,FALSE)</f>
        <v>96</v>
      </c>
      <c r="X57" s="60">
        <f ca="1">100+HLOOKUP(X$4,$D$7:$P$336,$R57,FALSE)-HLOOKUP(X$3,$D$7:$P$336,$R57,FALSE)</f>
        <v>99</v>
      </c>
      <c r="Y57" s="60">
        <f ca="1">100+HLOOKUP(Y$4,$D$7:$P$336,$R57,FALSE)-HLOOKUP(Y$3,$D$7:$P$336,$R57,FALSE)</f>
        <v>93</v>
      </c>
      <c r="Z57" s="60">
        <f ca="1">100+HLOOKUP(Z$4,$D$7:$P$336,$R57,FALSE)-HLOOKUP(Z$3,$D$7:$P$336,$R57,FALSE)</f>
        <v>96</v>
      </c>
      <c r="AA57" s="60">
        <f ca="1">100+HLOOKUP(AA$4,$D$7:$P$336,$R57,FALSE)-HLOOKUP(AA$3,$D$7:$P$336,$R57,FALSE)</f>
        <v>96</v>
      </c>
      <c r="AB57" s="60">
        <f ca="1">100+HLOOKUP(AB$4,$D$7:$P$336,$R57,FALSE)-HLOOKUP(AB$3,$D$7:$P$336,$R57,FALSE)</f>
        <v>96</v>
      </c>
      <c r="AC57" s="60">
        <f ca="1">100+HLOOKUP(AC$4,$D$7:$P$336,$R57,FALSE)-HLOOKUP(AC$3,$D$7:$P$336,$R57,FALSE)</f>
        <v>99</v>
      </c>
      <c r="AD57" s="60">
        <f ca="1">100+HLOOKUP(AD$4,$D$7:$P$336,$R57,FALSE)-HLOOKUP(AD$3,$D$7:$P$336,$R57,FALSE)</f>
        <v>105</v>
      </c>
      <c r="AE57" s="60">
        <f ca="1">100+HLOOKUP(AE$4,$D$7:$P$336,$R57,FALSE)-HLOOKUP(AE$3,$D$7:$P$336,$R57,FALSE)</f>
        <v>105</v>
      </c>
      <c r="AF57" s="60">
        <f ca="1">100+HLOOKUP(AF$4,$D$7:$P$336,$R57,FALSE)-HLOOKUP(AF$3,$D$7:$P$336,$R57,FALSE)</f>
        <v>102</v>
      </c>
      <c r="AG57" s="60">
        <f ca="1">100+HLOOKUP(AG$4,$D$7:$P$336,$R57,FALSE)-HLOOKUP(AG$3,$D$7:$P$336,$R57,FALSE)</f>
        <v>96</v>
      </c>
      <c r="AH57" s="60" t="e">
        <f>100+HLOOKUP(AH$4,$D$7:$P$336,$R57,FALSE)-HLOOKUP(AH$3,$D$7:$P$336,$R57,FALSE)</f>
        <v>#N/A</v>
      </c>
      <c r="AI57" s="60" t="e">
        <f>100+HLOOKUP(AI$4,$D$7:$P$336,$R57,FALSE)-HLOOKUP(AI$3,$D$7:$P$336,$R57,FALSE)</f>
        <v>#N/A</v>
      </c>
      <c r="AJ57" s="60" t="e">
        <f>100+HLOOKUP(AJ$4,$D$7:$P$336,$R57,FALSE)-HLOOKUP(AJ$3,$D$7:$P$336,$R57,FALSE)</f>
        <v>#N/A</v>
      </c>
      <c r="AK57" s="60" t="e">
        <f>100+HLOOKUP(AK$4,$D$7:$P$336,$R57,FALSE)-HLOOKUP(AK$3,$D$7:$P$336,$R57,FALSE)</f>
        <v>#N/A</v>
      </c>
      <c r="AL57" s="60" t="e">
        <f>100+HLOOKUP(AL$4,$D$7:$P$336,$R57,FALSE)-HLOOKUP(AL$3,$D$7:$P$336,$R57,FALSE)</f>
        <v>#N/A</v>
      </c>
      <c r="AM57" s="60" t="e">
        <f>100+HLOOKUP(AM$4,$D$7:$P$336,$R57,FALSE)-HLOOKUP(AM$3,$D$7:$P$336,$R57,FALSE)</f>
        <v>#N/A</v>
      </c>
      <c r="AN57" s="60" t="e">
        <f>100+HLOOKUP(AN$4,$D$7:$P$336,$R57,FALSE)-HLOOKUP(AN$3,$D$7:$P$336,$R57,FALSE)</f>
        <v>#N/A</v>
      </c>
      <c r="AO57" s="60" t="e">
        <f>100+HLOOKUP(AO$4,$D$7:$P$336,$R57,FALSE)-HLOOKUP(AO$3,$D$7:$P$336,$R57,FALSE)</f>
        <v>#N/A</v>
      </c>
      <c r="AP57" s="60" t="e">
        <f>100+HLOOKUP(AP$4,$D$7:$P$336,$R57,FALSE)-HLOOKUP(AP$3,$D$7:$P$336,$R57,FALSE)</f>
        <v>#N/A</v>
      </c>
      <c r="AQ57" s="60" t="e">
        <f>100+HLOOKUP(AQ$4,$D$7:$P$336,$R57,FALSE)-HLOOKUP(AQ$3,$D$7:$P$336,$R57,FALSE)</f>
        <v>#N/A</v>
      </c>
      <c r="AV57" s="60">
        <f ca="1">AV$5-S57</f>
        <v>4.1903994267964322</v>
      </c>
      <c r="AW57" s="60">
        <f ca="1">AW$5-T57</f>
        <v>1.2206505297577479</v>
      </c>
      <c r="AX57" s="60">
        <f ca="1">AX$5-U57</f>
        <v>5.7759154036680513</v>
      </c>
      <c r="AY57" s="60">
        <f ca="1">AY$5-V57</f>
        <v>-2.3969855984721988</v>
      </c>
      <c r="AZ57" s="60">
        <f ca="1">AZ$5-W57</f>
        <v>1.4544821725960304</v>
      </c>
      <c r="BA57" s="60">
        <f ca="1">BA$5-X57</f>
        <v>-0.53494094101729672</v>
      </c>
      <c r="BB57" s="60">
        <f ca="1">BB$5-Y57</f>
        <v>0.35059272738112668</v>
      </c>
      <c r="BC57" s="60">
        <f ca="1">BC$5-Z57</f>
        <v>11.437465909882164</v>
      </c>
      <c r="BD57" s="60">
        <f ca="1">BD$5-AA57</f>
        <v>1.936518664382362</v>
      </c>
      <c r="BE57" s="60">
        <f ca="1">BE$5-AB57</f>
        <v>-4.170609408007806</v>
      </c>
      <c r="BF57" s="60">
        <f ca="1">BF$5-AC57</f>
        <v>2.0173043164770803</v>
      </c>
      <c r="BG57" s="60">
        <f ca="1">BG$5-AD57</f>
        <v>-1.0147412949814907</v>
      </c>
      <c r="BH57" s="60">
        <f ca="1">BH$5-AE57</f>
        <v>-6.0454077696324333</v>
      </c>
      <c r="BI57" s="60">
        <f ca="1">BI$5-AF57</f>
        <v>-11.391494488745195</v>
      </c>
      <c r="BJ57" s="60">
        <f ca="1">BJ$5-AG57</f>
        <v>-4.56044894232123</v>
      </c>
      <c r="BK57" s="60" t="e">
        <f>BK$5-AH57</f>
        <v>#N/A</v>
      </c>
      <c r="BL57" s="60" t="e">
        <f>BL$5-AI57</f>
        <v>#N/A</v>
      </c>
      <c r="BM57" s="60" t="e">
        <f>BM$5-AJ57</f>
        <v>#N/A</v>
      </c>
      <c r="BN57" s="60" t="e">
        <f>BN$5-AK57</f>
        <v>#N/A</v>
      </c>
      <c r="BO57" s="60" t="e">
        <f>BO$5-AL57</f>
        <v>#N/A</v>
      </c>
      <c r="BP57" s="60" t="e">
        <f>BP$5-AM57</f>
        <v>#N/A</v>
      </c>
      <c r="BQ57" s="60" t="e">
        <f>BQ$5-AN57</f>
        <v>#N/A</v>
      </c>
      <c r="BR57" s="60" t="e">
        <f>BR$5-AO57</f>
        <v>#N/A</v>
      </c>
      <c r="BS57" s="60" t="e">
        <f>BS$5-AP57</f>
        <v>#N/A</v>
      </c>
      <c r="BT57" s="60" t="e">
        <f>BT$5-AQ57</f>
        <v>#N/A</v>
      </c>
      <c r="BV57" s="60" cm="1">
        <f t="array" aca="1" ref="BV57" ca="1">SQRT(SUMSQ(_xlfn._xlws.FILTER(AV57:BT57,ISNUMBER(AV57:BT57)))/COUNT(_xlfn._xlws.FILTER(AV57:BT57,ISNUMBER(AV57:BT57))))</f>
        <v>5.1951932655673003</v>
      </c>
    </row>
    <row r="58" spans="3:74" x14ac:dyDescent="0.2">
      <c r="C58" s="60" t="s">
        <v>332</v>
      </c>
      <c r="D58" s="60">
        <v>0</v>
      </c>
      <c r="E58" s="60">
        <v>-0.435</v>
      </c>
      <c r="F58" s="60">
        <v>-0.86899999999999999</v>
      </c>
      <c r="G58" s="60">
        <v>-1.304</v>
      </c>
      <c r="H58" s="60">
        <v>-1.738</v>
      </c>
      <c r="I58" s="60">
        <v>-2.173</v>
      </c>
      <c r="J58" s="60">
        <v>-2.6080000000000001</v>
      </c>
      <c r="K58" s="60">
        <v>-3.0419999999999998</v>
      </c>
      <c r="L58" s="60">
        <v>-3.4769999999999999</v>
      </c>
      <c r="M58" s="60">
        <v>1.304</v>
      </c>
      <c r="N58" s="60">
        <v>0.86899999999999999</v>
      </c>
      <c r="O58" s="60">
        <v>0.435</v>
      </c>
      <c r="P58" s="60">
        <v>0</v>
      </c>
      <c r="R58" s="61">
        <f>(ROW(R58)-ROW($C$6))</f>
        <v>52</v>
      </c>
      <c r="S58" s="60">
        <f ca="1">100+HLOOKUP(S$4,$D$7:$P$336,$R58,FALSE)-HLOOKUP(S$3,$D$7:$P$336,$R58,FALSE)</f>
        <v>96.957999999999998</v>
      </c>
      <c r="T58" s="60">
        <f ca="1">100+HLOOKUP(T$4,$D$7:$P$336,$R58,FALSE)-HLOOKUP(T$3,$D$7:$P$336,$R58,FALSE)</f>
        <v>96.956999999999994</v>
      </c>
      <c r="U58" s="60">
        <f ca="1">100+HLOOKUP(U$4,$D$7:$P$336,$R58,FALSE)-HLOOKUP(U$3,$D$7:$P$336,$R58,FALSE)</f>
        <v>96.957999999999998</v>
      </c>
      <c r="V58" s="60">
        <f ca="1">100+HLOOKUP(V$4,$D$7:$P$336,$R58,FALSE)-HLOOKUP(V$3,$D$7:$P$336,$R58,FALSE)</f>
        <v>96.957999999999998</v>
      </c>
      <c r="W58" s="60">
        <f ca="1">100+HLOOKUP(W$4,$D$7:$P$336,$R58,FALSE)-HLOOKUP(W$3,$D$7:$P$336,$R58,FALSE)</f>
        <v>96.957999999999998</v>
      </c>
      <c r="X58" s="60">
        <f ca="1">100+HLOOKUP(X$4,$D$7:$P$336,$R58,FALSE)-HLOOKUP(X$3,$D$7:$P$336,$R58,FALSE)</f>
        <v>96.957999999999998</v>
      </c>
      <c r="Y58" s="60">
        <f ca="1">100+HLOOKUP(Y$4,$D$7:$P$336,$R58,FALSE)-HLOOKUP(Y$3,$D$7:$P$336,$R58,FALSE)</f>
        <v>96.956999999999994</v>
      </c>
      <c r="Z58" s="60">
        <f ca="1">100+HLOOKUP(Z$4,$D$7:$P$336,$R58,FALSE)-HLOOKUP(Z$3,$D$7:$P$336,$R58,FALSE)</f>
        <v>96.957999999999998</v>
      </c>
      <c r="AA58" s="60">
        <f ca="1">100+HLOOKUP(AA$4,$D$7:$P$336,$R58,FALSE)-HLOOKUP(AA$3,$D$7:$P$336,$R58,FALSE)</f>
        <v>96.957999999999998</v>
      </c>
      <c r="AB58" s="60">
        <f ca="1">100+HLOOKUP(AB$4,$D$7:$P$336,$R58,FALSE)-HLOOKUP(AB$3,$D$7:$P$336,$R58,FALSE)</f>
        <v>96.957999999999998</v>
      </c>
      <c r="AC58" s="60">
        <f ca="1">100+HLOOKUP(AC$4,$D$7:$P$336,$R58,FALSE)-HLOOKUP(AC$3,$D$7:$P$336,$R58,FALSE)</f>
        <v>102.173</v>
      </c>
      <c r="AD58" s="60">
        <f ca="1">100+HLOOKUP(AD$4,$D$7:$P$336,$R58,FALSE)-HLOOKUP(AD$3,$D$7:$P$336,$R58,FALSE)</f>
        <v>102.173</v>
      </c>
      <c r="AE58" s="60">
        <f ca="1">100+HLOOKUP(AE$4,$D$7:$P$336,$R58,FALSE)-HLOOKUP(AE$3,$D$7:$P$336,$R58,FALSE)</f>
        <v>102.173</v>
      </c>
      <c r="AF58" s="60">
        <f ca="1">100+HLOOKUP(AF$4,$D$7:$P$336,$R58,FALSE)-HLOOKUP(AF$3,$D$7:$P$336,$R58,FALSE)</f>
        <v>102.173</v>
      </c>
      <c r="AG58" s="60">
        <f ca="1">100+HLOOKUP(AG$4,$D$7:$P$336,$R58,FALSE)-HLOOKUP(AG$3,$D$7:$P$336,$R58,FALSE)</f>
        <v>96.957999999999998</v>
      </c>
      <c r="AH58" s="60" t="e">
        <f>100+HLOOKUP(AH$4,$D$7:$P$336,$R58,FALSE)-HLOOKUP(AH$3,$D$7:$P$336,$R58,FALSE)</f>
        <v>#N/A</v>
      </c>
      <c r="AI58" s="60" t="e">
        <f>100+HLOOKUP(AI$4,$D$7:$P$336,$R58,FALSE)-HLOOKUP(AI$3,$D$7:$P$336,$R58,FALSE)</f>
        <v>#N/A</v>
      </c>
      <c r="AJ58" s="60" t="e">
        <f>100+HLOOKUP(AJ$4,$D$7:$P$336,$R58,FALSE)-HLOOKUP(AJ$3,$D$7:$P$336,$R58,FALSE)</f>
        <v>#N/A</v>
      </c>
      <c r="AK58" s="60" t="e">
        <f>100+HLOOKUP(AK$4,$D$7:$P$336,$R58,FALSE)-HLOOKUP(AK$3,$D$7:$P$336,$R58,FALSE)</f>
        <v>#N/A</v>
      </c>
      <c r="AL58" s="60" t="e">
        <f>100+HLOOKUP(AL$4,$D$7:$P$336,$R58,FALSE)-HLOOKUP(AL$3,$D$7:$P$336,$R58,FALSE)</f>
        <v>#N/A</v>
      </c>
      <c r="AM58" s="60" t="e">
        <f>100+HLOOKUP(AM$4,$D$7:$P$336,$R58,FALSE)-HLOOKUP(AM$3,$D$7:$P$336,$R58,FALSE)</f>
        <v>#N/A</v>
      </c>
      <c r="AN58" s="60" t="e">
        <f>100+HLOOKUP(AN$4,$D$7:$P$336,$R58,FALSE)-HLOOKUP(AN$3,$D$7:$P$336,$R58,FALSE)</f>
        <v>#N/A</v>
      </c>
      <c r="AO58" s="60" t="e">
        <f>100+HLOOKUP(AO$4,$D$7:$P$336,$R58,FALSE)-HLOOKUP(AO$3,$D$7:$P$336,$R58,FALSE)</f>
        <v>#N/A</v>
      </c>
      <c r="AP58" s="60" t="e">
        <f>100+HLOOKUP(AP$4,$D$7:$P$336,$R58,FALSE)-HLOOKUP(AP$3,$D$7:$P$336,$R58,FALSE)</f>
        <v>#N/A</v>
      </c>
      <c r="AQ58" s="60" t="e">
        <f>100+HLOOKUP(AQ$4,$D$7:$P$336,$R58,FALSE)-HLOOKUP(AQ$3,$D$7:$P$336,$R58,FALSE)</f>
        <v>#N/A</v>
      </c>
      <c r="AV58" s="60">
        <f ca="1">AV$5-S58</f>
        <v>6.2323994267964338</v>
      </c>
      <c r="AW58" s="60">
        <f ca="1">AW$5-T58</f>
        <v>-2.7363494702422457</v>
      </c>
      <c r="AX58" s="60">
        <f ca="1">AX$5-U58</f>
        <v>4.8179154036680529</v>
      </c>
      <c r="AY58" s="60">
        <f ca="1">AY$5-V58</f>
        <v>-3.3549855984721972</v>
      </c>
      <c r="AZ58" s="60">
        <f ca="1">AZ$5-W58</f>
        <v>0.496482172596032</v>
      </c>
      <c r="BA58" s="60">
        <f ca="1">BA$5-X58</f>
        <v>1.5070590589827049</v>
      </c>
      <c r="BB58" s="60">
        <f ca="1">BB$5-Y58</f>
        <v>-3.606407272618867</v>
      </c>
      <c r="BC58" s="60">
        <f ca="1">BC$5-Z58</f>
        <v>10.479465909882165</v>
      </c>
      <c r="BD58" s="60">
        <f ca="1">BD$5-AA58</f>
        <v>0.97851866438236357</v>
      </c>
      <c r="BE58" s="60">
        <f ca="1">BE$5-AB58</f>
        <v>-5.1286094080078044</v>
      </c>
      <c r="BF58" s="60">
        <f ca="1">BF$5-AC58</f>
        <v>-1.1556956835229215</v>
      </c>
      <c r="BG58" s="60">
        <f ca="1">BG$5-AD58</f>
        <v>1.8122587050185075</v>
      </c>
      <c r="BH58" s="60">
        <f ca="1">BH$5-AE58</f>
        <v>-3.2184077696324351</v>
      </c>
      <c r="BI58" s="60">
        <f ca="1">BI$5-AF58</f>
        <v>-11.564494488745197</v>
      </c>
      <c r="BJ58" s="60">
        <f ca="1">BJ$5-AG58</f>
        <v>-5.5184489423212284</v>
      </c>
      <c r="BK58" s="60" t="e">
        <f>BK$5-AH58</f>
        <v>#N/A</v>
      </c>
      <c r="BL58" s="60" t="e">
        <f>BL$5-AI58</f>
        <v>#N/A</v>
      </c>
      <c r="BM58" s="60" t="e">
        <f>BM$5-AJ58</f>
        <v>#N/A</v>
      </c>
      <c r="BN58" s="60" t="e">
        <f>BN$5-AK58</f>
        <v>#N/A</v>
      </c>
      <c r="BO58" s="60" t="e">
        <f>BO$5-AL58</f>
        <v>#N/A</v>
      </c>
      <c r="BP58" s="60" t="e">
        <f>BP$5-AM58</f>
        <v>#N/A</v>
      </c>
      <c r="BQ58" s="60" t="e">
        <f>BQ$5-AN58</f>
        <v>#N/A</v>
      </c>
      <c r="BR58" s="60" t="e">
        <f>BR$5-AO58</f>
        <v>#N/A</v>
      </c>
      <c r="BS58" s="60" t="e">
        <f>BS$5-AP58</f>
        <v>#N/A</v>
      </c>
      <c r="BT58" s="60" t="e">
        <f>BT$5-AQ58</f>
        <v>#N/A</v>
      </c>
      <c r="BV58" s="60" cm="1">
        <f t="array" aca="1" ref="BV58" ca="1">SQRT(SUMSQ(_xlfn._xlws.FILTER(AV58:BT58,ISNUMBER(AV58:BT58)))/COUNT(_xlfn._xlws.FILTER(AV58:BT58,ISNUMBER(AV58:BT58))))</f>
        <v>5.2444939788491061</v>
      </c>
    </row>
    <row r="59" spans="3:74" x14ac:dyDescent="0.2">
      <c r="C59" s="60" t="s">
        <v>194</v>
      </c>
      <c r="D59" s="60">
        <v>0</v>
      </c>
      <c r="E59" s="60">
        <v>-6</v>
      </c>
      <c r="F59" s="60">
        <v>-12</v>
      </c>
      <c r="G59" s="60">
        <v>-10</v>
      </c>
      <c r="H59" s="60">
        <v>-8</v>
      </c>
      <c r="I59" s="60">
        <v>-6</v>
      </c>
      <c r="J59" s="60">
        <v>-12</v>
      </c>
      <c r="K59" s="60">
        <v>-10</v>
      </c>
      <c r="L59" s="60">
        <v>-8</v>
      </c>
      <c r="M59" s="60">
        <v>-6</v>
      </c>
      <c r="N59" s="60">
        <v>-4</v>
      </c>
      <c r="O59" s="60">
        <v>-2</v>
      </c>
      <c r="P59" s="60">
        <v>0</v>
      </c>
      <c r="R59" s="61">
        <f>(ROW(R59)-ROW($C$6))</f>
        <v>53</v>
      </c>
      <c r="S59" s="60">
        <f ca="1">100+HLOOKUP(S$4,$D$7:$P$336,$R59,FALSE)-HLOOKUP(S$3,$D$7:$P$336,$R59,FALSE)</f>
        <v>98</v>
      </c>
      <c r="T59" s="60">
        <f ca="1">100+HLOOKUP(T$4,$D$7:$P$336,$R59,FALSE)-HLOOKUP(T$3,$D$7:$P$336,$R59,FALSE)</f>
        <v>90</v>
      </c>
      <c r="U59" s="60">
        <f ca="1">100+HLOOKUP(U$4,$D$7:$P$336,$R59,FALSE)-HLOOKUP(U$3,$D$7:$P$336,$R59,FALSE)</f>
        <v>98</v>
      </c>
      <c r="V59" s="60">
        <f ca="1">100+HLOOKUP(V$4,$D$7:$P$336,$R59,FALSE)-HLOOKUP(V$3,$D$7:$P$336,$R59,FALSE)</f>
        <v>98</v>
      </c>
      <c r="W59" s="60">
        <f ca="1">100+HLOOKUP(W$4,$D$7:$P$336,$R59,FALSE)-HLOOKUP(W$3,$D$7:$P$336,$R59,FALSE)</f>
        <v>90</v>
      </c>
      <c r="X59" s="60">
        <f ca="1">100+HLOOKUP(X$4,$D$7:$P$336,$R59,FALSE)-HLOOKUP(X$3,$D$7:$P$336,$R59,FALSE)</f>
        <v>98</v>
      </c>
      <c r="Y59" s="60">
        <f ca="1">100+HLOOKUP(Y$4,$D$7:$P$336,$R59,FALSE)-HLOOKUP(Y$3,$D$7:$P$336,$R59,FALSE)</f>
        <v>90</v>
      </c>
      <c r="Z59" s="60">
        <f ca="1">100+HLOOKUP(Z$4,$D$7:$P$336,$R59,FALSE)-HLOOKUP(Z$3,$D$7:$P$336,$R59,FALSE)</f>
        <v>98</v>
      </c>
      <c r="AA59" s="60">
        <f ca="1">100+HLOOKUP(AA$4,$D$7:$P$336,$R59,FALSE)-HLOOKUP(AA$3,$D$7:$P$336,$R59,FALSE)</f>
        <v>98</v>
      </c>
      <c r="AB59" s="60">
        <f ca="1">100+HLOOKUP(AB$4,$D$7:$P$336,$R59,FALSE)-HLOOKUP(AB$3,$D$7:$P$336,$R59,FALSE)</f>
        <v>90</v>
      </c>
      <c r="AC59" s="60">
        <f ca="1">100+HLOOKUP(AC$4,$D$7:$P$336,$R59,FALSE)-HLOOKUP(AC$3,$D$7:$P$336,$R59,FALSE)</f>
        <v>106</v>
      </c>
      <c r="AD59" s="60">
        <f ca="1">100+HLOOKUP(AD$4,$D$7:$P$336,$R59,FALSE)-HLOOKUP(AD$3,$D$7:$P$336,$R59,FALSE)</f>
        <v>106</v>
      </c>
      <c r="AE59" s="60">
        <f ca="1">100+HLOOKUP(AE$4,$D$7:$P$336,$R59,FALSE)-HLOOKUP(AE$3,$D$7:$P$336,$R59,FALSE)</f>
        <v>106</v>
      </c>
      <c r="AF59" s="60">
        <f ca="1">100+HLOOKUP(AF$4,$D$7:$P$336,$R59,FALSE)-HLOOKUP(AF$3,$D$7:$P$336,$R59,FALSE)</f>
        <v>98</v>
      </c>
      <c r="AG59" s="60">
        <f ca="1">100+HLOOKUP(AG$4,$D$7:$P$336,$R59,FALSE)-HLOOKUP(AG$3,$D$7:$P$336,$R59,FALSE)</f>
        <v>98</v>
      </c>
      <c r="AH59" s="60" t="e">
        <f>100+HLOOKUP(AH$4,$D$7:$P$336,$R59,FALSE)-HLOOKUP(AH$3,$D$7:$P$336,$R59,FALSE)</f>
        <v>#N/A</v>
      </c>
      <c r="AI59" s="60" t="e">
        <f>100+HLOOKUP(AI$4,$D$7:$P$336,$R59,FALSE)-HLOOKUP(AI$3,$D$7:$P$336,$R59,FALSE)</f>
        <v>#N/A</v>
      </c>
      <c r="AJ59" s="60" t="e">
        <f>100+HLOOKUP(AJ$4,$D$7:$P$336,$R59,FALSE)-HLOOKUP(AJ$3,$D$7:$P$336,$R59,FALSE)</f>
        <v>#N/A</v>
      </c>
      <c r="AK59" s="60" t="e">
        <f>100+HLOOKUP(AK$4,$D$7:$P$336,$R59,FALSE)-HLOOKUP(AK$3,$D$7:$P$336,$R59,FALSE)</f>
        <v>#N/A</v>
      </c>
      <c r="AL59" s="60" t="e">
        <f>100+HLOOKUP(AL$4,$D$7:$P$336,$R59,FALSE)-HLOOKUP(AL$3,$D$7:$P$336,$R59,FALSE)</f>
        <v>#N/A</v>
      </c>
      <c r="AM59" s="60" t="e">
        <f>100+HLOOKUP(AM$4,$D$7:$P$336,$R59,FALSE)-HLOOKUP(AM$3,$D$7:$P$336,$R59,FALSE)</f>
        <v>#N/A</v>
      </c>
      <c r="AN59" s="60" t="e">
        <f>100+HLOOKUP(AN$4,$D$7:$P$336,$R59,FALSE)-HLOOKUP(AN$3,$D$7:$P$336,$R59,FALSE)</f>
        <v>#N/A</v>
      </c>
      <c r="AO59" s="60" t="e">
        <f>100+HLOOKUP(AO$4,$D$7:$P$336,$R59,FALSE)-HLOOKUP(AO$3,$D$7:$P$336,$R59,FALSE)</f>
        <v>#N/A</v>
      </c>
      <c r="AP59" s="60" t="e">
        <f>100+HLOOKUP(AP$4,$D$7:$P$336,$R59,FALSE)-HLOOKUP(AP$3,$D$7:$P$336,$R59,FALSE)</f>
        <v>#N/A</v>
      </c>
      <c r="AQ59" s="60" t="e">
        <f>100+HLOOKUP(AQ$4,$D$7:$P$336,$R59,FALSE)-HLOOKUP(AQ$3,$D$7:$P$336,$R59,FALSE)</f>
        <v>#N/A</v>
      </c>
      <c r="AV59" s="60">
        <f ca="1">AV$5-S59</f>
        <v>5.1903994267964322</v>
      </c>
      <c r="AW59" s="60">
        <f ca="1">AW$5-T59</f>
        <v>4.2206505297577479</v>
      </c>
      <c r="AX59" s="60">
        <f ca="1">AX$5-U59</f>
        <v>3.7759154036680513</v>
      </c>
      <c r="AY59" s="60">
        <f ca="1">AY$5-V59</f>
        <v>-4.3969855984721988</v>
      </c>
      <c r="AZ59" s="60">
        <f ca="1">AZ$5-W59</f>
        <v>7.4544821725960304</v>
      </c>
      <c r="BA59" s="60">
        <f ca="1">BA$5-X59</f>
        <v>0.46505905898270328</v>
      </c>
      <c r="BB59" s="60">
        <f ca="1">BB$5-Y59</f>
        <v>3.3505927273811267</v>
      </c>
      <c r="BC59" s="60">
        <f ca="1">BC$5-Z59</f>
        <v>9.4374659098821638</v>
      </c>
      <c r="BD59" s="60">
        <f ca="1">BD$5-AA59</f>
        <v>-6.3481335617638024E-2</v>
      </c>
      <c r="BE59" s="60">
        <f ca="1">BE$5-AB59</f>
        <v>1.829390591992194</v>
      </c>
      <c r="BF59" s="60">
        <f ca="1">BF$5-AC59</f>
        <v>-4.9826956835229197</v>
      </c>
      <c r="BG59" s="60">
        <f ca="1">BG$5-AD59</f>
        <v>-2.0147412949814907</v>
      </c>
      <c r="BH59" s="60">
        <f ca="1">BH$5-AE59</f>
        <v>-7.0454077696324333</v>
      </c>
      <c r="BI59" s="60">
        <f ca="1">BI$5-AF59</f>
        <v>-7.3914944887451952</v>
      </c>
      <c r="BJ59" s="60">
        <f ca="1">BJ$5-AG59</f>
        <v>-6.56044894232123</v>
      </c>
      <c r="BK59" s="60" t="e">
        <f>BK$5-AH59</f>
        <v>#N/A</v>
      </c>
      <c r="BL59" s="60" t="e">
        <f>BL$5-AI59</f>
        <v>#N/A</v>
      </c>
      <c r="BM59" s="60" t="e">
        <f>BM$5-AJ59</f>
        <v>#N/A</v>
      </c>
      <c r="BN59" s="60" t="e">
        <f>BN$5-AK59</f>
        <v>#N/A</v>
      </c>
      <c r="BO59" s="60" t="e">
        <f>BO$5-AL59</f>
        <v>#N/A</v>
      </c>
      <c r="BP59" s="60" t="e">
        <f>BP$5-AM59</f>
        <v>#N/A</v>
      </c>
      <c r="BQ59" s="60" t="e">
        <f>BQ$5-AN59</f>
        <v>#N/A</v>
      </c>
      <c r="BR59" s="60" t="e">
        <f>BR$5-AO59</f>
        <v>#N/A</v>
      </c>
      <c r="BS59" s="60" t="e">
        <f>BS$5-AP59</f>
        <v>#N/A</v>
      </c>
      <c r="BT59" s="60" t="e">
        <f>BT$5-AQ59</f>
        <v>#N/A</v>
      </c>
      <c r="BV59" s="60" cm="1">
        <f t="array" aca="1" ref="BV59" ca="1">SQRT(SUMSQ(_xlfn._xlws.FILTER(AV59:BT59,ISNUMBER(AV59:BT59)))/COUNT(_xlfn._xlws.FILTER(AV59:BT59,ISNUMBER(AV59:BT59))))</f>
        <v>5.253389799157735</v>
      </c>
    </row>
    <row r="60" spans="3:74" x14ac:dyDescent="0.2">
      <c r="C60" s="60" t="s">
        <v>331</v>
      </c>
      <c r="D60" s="60">
        <v>0</v>
      </c>
      <c r="E60" s="60">
        <v>0</v>
      </c>
      <c r="F60" s="60">
        <v>-1</v>
      </c>
      <c r="G60" s="60">
        <v>-1</v>
      </c>
      <c r="H60" s="60">
        <v>-2</v>
      </c>
      <c r="I60" s="60">
        <v>-2</v>
      </c>
      <c r="J60" s="60">
        <v>-3</v>
      </c>
      <c r="K60" s="60">
        <v>-3</v>
      </c>
      <c r="L60" s="60">
        <v>-3</v>
      </c>
      <c r="M60" s="60">
        <v>1</v>
      </c>
      <c r="N60" s="60">
        <v>1</v>
      </c>
      <c r="O60" s="60">
        <v>0</v>
      </c>
      <c r="P60" s="60">
        <v>0</v>
      </c>
      <c r="R60" s="61">
        <f>(ROW(R60)-ROW($C$6))</f>
        <v>54</v>
      </c>
      <c r="S60" s="60">
        <f ca="1">100+HLOOKUP(S$4,$D$7:$P$336,$R60,FALSE)-HLOOKUP(S$3,$D$7:$P$336,$R60,FALSE)</f>
        <v>97</v>
      </c>
      <c r="T60" s="60">
        <f ca="1">100+HLOOKUP(T$4,$D$7:$P$336,$R60,FALSE)-HLOOKUP(T$3,$D$7:$P$336,$R60,FALSE)</f>
        <v>97</v>
      </c>
      <c r="U60" s="60">
        <f ca="1">100+HLOOKUP(U$4,$D$7:$P$336,$R60,FALSE)-HLOOKUP(U$3,$D$7:$P$336,$R60,FALSE)</f>
        <v>97</v>
      </c>
      <c r="V60" s="60">
        <f ca="1">100+HLOOKUP(V$4,$D$7:$P$336,$R60,FALSE)-HLOOKUP(V$3,$D$7:$P$336,$R60,FALSE)</f>
        <v>97</v>
      </c>
      <c r="W60" s="60">
        <f ca="1">100+HLOOKUP(W$4,$D$7:$P$336,$R60,FALSE)-HLOOKUP(W$3,$D$7:$P$336,$R60,FALSE)</f>
        <v>97</v>
      </c>
      <c r="X60" s="60">
        <f ca="1">100+HLOOKUP(X$4,$D$7:$P$336,$R60,FALSE)-HLOOKUP(X$3,$D$7:$P$336,$R60,FALSE)</f>
        <v>97</v>
      </c>
      <c r="Y60" s="60">
        <f ca="1">100+HLOOKUP(Y$4,$D$7:$P$336,$R60,FALSE)-HLOOKUP(Y$3,$D$7:$P$336,$R60,FALSE)</f>
        <v>97</v>
      </c>
      <c r="Z60" s="60">
        <f ca="1">100+HLOOKUP(Z$4,$D$7:$P$336,$R60,FALSE)-HLOOKUP(Z$3,$D$7:$P$336,$R60,FALSE)</f>
        <v>97</v>
      </c>
      <c r="AA60" s="60">
        <f ca="1">100+HLOOKUP(AA$4,$D$7:$P$336,$R60,FALSE)-HLOOKUP(AA$3,$D$7:$P$336,$R60,FALSE)</f>
        <v>97</v>
      </c>
      <c r="AB60" s="60">
        <f ca="1">100+HLOOKUP(AB$4,$D$7:$P$336,$R60,FALSE)-HLOOKUP(AB$3,$D$7:$P$336,$R60,FALSE)</f>
        <v>97</v>
      </c>
      <c r="AC60" s="60">
        <f ca="1">100+HLOOKUP(AC$4,$D$7:$P$336,$R60,FALSE)-HLOOKUP(AC$3,$D$7:$P$336,$R60,FALSE)</f>
        <v>102</v>
      </c>
      <c r="AD60" s="60">
        <f ca="1">100+HLOOKUP(AD$4,$D$7:$P$336,$R60,FALSE)-HLOOKUP(AD$3,$D$7:$P$336,$R60,FALSE)</f>
        <v>102</v>
      </c>
      <c r="AE60" s="60">
        <f ca="1">100+HLOOKUP(AE$4,$D$7:$P$336,$R60,FALSE)-HLOOKUP(AE$3,$D$7:$P$336,$R60,FALSE)</f>
        <v>103</v>
      </c>
      <c r="AF60" s="60">
        <f ca="1">100+HLOOKUP(AF$4,$D$7:$P$336,$R60,FALSE)-HLOOKUP(AF$3,$D$7:$P$336,$R60,FALSE)</f>
        <v>102</v>
      </c>
      <c r="AG60" s="60">
        <f ca="1">100+HLOOKUP(AG$4,$D$7:$P$336,$R60,FALSE)-HLOOKUP(AG$3,$D$7:$P$336,$R60,FALSE)</f>
        <v>97</v>
      </c>
      <c r="AH60" s="60" t="e">
        <f>100+HLOOKUP(AH$4,$D$7:$P$336,$R60,FALSE)-HLOOKUP(AH$3,$D$7:$P$336,$R60,FALSE)</f>
        <v>#N/A</v>
      </c>
      <c r="AI60" s="60" t="e">
        <f>100+HLOOKUP(AI$4,$D$7:$P$336,$R60,FALSE)-HLOOKUP(AI$3,$D$7:$P$336,$R60,FALSE)</f>
        <v>#N/A</v>
      </c>
      <c r="AJ60" s="60" t="e">
        <f>100+HLOOKUP(AJ$4,$D$7:$P$336,$R60,FALSE)-HLOOKUP(AJ$3,$D$7:$P$336,$R60,FALSE)</f>
        <v>#N/A</v>
      </c>
      <c r="AK60" s="60" t="e">
        <f>100+HLOOKUP(AK$4,$D$7:$P$336,$R60,FALSE)-HLOOKUP(AK$3,$D$7:$P$336,$R60,FALSE)</f>
        <v>#N/A</v>
      </c>
      <c r="AL60" s="60" t="e">
        <f>100+HLOOKUP(AL$4,$D$7:$P$336,$R60,FALSE)-HLOOKUP(AL$3,$D$7:$P$336,$R60,FALSE)</f>
        <v>#N/A</v>
      </c>
      <c r="AM60" s="60" t="e">
        <f>100+HLOOKUP(AM$4,$D$7:$P$336,$R60,FALSE)-HLOOKUP(AM$3,$D$7:$P$336,$R60,FALSE)</f>
        <v>#N/A</v>
      </c>
      <c r="AN60" s="60" t="e">
        <f>100+HLOOKUP(AN$4,$D$7:$P$336,$R60,FALSE)-HLOOKUP(AN$3,$D$7:$P$336,$R60,FALSE)</f>
        <v>#N/A</v>
      </c>
      <c r="AO60" s="60" t="e">
        <f>100+HLOOKUP(AO$4,$D$7:$P$336,$R60,FALSE)-HLOOKUP(AO$3,$D$7:$P$336,$R60,FALSE)</f>
        <v>#N/A</v>
      </c>
      <c r="AP60" s="60" t="e">
        <f>100+HLOOKUP(AP$4,$D$7:$P$336,$R60,FALSE)-HLOOKUP(AP$3,$D$7:$P$336,$R60,FALSE)</f>
        <v>#N/A</v>
      </c>
      <c r="AQ60" s="60" t="e">
        <f>100+HLOOKUP(AQ$4,$D$7:$P$336,$R60,FALSE)-HLOOKUP(AQ$3,$D$7:$P$336,$R60,FALSE)</f>
        <v>#N/A</v>
      </c>
      <c r="AV60" s="60">
        <f ca="1">AV$5-S60</f>
        <v>6.1903994267964322</v>
      </c>
      <c r="AW60" s="60">
        <f ca="1">AW$5-T60</f>
        <v>-2.7793494702422521</v>
      </c>
      <c r="AX60" s="60">
        <f ca="1">AX$5-U60</f>
        <v>4.7759154036680513</v>
      </c>
      <c r="AY60" s="60">
        <f ca="1">AY$5-V60</f>
        <v>-3.3969855984721988</v>
      </c>
      <c r="AZ60" s="60">
        <f ca="1">AZ$5-W60</f>
        <v>0.45448217259603041</v>
      </c>
      <c r="BA60" s="60">
        <f ca="1">BA$5-X60</f>
        <v>1.4650590589827033</v>
      </c>
      <c r="BB60" s="60">
        <f ca="1">BB$5-Y60</f>
        <v>-3.6494072726188733</v>
      </c>
      <c r="BC60" s="60">
        <f ca="1">BC$5-Z60</f>
        <v>10.437465909882164</v>
      </c>
      <c r="BD60" s="60">
        <f ca="1">BD$5-AA60</f>
        <v>0.93651866438236198</v>
      </c>
      <c r="BE60" s="60">
        <f ca="1">BE$5-AB60</f>
        <v>-5.170609408007806</v>
      </c>
      <c r="BF60" s="60">
        <f ca="1">BF$5-AC60</f>
        <v>-0.98269568352291969</v>
      </c>
      <c r="BG60" s="60">
        <f ca="1">BG$5-AD60</f>
        <v>1.9852587050185093</v>
      </c>
      <c r="BH60" s="60">
        <f ca="1">BH$5-AE60</f>
        <v>-4.0454077696324333</v>
      </c>
      <c r="BI60" s="60">
        <f ca="1">BI$5-AF60</f>
        <v>-11.391494488745195</v>
      </c>
      <c r="BJ60" s="60">
        <f ca="1">BJ$5-AG60</f>
        <v>-5.56044894232123</v>
      </c>
      <c r="BK60" s="60" t="e">
        <f>BK$5-AH60</f>
        <v>#N/A</v>
      </c>
      <c r="BL60" s="60" t="e">
        <f>BL$5-AI60</f>
        <v>#N/A</v>
      </c>
      <c r="BM60" s="60" t="e">
        <f>BM$5-AJ60</f>
        <v>#N/A</v>
      </c>
      <c r="BN60" s="60" t="e">
        <f>BN$5-AK60</f>
        <v>#N/A</v>
      </c>
      <c r="BO60" s="60" t="e">
        <f>BO$5-AL60</f>
        <v>#N/A</v>
      </c>
      <c r="BP60" s="60" t="e">
        <f>BP$5-AM60</f>
        <v>#N/A</v>
      </c>
      <c r="BQ60" s="60" t="e">
        <f>BQ$5-AN60</f>
        <v>#N/A</v>
      </c>
      <c r="BR60" s="60" t="e">
        <f>BR$5-AO60</f>
        <v>#N/A</v>
      </c>
      <c r="BS60" s="60" t="e">
        <f>BS$5-AP60</f>
        <v>#N/A</v>
      </c>
      <c r="BT60" s="60" t="e">
        <f>BT$5-AQ60</f>
        <v>#N/A</v>
      </c>
      <c r="BV60" s="60" cm="1">
        <f t="array" aca="1" ref="BV60" ca="1">SQRT(SUMSQ(_xlfn._xlws.FILTER(AV60:BT60,ISNUMBER(AV60:BT60)))/COUNT(_xlfn._xlws.FILTER(AV60:BT60,ISNUMBER(AV60:BT60))))</f>
        <v>5.2572223511039686</v>
      </c>
    </row>
    <row r="61" spans="3:74" x14ac:dyDescent="0.2">
      <c r="C61" s="60" t="s">
        <v>439</v>
      </c>
      <c r="D61" s="60">
        <v>0</v>
      </c>
      <c r="E61" s="60">
        <v>-2</v>
      </c>
      <c r="F61" s="60">
        <v>-4</v>
      </c>
      <c r="G61" s="60">
        <v>-5</v>
      </c>
      <c r="H61" s="60">
        <v>-6</v>
      </c>
      <c r="I61" s="60">
        <v>-9</v>
      </c>
      <c r="J61" s="60">
        <v>-9</v>
      </c>
      <c r="K61" s="60">
        <v>-5</v>
      </c>
      <c r="L61" s="60">
        <v>-2</v>
      </c>
      <c r="M61" s="60">
        <v>1</v>
      </c>
      <c r="N61" s="60">
        <v>1</v>
      </c>
      <c r="O61" s="60">
        <v>-1</v>
      </c>
      <c r="P61" s="60">
        <v>0</v>
      </c>
      <c r="R61" s="61">
        <f>(ROW(R61)-ROW($C$6))</f>
        <v>55</v>
      </c>
      <c r="S61" s="60">
        <f ca="1">100+HLOOKUP(S$4,$D$7:$P$336,$R61,FALSE)-HLOOKUP(S$3,$D$7:$P$336,$R61,FALSE)</f>
        <v>93</v>
      </c>
      <c r="T61" s="60">
        <f ca="1">100+HLOOKUP(T$4,$D$7:$P$336,$R61,FALSE)-HLOOKUP(T$3,$D$7:$P$336,$R61,FALSE)</f>
        <v>92</v>
      </c>
      <c r="U61" s="60">
        <f ca="1">100+HLOOKUP(U$4,$D$7:$P$336,$R61,FALSE)-HLOOKUP(U$3,$D$7:$P$336,$R61,FALSE)</f>
        <v>100</v>
      </c>
      <c r="V61" s="60">
        <f ca="1">100+HLOOKUP(V$4,$D$7:$P$336,$R61,FALSE)-HLOOKUP(V$3,$D$7:$P$336,$R61,FALSE)</f>
        <v>90</v>
      </c>
      <c r="W61" s="60">
        <f ca="1">100+HLOOKUP(W$4,$D$7:$P$336,$R61,FALSE)-HLOOKUP(W$3,$D$7:$P$336,$R61,FALSE)</f>
        <v>95</v>
      </c>
      <c r="X61" s="60">
        <f ca="1">100+HLOOKUP(X$4,$D$7:$P$336,$R61,FALSE)-HLOOKUP(X$3,$D$7:$P$336,$R61,FALSE)</f>
        <v>93</v>
      </c>
      <c r="Y61" s="60">
        <f ca="1">100+HLOOKUP(Y$4,$D$7:$P$336,$R61,FALSE)-HLOOKUP(Y$3,$D$7:$P$336,$R61,FALSE)</f>
        <v>92</v>
      </c>
      <c r="Z61" s="60">
        <f ca="1">100+HLOOKUP(Z$4,$D$7:$P$336,$R61,FALSE)-HLOOKUP(Z$3,$D$7:$P$336,$R61,FALSE)</f>
        <v>100</v>
      </c>
      <c r="AA61" s="60">
        <f ca="1">100+HLOOKUP(AA$4,$D$7:$P$336,$R61,FALSE)-HLOOKUP(AA$3,$D$7:$P$336,$R61,FALSE)</f>
        <v>90</v>
      </c>
      <c r="AB61" s="60">
        <f ca="1">100+HLOOKUP(AB$4,$D$7:$P$336,$R61,FALSE)-HLOOKUP(AB$3,$D$7:$P$336,$R61,FALSE)</f>
        <v>95</v>
      </c>
      <c r="AC61" s="60">
        <f ca="1">100+HLOOKUP(AC$4,$D$7:$P$336,$R61,FALSE)-HLOOKUP(AC$3,$D$7:$P$336,$R61,FALSE)</f>
        <v>105</v>
      </c>
      <c r="AD61" s="60">
        <f ca="1">100+HLOOKUP(AD$4,$D$7:$P$336,$R61,FALSE)-HLOOKUP(AD$3,$D$7:$P$336,$R61,FALSE)</f>
        <v>105</v>
      </c>
      <c r="AE61" s="60">
        <f ca="1">100+HLOOKUP(AE$4,$D$7:$P$336,$R61,FALSE)-HLOOKUP(AE$3,$D$7:$P$336,$R61,FALSE)</f>
        <v>107</v>
      </c>
      <c r="AF61" s="60">
        <f ca="1">100+HLOOKUP(AF$4,$D$7:$P$336,$R61,FALSE)-HLOOKUP(AF$3,$D$7:$P$336,$R61,FALSE)</f>
        <v>97</v>
      </c>
      <c r="AG61" s="60">
        <f ca="1">100+HLOOKUP(AG$4,$D$7:$P$336,$R61,FALSE)-HLOOKUP(AG$3,$D$7:$P$336,$R61,FALSE)</f>
        <v>90</v>
      </c>
      <c r="AH61" s="60" t="e">
        <f>100+HLOOKUP(AH$4,$D$7:$P$336,$R61,FALSE)-HLOOKUP(AH$3,$D$7:$P$336,$R61,FALSE)</f>
        <v>#N/A</v>
      </c>
      <c r="AI61" s="60" t="e">
        <f>100+HLOOKUP(AI$4,$D$7:$P$336,$R61,FALSE)-HLOOKUP(AI$3,$D$7:$P$336,$R61,FALSE)</f>
        <v>#N/A</v>
      </c>
      <c r="AJ61" s="60" t="e">
        <f>100+HLOOKUP(AJ$4,$D$7:$P$336,$R61,FALSE)-HLOOKUP(AJ$3,$D$7:$P$336,$R61,FALSE)</f>
        <v>#N/A</v>
      </c>
      <c r="AK61" s="60" t="e">
        <f>100+HLOOKUP(AK$4,$D$7:$P$336,$R61,FALSE)-HLOOKUP(AK$3,$D$7:$P$336,$R61,FALSE)</f>
        <v>#N/A</v>
      </c>
      <c r="AL61" s="60" t="e">
        <f>100+HLOOKUP(AL$4,$D$7:$P$336,$R61,FALSE)-HLOOKUP(AL$3,$D$7:$P$336,$R61,FALSE)</f>
        <v>#N/A</v>
      </c>
      <c r="AM61" s="60" t="e">
        <f>100+HLOOKUP(AM$4,$D$7:$P$336,$R61,FALSE)-HLOOKUP(AM$3,$D$7:$P$336,$R61,FALSE)</f>
        <v>#N/A</v>
      </c>
      <c r="AN61" s="60" t="e">
        <f>100+HLOOKUP(AN$4,$D$7:$P$336,$R61,FALSE)-HLOOKUP(AN$3,$D$7:$P$336,$R61,FALSE)</f>
        <v>#N/A</v>
      </c>
      <c r="AO61" s="60" t="e">
        <f>100+HLOOKUP(AO$4,$D$7:$P$336,$R61,FALSE)-HLOOKUP(AO$3,$D$7:$P$336,$R61,FALSE)</f>
        <v>#N/A</v>
      </c>
      <c r="AP61" s="60" t="e">
        <f>100+HLOOKUP(AP$4,$D$7:$P$336,$R61,FALSE)-HLOOKUP(AP$3,$D$7:$P$336,$R61,FALSE)</f>
        <v>#N/A</v>
      </c>
      <c r="AQ61" s="60" t="e">
        <f>100+HLOOKUP(AQ$4,$D$7:$P$336,$R61,FALSE)-HLOOKUP(AQ$3,$D$7:$P$336,$R61,FALSE)</f>
        <v>#N/A</v>
      </c>
      <c r="AV61" s="60">
        <f ca="1">AV$5-S61</f>
        <v>10.190399426796432</v>
      </c>
      <c r="AW61" s="60">
        <f ca="1">AW$5-T61</f>
        <v>2.2206505297577479</v>
      </c>
      <c r="AX61" s="60">
        <f ca="1">AX$5-U61</f>
        <v>1.7759154036680513</v>
      </c>
      <c r="AY61" s="60">
        <f ca="1">AY$5-V61</f>
        <v>3.6030144015278012</v>
      </c>
      <c r="AZ61" s="60">
        <f ca="1">AZ$5-W61</f>
        <v>2.4544821725960304</v>
      </c>
      <c r="BA61" s="60">
        <f ca="1">BA$5-X61</f>
        <v>5.4650590589827033</v>
      </c>
      <c r="BB61" s="60">
        <f ca="1">BB$5-Y61</f>
        <v>1.3505927273811267</v>
      </c>
      <c r="BC61" s="60">
        <f ca="1">BC$5-Z61</f>
        <v>7.4374659098821638</v>
      </c>
      <c r="BD61" s="60">
        <f ca="1">BD$5-AA61</f>
        <v>7.936518664382362</v>
      </c>
      <c r="BE61" s="60">
        <f ca="1">BE$5-AB61</f>
        <v>-3.170609408007806</v>
      </c>
      <c r="BF61" s="60">
        <f ca="1">BF$5-AC61</f>
        <v>-3.9826956835229197</v>
      </c>
      <c r="BG61" s="60">
        <f ca="1">BG$5-AD61</f>
        <v>-1.0147412949814907</v>
      </c>
      <c r="BH61" s="60">
        <f ca="1">BH$5-AE61</f>
        <v>-8.0454077696324333</v>
      </c>
      <c r="BI61" s="60">
        <f ca="1">BI$5-AF61</f>
        <v>-6.3914944887451952</v>
      </c>
      <c r="BJ61" s="60">
        <f ca="1">BJ$5-AG61</f>
        <v>1.43955105767877</v>
      </c>
      <c r="BK61" s="60" t="e">
        <f>BK$5-AH61</f>
        <v>#N/A</v>
      </c>
      <c r="BL61" s="60" t="e">
        <f>BL$5-AI61</f>
        <v>#N/A</v>
      </c>
      <c r="BM61" s="60" t="e">
        <f>BM$5-AJ61</f>
        <v>#N/A</v>
      </c>
      <c r="BN61" s="60" t="e">
        <f>BN$5-AK61</f>
        <v>#N/A</v>
      </c>
      <c r="BO61" s="60" t="e">
        <f>BO$5-AL61</f>
        <v>#N/A</v>
      </c>
      <c r="BP61" s="60" t="e">
        <f>BP$5-AM61</f>
        <v>#N/A</v>
      </c>
      <c r="BQ61" s="60" t="e">
        <f>BQ$5-AN61</f>
        <v>#N/A</v>
      </c>
      <c r="BR61" s="60" t="e">
        <f>BR$5-AO61</f>
        <v>#N/A</v>
      </c>
      <c r="BS61" s="60" t="e">
        <f>BS$5-AP61</f>
        <v>#N/A</v>
      </c>
      <c r="BT61" s="60" t="e">
        <f>BT$5-AQ61</f>
        <v>#N/A</v>
      </c>
      <c r="BV61" s="60" cm="1">
        <f t="array" aca="1" ref="BV61" ca="1">SQRT(SUMSQ(_xlfn._xlws.FILTER(AV61:BT61,ISNUMBER(AV61:BT61)))/COUNT(_xlfn._xlws.FILTER(AV61:BT61,ISNUMBER(AV61:BT61))))</f>
        <v>5.2632513603903277</v>
      </c>
    </row>
    <row r="62" spans="3:74" x14ac:dyDescent="0.2">
      <c r="C62" s="60" t="s">
        <v>456</v>
      </c>
      <c r="D62" s="60">
        <v>0</v>
      </c>
      <c r="E62" s="60">
        <v>-2</v>
      </c>
      <c r="F62" s="60">
        <v>-4</v>
      </c>
      <c r="G62" s="60">
        <v>-6</v>
      </c>
      <c r="H62" s="60">
        <v>-8</v>
      </c>
      <c r="I62" s="60">
        <v>-6</v>
      </c>
      <c r="J62" s="60">
        <v>-8</v>
      </c>
      <c r="K62" s="60">
        <v>-6</v>
      </c>
      <c r="L62" s="60">
        <v>-4</v>
      </c>
      <c r="M62" s="60">
        <v>-2</v>
      </c>
      <c r="N62" s="60">
        <v>0</v>
      </c>
      <c r="O62" s="60">
        <v>2</v>
      </c>
      <c r="P62" s="60">
        <v>0</v>
      </c>
      <c r="R62" s="61">
        <f>(ROW(R62)-ROW($C$6))</f>
        <v>56</v>
      </c>
      <c r="S62" s="60">
        <f ca="1">100+HLOOKUP(S$4,$D$7:$P$336,$R62,FALSE)-HLOOKUP(S$3,$D$7:$P$336,$R62,FALSE)</f>
        <v>94</v>
      </c>
      <c r="T62" s="60">
        <f ca="1">100+HLOOKUP(T$4,$D$7:$P$336,$R62,FALSE)-HLOOKUP(T$3,$D$7:$P$336,$R62,FALSE)</f>
        <v>90</v>
      </c>
      <c r="U62" s="60">
        <f ca="1">100+HLOOKUP(U$4,$D$7:$P$336,$R62,FALSE)-HLOOKUP(U$3,$D$7:$P$336,$R62,FALSE)</f>
        <v>98</v>
      </c>
      <c r="V62" s="60">
        <f ca="1">100+HLOOKUP(V$4,$D$7:$P$336,$R62,FALSE)-HLOOKUP(V$3,$D$7:$P$336,$R62,FALSE)</f>
        <v>94</v>
      </c>
      <c r="W62" s="60">
        <f ca="1">100+HLOOKUP(W$4,$D$7:$P$336,$R62,FALSE)-HLOOKUP(W$3,$D$7:$P$336,$R62,FALSE)</f>
        <v>94</v>
      </c>
      <c r="X62" s="60">
        <f ca="1">100+HLOOKUP(X$4,$D$7:$P$336,$R62,FALSE)-HLOOKUP(X$3,$D$7:$P$336,$R62,FALSE)</f>
        <v>94</v>
      </c>
      <c r="Y62" s="60">
        <f ca="1">100+HLOOKUP(Y$4,$D$7:$P$336,$R62,FALSE)-HLOOKUP(Y$3,$D$7:$P$336,$R62,FALSE)</f>
        <v>90</v>
      </c>
      <c r="Z62" s="60">
        <f ca="1">100+HLOOKUP(Z$4,$D$7:$P$336,$R62,FALSE)-HLOOKUP(Z$3,$D$7:$P$336,$R62,FALSE)</f>
        <v>98</v>
      </c>
      <c r="AA62" s="60">
        <f ca="1">100+HLOOKUP(AA$4,$D$7:$P$336,$R62,FALSE)-HLOOKUP(AA$3,$D$7:$P$336,$R62,FALSE)</f>
        <v>94</v>
      </c>
      <c r="AB62" s="60">
        <f ca="1">100+HLOOKUP(AB$4,$D$7:$P$336,$R62,FALSE)-HLOOKUP(AB$3,$D$7:$P$336,$R62,FALSE)</f>
        <v>94</v>
      </c>
      <c r="AC62" s="60">
        <f ca="1">100+HLOOKUP(AC$4,$D$7:$P$336,$R62,FALSE)-HLOOKUP(AC$3,$D$7:$P$336,$R62,FALSE)</f>
        <v>102</v>
      </c>
      <c r="AD62" s="60">
        <f ca="1">100+HLOOKUP(AD$4,$D$7:$P$336,$R62,FALSE)-HLOOKUP(AD$3,$D$7:$P$336,$R62,FALSE)</f>
        <v>110</v>
      </c>
      <c r="AE62" s="60">
        <f ca="1">100+HLOOKUP(AE$4,$D$7:$P$336,$R62,FALSE)-HLOOKUP(AE$3,$D$7:$P$336,$R62,FALSE)</f>
        <v>106</v>
      </c>
      <c r="AF62" s="60">
        <f ca="1">100+HLOOKUP(AF$4,$D$7:$P$336,$R62,FALSE)-HLOOKUP(AF$3,$D$7:$P$336,$R62,FALSE)</f>
        <v>98</v>
      </c>
      <c r="AG62" s="60">
        <f ca="1">100+HLOOKUP(AG$4,$D$7:$P$336,$R62,FALSE)-HLOOKUP(AG$3,$D$7:$P$336,$R62,FALSE)</f>
        <v>94</v>
      </c>
      <c r="AH62" s="60" t="e">
        <f>100+HLOOKUP(AH$4,$D$7:$P$336,$R62,FALSE)-HLOOKUP(AH$3,$D$7:$P$336,$R62,FALSE)</f>
        <v>#N/A</v>
      </c>
      <c r="AI62" s="60" t="e">
        <f>100+HLOOKUP(AI$4,$D$7:$P$336,$R62,FALSE)-HLOOKUP(AI$3,$D$7:$P$336,$R62,FALSE)</f>
        <v>#N/A</v>
      </c>
      <c r="AJ62" s="60" t="e">
        <f>100+HLOOKUP(AJ$4,$D$7:$P$336,$R62,FALSE)-HLOOKUP(AJ$3,$D$7:$P$336,$R62,FALSE)</f>
        <v>#N/A</v>
      </c>
      <c r="AK62" s="60" t="e">
        <f>100+HLOOKUP(AK$4,$D$7:$P$336,$R62,FALSE)-HLOOKUP(AK$3,$D$7:$P$336,$R62,FALSE)</f>
        <v>#N/A</v>
      </c>
      <c r="AL62" s="60" t="e">
        <f>100+HLOOKUP(AL$4,$D$7:$P$336,$R62,FALSE)-HLOOKUP(AL$3,$D$7:$P$336,$R62,FALSE)</f>
        <v>#N/A</v>
      </c>
      <c r="AM62" s="60" t="e">
        <f>100+HLOOKUP(AM$4,$D$7:$P$336,$R62,FALSE)-HLOOKUP(AM$3,$D$7:$P$336,$R62,FALSE)</f>
        <v>#N/A</v>
      </c>
      <c r="AN62" s="60" t="e">
        <f>100+HLOOKUP(AN$4,$D$7:$P$336,$R62,FALSE)-HLOOKUP(AN$3,$D$7:$P$336,$R62,FALSE)</f>
        <v>#N/A</v>
      </c>
      <c r="AO62" s="60" t="e">
        <f>100+HLOOKUP(AO$4,$D$7:$P$336,$R62,FALSE)-HLOOKUP(AO$3,$D$7:$P$336,$R62,FALSE)</f>
        <v>#N/A</v>
      </c>
      <c r="AP62" s="60" t="e">
        <f>100+HLOOKUP(AP$4,$D$7:$P$336,$R62,FALSE)-HLOOKUP(AP$3,$D$7:$P$336,$R62,FALSE)</f>
        <v>#N/A</v>
      </c>
      <c r="AQ62" s="60" t="e">
        <f>100+HLOOKUP(AQ$4,$D$7:$P$336,$R62,FALSE)-HLOOKUP(AQ$3,$D$7:$P$336,$R62,FALSE)</f>
        <v>#N/A</v>
      </c>
      <c r="AV62" s="60">
        <f ca="1">AV$5-S62</f>
        <v>9.1903994267964322</v>
      </c>
      <c r="AW62" s="60">
        <f ca="1">AW$5-T62</f>
        <v>4.2206505297577479</v>
      </c>
      <c r="AX62" s="60">
        <f ca="1">AX$5-U62</f>
        <v>3.7759154036680513</v>
      </c>
      <c r="AY62" s="60">
        <f ca="1">AY$5-V62</f>
        <v>-0.39698559847219883</v>
      </c>
      <c r="AZ62" s="60">
        <f ca="1">AZ$5-W62</f>
        <v>3.4544821725960304</v>
      </c>
      <c r="BA62" s="60">
        <f ca="1">BA$5-X62</f>
        <v>4.4650590589827033</v>
      </c>
      <c r="BB62" s="60">
        <f ca="1">BB$5-Y62</f>
        <v>3.3505927273811267</v>
      </c>
      <c r="BC62" s="60">
        <f ca="1">BC$5-Z62</f>
        <v>9.4374659098821638</v>
      </c>
      <c r="BD62" s="60">
        <f ca="1">BD$5-AA62</f>
        <v>3.936518664382362</v>
      </c>
      <c r="BE62" s="60">
        <f ca="1">BE$5-AB62</f>
        <v>-2.170609408007806</v>
      </c>
      <c r="BF62" s="60">
        <f ca="1">BF$5-AC62</f>
        <v>-0.98269568352291969</v>
      </c>
      <c r="BG62" s="60">
        <f ca="1">BG$5-AD62</f>
        <v>-6.0147412949814907</v>
      </c>
      <c r="BH62" s="60">
        <f ca="1">BH$5-AE62</f>
        <v>-7.0454077696324333</v>
      </c>
      <c r="BI62" s="60">
        <f ca="1">BI$5-AF62</f>
        <v>-7.3914944887451952</v>
      </c>
      <c r="BJ62" s="60">
        <f ca="1">BJ$5-AG62</f>
        <v>-2.56044894232123</v>
      </c>
      <c r="BK62" s="60" t="e">
        <f>BK$5-AH62</f>
        <v>#N/A</v>
      </c>
      <c r="BL62" s="60" t="e">
        <f>BL$5-AI62</f>
        <v>#N/A</v>
      </c>
      <c r="BM62" s="60" t="e">
        <f>BM$5-AJ62</f>
        <v>#N/A</v>
      </c>
      <c r="BN62" s="60" t="e">
        <f>BN$5-AK62</f>
        <v>#N/A</v>
      </c>
      <c r="BO62" s="60" t="e">
        <f>BO$5-AL62</f>
        <v>#N/A</v>
      </c>
      <c r="BP62" s="60" t="e">
        <f>BP$5-AM62</f>
        <v>#N/A</v>
      </c>
      <c r="BQ62" s="60" t="e">
        <f>BQ$5-AN62</f>
        <v>#N/A</v>
      </c>
      <c r="BR62" s="60" t="e">
        <f>BR$5-AO62</f>
        <v>#N/A</v>
      </c>
      <c r="BS62" s="60" t="e">
        <f>BS$5-AP62</f>
        <v>#N/A</v>
      </c>
      <c r="BT62" s="60" t="e">
        <f>BT$5-AQ62</f>
        <v>#N/A</v>
      </c>
      <c r="BV62" s="60" cm="1">
        <f t="array" aca="1" ref="BV62" ca="1">SQRT(SUMSQ(_xlfn._xlws.FILTER(AV62:BT62,ISNUMBER(AV62:BT62)))/COUNT(_xlfn._xlws.FILTER(AV62:BT62,ISNUMBER(AV62:BT62))))</f>
        <v>5.2727809827346679</v>
      </c>
    </row>
    <row r="63" spans="3:74" x14ac:dyDescent="0.2">
      <c r="C63" s="60" t="s">
        <v>294</v>
      </c>
      <c r="D63" s="60">
        <v>0</v>
      </c>
      <c r="E63" s="60">
        <v>1</v>
      </c>
      <c r="F63" s="60">
        <v>1</v>
      </c>
      <c r="G63" s="60">
        <v>1</v>
      </c>
      <c r="H63" s="60">
        <v>2</v>
      </c>
      <c r="I63" s="60">
        <v>0</v>
      </c>
      <c r="J63" s="60">
        <v>1</v>
      </c>
      <c r="K63" s="60">
        <v>0</v>
      </c>
      <c r="L63" s="60">
        <v>1</v>
      </c>
      <c r="M63" s="60">
        <v>1</v>
      </c>
      <c r="N63" s="60">
        <v>0</v>
      </c>
      <c r="O63" s="60">
        <v>2</v>
      </c>
      <c r="P63" s="60">
        <v>0</v>
      </c>
      <c r="R63" s="61">
        <f>(ROW(R63)-ROW($C$6))</f>
        <v>57</v>
      </c>
      <c r="S63" s="60">
        <f ca="1">100+HLOOKUP(S$4,$D$7:$P$336,$R63,FALSE)-HLOOKUP(S$3,$D$7:$P$336,$R63,FALSE)</f>
        <v>101</v>
      </c>
      <c r="T63" s="60">
        <f ca="1">100+HLOOKUP(T$4,$D$7:$P$336,$R63,FALSE)-HLOOKUP(T$3,$D$7:$P$336,$R63,FALSE)</f>
        <v>99</v>
      </c>
      <c r="U63" s="60">
        <f ca="1">100+HLOOKUP(U$4,$D$7:$P$336,$R63,FALSE)-HLOOKUP(U$3,$D$7:$P$336,$R63,FALSE)</f>
        <v>100</v>
      </c>
      <c r="V63" s="60">
        <f ca="1">100+HLOOKUP(V$4,$D$7:$P$336,$R63,FALSE)-HLOOKUP(V$3,$D$7:$P$336,$R63,FALSE)</f>
        <v>100</v>
      </c>
      <c r="W63" s="60">
        <f ca="1">100+HLOOKUP(W$4,$D$7:$P$336,$R63,FALSE)-HLOOKUP(W$3,$D$7:$P$336,$R63,FALSE)</f>
        <v>100</v>
      </c>
      <c r="X63" s="60">
        <f ca="1">100+HLOOKUP(X$4,$D$7:$P$336,$R63,FALSE)-HLOOKUP(X$3,$D$7:$P$336,$R63,FALSE)</f>
        <v>101</v>
      </c>
      <c r="Y63" s="60">
        <f ca="1">100+HLOOKUP(Y$4,$D$7:$P$336,$R63,FALSE)-HLOOKUP(Y$3,$D$7:$P$336,$R63,FALSE)</f>
        <v>99</v>
      </c>
      <c r="Z63" s="60">
        <f ca="1">100+HLOOKUP(Z$4,$D$7:$P$336,$R63,FALSE)-HLOOKUP(Z$3,$D$7:$P$336,$R63,FALSE)</f>
        <v>100</v>
      </c>
      <c r="AA63" s="60">
        <f ca="1">100+HLOOKUP(AA$4,$D$7:$P$336,$R63,FALSE)-HLOOKUP(AA$3,$D$7:$P$336,$R63,FALSE)</f>
        <v>100</v>
      </c>
      <c r="AB63" s="60">
        <f ca="1">100+HLOOKUP(AB$4,$D$7:$P$336,$R63,FALSE)-HLOOKUP(AB$3,$D$7:$P$336,$R63,FALSE)</f>
        <v>100</v>
      </c>
      <c r="AC63" s="60">
        <f ca="1">100+HLOOKUP(AC$4,$D$7:$P$336,$R63,FALSE)-HLOOKUP(AC$3,$D$7:$P$336,$R63,FALSE)</f>
        <v>100</v>
      </c>
      <c r="AD63" s="60">
        <f ca="1">100+HLOOKUP(AD$4,$D$7:$P$336,$R63,FALSE)-HLOOKUP(AD$3,$D$7:$P$336,$R63,FALSE)</f>
        <v>100</v>
      </c>
      <c r="AE63" s="60">
        <f ca="1">100+HLOOKUP(AE$4,$D$7:$P$336,$R63,FALSE)-HLOOKUP(AE$3,$D$7:$P$336,$R63,FALSE)</f>
        <v>100</v>
      </c>
      <c r="AF63" s="60">
        <f ca="1">100+HLOOKUP(AF$4,$D$7:$P$336,$R63,FALSE)-HLOOKUP(AF$3,$D$7:$P$336,$R63,FALSE)</f>
        <v>100</v>
      </c>
      <c r="AG63" s="60">
        <f ca="1">100+HLOOKUP(AG$4,$D$7:$P$336,$R63,FALSE)-HLOOKUP(AG$3,$D$7:$P$336,$R63,FALSE)</f>
        <v>100</v>
      </c>
      <c r="AH63" s="60" t="e">
        <f>100+HLOOKUP(AH$4,$D$7:$P$336,$R63,FALSE)-HLOOKUP(AH$3,$D$7:$P$336,$R63,FALSE)</f>
        <v>#N/A</v>
      </c>
      <c r="AI63" s="60" t="e">
        <f>100+HLOOKUP(AI$4,$D$7:$P$336,$R63,FALSE)-HLOOKUP(AI$3,$D$7:$P$336,$R63,FALSE)</f>
        <v>#N/A</v>
      </c>
      <c r="AJ63" s="60" t="e">
        <f>100+HLOOKUP(AJ$4,$D$7:$P$336,$R63,FALSE)-HLOOKUP(AJ$3,$D$7:$P$336,$R63,FALSE)</f>
        <v>#N/A</v>
      </c>
      <c r="AK63" s="60" t="e">
        <f>100+HLOOKUP(AK$4,$D$7:$P$336,$R63,FALSE)-HLOOKUP(AK$3,$D$7:$P$336,$R63,FALSE)</f>
        <v>#N/A</v>
      </c>
      <c r="AL63" s="60" t="e">
        <f>100+HLOOKUP(AL$4,$D$7:$P$336,$R63,FALSE)-HLOOKUP(AL$3,$D$7:$P$336,$R63,FALSE)</f>
        <v>#N/A</v>
      </c>
      <c r="AM63" s="60" t="e">
        <f>100+HLOOKUP(AM$4,$D$7:$P$336,$R63,FALSE)-HLOOKUP(AM$3,$D$7:$P$336,$R63,FALSE)</f>
        <v>#N/A</v>
      </c>
      <c r="AN63" s="60" t="e">
        <f>100+HLOOKUP(AN$4,$D$7:$P$336,$R63,FALSE)-HLOOKUP(AN$3,$D$7:$P$336,$R63,FALSE)</f>
        <v>#N/A</v>
      </c>
      <c r="AO63" s="60" t="e">
        <f>100+HLOOKUP(AO$4,$D$7:$P$336,$R63,FALSE)-HLOOKUP(AO$3,$D$7:$P$336,$R63,FALSE)</f>
        <v>#N/A</v>
      </c>
      <c r="AP63" s="60" t="e">
        <f>100+HLOOKUP(AP$4,$D$7:$P$336,$R63,FALSE)-HLOOKUP(AP$3,$D$7:$P$336,$R63,FALSE)</f>
        <v>#N/A</v>
      </c>
      <c r="AQ63" s="60" t="e">
        <f>100+HLOOKUP(AQ$4,$D$7:$P$336,$R63,FALSE)-HLOOKUP(AQ$3,$D$7:$P$336,$R63,FALSE)</f>
        <v>#N/A</v>
      </c>
      <c r="AV63" s="60">
        <f ca="1">AV$5-S63</f>
        <v>2.1903994267964322</v>
      </c>
      <c r="AW63" s="60">
        <f ca="1">AW$5-T63</f>
        <v>-4.7793494702422521</v>
      </c>
      <c r="AX63" s="60">
        <f ca="1">AX$5-U63</f>
        <v>1.7759154036680513</v>
      </c>
      <c r="AY63" s="60">
        <f ca="1">AY$5-V63</f>
        <v>-6.3969855984721988</v>
      </c>
      <c r="AZ63" s="60">
        <f ca="1">AZ$5-W63</f>
        <v>-2.5455178274039696</v>
      </c>
      <c r="BA63" s="60">
        <f ca="1">BA$5-X63</f>
        <v>-2.5349409410172967</v>
      </c>
      <c r="BB63" s="60">
        <f ca="1">BB$5-Y63</f>
        <v>-5.6494072726188733</v>
      </c>
      <c r="BC63" s="60">
        <f ca="1">BC$5-Z63</f>
        <v>7.4374659098821638</v>
      </c>
      <c r="BD63" s="60">
        <f ca="1">BD$5-AA63</f>
        <v>-2.063481335617638</v>
      </c>
      <c r="BE63" s="60">
        <f ca="1">BE$5-AB63</f>
        <v>-8.170609408007806</v>
      </c>
      <c r="BF63" s="60">
        <f ca="1">BF$5-AC63</f>
        <v>1.0173043164770803</v>
      </c>
      <c r="BG63" s="60">
        <f ca="1">BG$5-AD63</f>
        <v>3.9852587050185093</v>
      </c>
      <c r="BH63" s="60">
        <f ca="1">BH$5-AE63</f>
        <v>-1.0454077696324333</v>
      </c>
      <c r="BI63" s="60">
        <f ca="1">BI$5-AF63</f>
        <v>-9.3914944887451952</v>
      </c>
      <c r="BJ63" s="60">
        <f ca="1">BJ$5-AG63</f>
        <v>-8.56044894232123</v>
      </c>
      <c r="BK63" s="60" t="e">
        <f>BK$5-AH63</f>
        <v>#N/A</v>
      </c>
      <c r="BL63" s="60" t="e">
        <f>BL$5-AI63</f>
        <v>#N/A</v>
      </c>
      <c r="BM63" s="60" t="e">
        <f>BM$5-AJ63</f>
        <v>#N/A</v>
      </c>
      <c r="BN63" s="60" t="e">
        <f>BN$5-AK63</f>
        <v>#N/A</v>
      </c>
      <c r="BO63" s="60" t="e">
        <f>BO$5-AL63</f>
        <v>#N/A</v>
      </c>
      <c r="BP63" s="60" t="e">
        <f>BP$5-AM63</f>
        <v>#N/A</v>
      </c>
      <c r="BQ63" s="60" t="e">
        <f>BQ$5-AN63</f>
        <v>#N/A</v>
      </c>
      <c r="BR63" s="60" t="e">
        <f>BR$5-AO63</f>
        <v>#N/A</v>
      </c>
      <c r="BS63" s="60" t="e">
        <f>BS$5-AP63</f>
        <v>#N/A</v>
      </c>
      <c r="BT63" s="60" t="e">
        <f>BT$5-AQ63</f>
        <v>#N/A</v>
      </c>
      <c r="BV63" s="60" cm="1">
        <f t="array" aca="1" ref="BV63" ca="1">SQRT(SUMSQ(_xlfn._xlws.FILTER(AV63:BT63,ISNUMBER(AV63:BT63)))/COUNT(_xlfn._xlws.FILTER(AV63:BT63,ISNUMBER(AV63:BT63))))</f>
        <v>5.3063544304431911</v>
      </c>
    </row>
    <row r="64" spans="3:74" x14ac:dyDescent="0.2">
      <c r="C64" s="60" t="s">
        <v>283</v>
      </c>
      <c r="D64" s="60">
        <v>0</v>
      </c>
      <c r="E64" s="60">
        <v>-2</v>
      </c>
      <c r="F64" s="60">
        <v>-4</v>
      </c>
      <c r="G64" s="60">
        <v>-4</v>
      </c>
      <c r="H64" s="60">
        <v>-6</v>
      </c>
      <c r="I64" s="60">
        <v>-8</v>
      </c>
      <c r="J64" s="60">
        <v>-10</v>
      </c>
      <c r="K64" s="60">
        <v>-4</v>
      </c>
      <c r="L64" s="60">
        <v>-4</v>
      </c>
      <c r="M64" s="60">
        <v>-4</v>
      </c>
      <c r="N64" s="60">
        <v>2</v>
      </c>
      <c r="O64" s="60">
        <v>0</v>
      </c>
      <c r="P64" s="60">
        <v>0</v>
      </c>
      <c r="R64" s="61">
        <f>(ROW(R64)-ROW($C$6))</f>
        <v>58</v>
      </c>
      <c r="S64" s="60">
        <f ca="1">100+HLOOKUP(S$4,$D$7:$P$336,$R64,FALSE)-HLOOKUP(S$3,$D$7:$P$336,$R64,FALSE)</f>
        <v>98</v>
      </c>
      <c r="T64" s="60">
        <f ca="1">100+HLOOKUP(T$4,$D$7:$P$336,$R64,FALSE)-HLOOKUP(T$3,$D$7:$P$336,$R64,FALSE)</f>
        <v>90</v>
      </c>
      <c r="U64" s="60">
        <f ca="1">100+HLOOKUP(U$4,$D$7:$P$336,$R64,FALSE)-HLOOKUP(U$3,$D$7:$P$336,$R64,FALSE)</f>
        <v>98</v>
      </c>
      <c r="V64" s="60">
        <f ca="1">100+HLOOKUP(V$4,$D$7:$P$336,$R64,FALSE)-HLOOKUP(V$3,$D$7:$P$336,$R64,FALSE)</f>
        <v>90</v>
      </c>
      <c r="W64" s="60">
        <f ca="1">100+HLOOKUP(W$4,$D$7:$P$336,$R64,FALSE)-HLOOKUP(W$3,$D$7:$P$336,$R64,FALSE)</f>
        <v>96</v>
      </c>
      <c r="X64" s="60">
        <f ca="1">100+HLOOKUP(X$4,$D$7:$P$336,$R64,FALSE)-HLOOKUP(X$3,$D$7:$P$336,$R64,FALSE)</f>
        <v>98</v>
      </c>
      <c r="Y64" s="60">
        <f ca="1">100+HLOOKUP(Y$4,$D$7:$P$336,$R64,FALSE)-HLOOKUP(Y$3,$D$7:$P$336,$R64,FALSE)</f>
        <v>90</v>
      </c>
      <c r="Z64" s="60">
        <f ca="1">100+HLOOKUP(Z$4,$D$7:$P$336,$R64,FALSE)-HLOOKUP(Z$3,$D$7:$P$336,$R64,FALSE)</f>
        <v>98</v>
      </c>
      <c r="AA64" s="60">
        <f ca="1">100+HLOOKUP(AA$4,$D$7:$P$336,$R64,FALSE)-HLOOKUP(AA$3,$D$7:$P$336,$R64,FALSE)</f>
        <v>90</v>
      </c>
      <c r="AB64" s="60">
        <f ca="1">100+HLOOKUP(AB$4,$D$7:$P$336,$R64,FALSE)-HLOOKUP(AB$3,$D$7:$P$336,$R64,FALSE)</f>
        <v>96</v>
      </c>
      <c r="AC64" s="60">
        <f ca="1">100+HLOOKUP(AC$4,$D$7:$P$336,$R64,FALSE)-HLOOKUP(AC$3,$D$7:$P$336,$R64,FALSE)</f>
        <v>100</v>
      </c>
      <c r="AD64" s="60">
        <f ca="1">100+HLOOKUP(AD$4,$D$7:$P$336,$R64,FALSE)-HLOOKUP(AD$3,$D$7:$P$336,$R64,FALSE)</f>
        <v>106</v>
      </c>
      <c r="AE64" s="60">
        <f ca="1">100+HLOOKUP(AE$4,$D$7:$P$336,$R64,FALSE)-HLOOKUP(AE$3,$D$7:$P$336,$R64,FALSE)</f>
        <v>108</v>
      </c>
      <c r="AF64" s="60">
        <f ca="1">100+HLOOKUP(AF$4,$D$7:$P$336,$R64,FALSE)-HLOOKUP(AF$3,$D$7:$P$336,$R64,FALSE)</f>
        <v>100</v>
      </c>
      <c r="AG64" s="60">
        <f ca="1">100+HLOOKUP(AG$4,$D$7:$P$336,$R64,FALSE)-HLOOKUP(AG$3,$D$7:$P$336,$R64,FALSE)</f>
        <v>90</v>
      </c>
      <c r="AH64" s="60" t="e">
        <f>100+HLOOKUP(AH$4,$D$7:$P$336,$R64,FALSE)-HLOOKUP(AH$3,$D$7:$P$336,$R64,FALSE)</f>
        <v>#N/A</v>
      </c>
      <c r="AI64" s="60" t="e">
        <f>100+HLOOKUP(AI$4,$D$7:$P$336,$R64,FALSE)-HLOOKUP(AI$3,$D$7:$P$336,$R64,FALSE)</f>
        <v>#N/A</v>
      </c>
      <c r="AJ64" s="60" t="e">
        <f>100+HLOOKUP(AJ$4,$D$7:$P$336,$R64,FALSE)-HLOOKUP(AJ$3,$D$7:$P$336,$R64,FALSE)</f>
        <v>#N/A</v>
      </c>
      <c r="AK64" s="60" t="e">
        <f>100+HLOOKUP(AK$4,$D$7:$P$336,$R64,FALSE)-HLOOKUP(AK$3,$D$7:$P$336,$R64,FALSE)</f>
        <v>#N/A</v>
      </c>
      <c r="AL64" s="60" t="e">
        <f>100+HLOOKUP(AL$4,$D$7:$P$336,$R64,FALSE)-HLOOKUP(AL$3,$D$7:$P$336,$R64,FALSE)</f>
        <v>#N/A</v>
      </c>
      <c r="AM64" s="60" t="e">
        <f>100+HLOOKUP(AM$4,$D$7:$P$336,$R64,FALSE)-HLOOKUP(AM$3,$D$7:$P$336,$R64,FALSE)</f>
        <v>#N/A</v>
      </c>
      <c r="AN64" s="60" t="e">
        <f>100+HLOOKUP(AN$4,$D$7:$P$336,$R64,FALSE)-HLOOKUP(AN$3,$D$7:$P$336,$R64,FALSE)</f>
        <v>#N/A</v>
      </c>
      <c r="AO64" s="60" t="e">
        <f>100+HLOOKUP(AO$4,$D$7:$P$336,$R64,FALSE)-HLOOKUP(AO$3,$D$7:$P$336,$R64,FALSE)</f>
        <v>#N/A</v>
      </c>
      <c r="AP64" s="60" t="e">
        <f>100+HLOOKUP(AP$4,$D$7:$P$336,$R64,FALSE)-HLOOKUP(AP$3,$D$7:$P$336,$R64,FALSE)</f>
        <v>#N/A</v>
      </c>
      <c r="AQ64" s="60" t="e">
        <f>100+HLOOKUP(AQ$4,$D$7:$P$336,$R64,FALSE)-HLOOKUP(AQ$3,$D$7:$P$336,$R64,FALSE)</f>
        <v>#N/A</v>
      </c>
      <c r="AV64" s="60">
        <f ca="1">AV$5-S64</f>
        <v>5.1903994267964322</v>
      </c>
      <c r="AW64" s="60">
        <f ca="1">AW$5-T64</f>
        <v>4.2206505297577479</v>
      </c>
      <c r="AX64" s="60">
        <f ca="1">AX$5-U64</f>
        <v>3.7759154036680513</v>
      </c>
      <c r="AY64" s="60">
        <f ca="1">AY$5-V64</f>
        <v>3.6030144015278012</v>
      </c>
      <c r="AZ64" s="60">
        <f ca="1">AZ$5-W64</f>
        <v>1.4544821725960304</v>
      </c>
      <c r="BA64" s="60">
        <f ca="1">BA$5-X64</f>
        <v>0.46505905898270328</v>
      </c>
      <c r="BB64" s="60">
        <f ca="1">BB$5-Y64</f>
        <v>3.3505927273811267</v>
      </c>
      <c r="BC64" s="60">
        <f ca="1">BC$5-Z64</f>
        <v>9.4374659098821638</v>
      </c>
      <c r="BD64" s="60">
        <f ca="1">BD$5-AA64</f>
        <v>7.936518664382362</v>
      </c>
      <c r="BE64" s="60">
        <f ca="1">BE$5-AB64</f>
        <v>-4.170609408007806</v>
      </c>
      <c r="BF64" s="60">
        <f ca="1">BF$5-AC64</f>
        <v>1.0173043164770803</v>
      </c>
      <c r="BG64" s="60">
        <f ca="1">BG$5-AD64</f>
        <v>-2.0147412949814907</v>
      </c>
      <c r="BH64" s="60">
        <f ca="1">BH$5-AE64</f>
        <v>-9.0454077696324333</v>
      </c>
      <c r="BI64" s="60">
        <f ca="1">BI$5-AF64</f>
        <v>-9.3914944887451952</v>
      </c>
      <c r="BJ64" s="60">
        <f ca="1">BJ$5-AG64</f>
        <v>1.43955105767877</v>
      </c>
      <c r="BK64" s="60" t="e">
        <f>BK$5-AH64</f>
        <v>#N/A</v>
      </c>
      <c r="BL64" s="60" t="e">
        <f>BL$5-AI64</f>
        <v>#N/A</v>
      </c>
      <c r="BM64" s="60" t="e">
        <f>BM$5-AJ64</f>
        <v>#N/A</v>
      </c>
      <c r="BN64" s="60" t="e">
        <f>BN$5-AK64</f>
        <v>#N/A</v>
      </c>
      <c r="BO64" s="60" t="e">
        <f>BO$5-AL64</f>
        <v>#N/A</v>
      </c>
      <c r="BP64" s="60" t="e">
        <f>BP$5-AM64</f>
        <v>#N/A</v>
      </c>
      <c r="BQ64" s="60" t="e">
        <f>BQ$5-AN64</f>
        <v>#N/A</v>
      </c>
      <c r="BR64" s="60" t="e">
        <f>BR$5-AO64</f>
        <v>#N/A</v>
      </c>
      <c r="BS64" s="60" t="e">
        <f>BS$5-AP64</f>
        <v>#N/A</v>
      </c>
      <c r="BT64" s="60" t="e">
        <f>BT$5-AQ64</f>
        <v>#N/A</v>
      </c>
      <c r="BV64" s="60" cm="1">
        <f t="array" aca="1" ref="BV64" ca="1">SQRT(SUMSQ(_xlfn._xlws.FILTER(AV64:BT64,ISNUMBER(AV64:BT64)))/COUNT(_xlfn._xlws.FILTER(AV64:BT64,ISNUMBER(AV64:BT64))))</f>
        <v>5.3677164565080986</v>
      </c>
    </row>
    <row r="65" spans="3:74" x14ac:dyDescent="0.2">
      <c r="C65" s="60" t="s">
        <v>199</v>
      </c>
      <c r="D65" s="60">
        <v>0</v>
      </c>
      <c r="E65" s="60">
        <v>-1</v>
      </c>
      <c r="F65" s="60">
        <v>-2</v>
      </c>
      <c r="G65" s="60">
        <v>-5</v>
      </c>
      <c r="H65" s="60">
        <v>-8</v>
      </c>
      <c r="I65" s="60">
        <v>-8</v>
      </c>
      <c r="J65" s="60">
        <v>-6</v>
      </c>
      <c r="K65" s="60">
        <v>-7</v>
      </c>
      <c r="L65" s="60">
        <v>-5</v>
      </c>
      <c r="M65" s="60">
        <v>-3</v>
      </c>
      <c r="N65" s="60">
        <v>-1</v>
      </c>
      <c r="O65" s="60">
        <v>-1</v>
      </c>
      <c r="P65" s="60">
        <v>0</v>
      </c>
      <c r="R65" s="61">
        <f>(ROW(R65)-ROW($C$6))</f>
        <v>59</v>
      </c>
      <c r="S65" s="60">
        <f ca="1">100+HLOOKUP(S$4,$D$7:$P$336,$R65,FALSE)-HLOOKUP(S$3,$D$7:$P$336,$R65,FALSE)</f>
        <v>95</v>
      </c>
      <c r="T65" s="60">
        <f ca="1">100+HLOOKUP(T$4,$D$7:$P$336,$R65,FALSE)-HLOOKUP(T$3,$D$7:$P$336,$R65,FALSE)</f>
        <v>95</v>
      </c>
      <c r="U65" s="60">
        <f ca="1">100+HLOOKUP(U$4,$D$7:$P$336,$R65,FALSE)-HLOOKUP(U$3,$D$7:$P$336,$R65,FALSE)</f>
        <v>96</v>
      </c>
      <c r="V65" s="60">
        <f ca="1">100+HLOOKUP(V$4,$D$7:$P$336,$R65,FALSE)-HLOOKUP(V$3,$D$7:$P$336,$R65,FALSE)</f>
        <v>93</v>
      </c>
      <c r="W65" s="60">
        <f ca="1">100+HLOOKUP(W$4,$D$7:$P$336,$R65,FALSE)-HLOOKUP(W$3,$D$7:$P$336,$R65,FALSE)</f>
        <v>93</v>
      </c>
      <c r="X65" s="60">
        <f ca="1">100+HLOOKUP(X$4,$D$7:$P$336,$R65,FALSE)-HLOOKUP(X$3,$D$7:$P$336,$R65,FALSE)</f>
        <v>95</v>
      </c>
      <c r="Y65" s="60">
        <f ca="1">100+HLOOKUP(Y$4,$D$7:$P$336,$R65,FALSE)-HLOOKUP(Y$3,$D$7:$P$336,$R65,FALSE)</f>
        <v>95</v>
      </c>
      <c r="Z65" s="60">
        <f ca="1">100+HLOOKUP(Z$4,$D$7:$P$336,$R65,FALSE)-HLOOKUP(Z$3,$D$7:$P$336,$R65,FALSE)</f>
        <v>96</v>
      </c>
      <c r="AA65" s="60">
        <f ca="1">100+HLOOKUP(AA$4,$D$7:$P$336,$R65,FALSE)-HLOOKUP(AA$3,$D$7:$P$336,$R65,FALSE)</f>
        <v>93</v>
      </c>
      <c r="AB65" s="60">
        <f ca="1">100+HLOOKUP(AB$4,$D$7:$P$336,$R65,FALSE)-HLOOKUP(AB$3,$D$7:$P$336,$R65,FALSE)</f>
        <v>93</v>
      </c>
      <c r="AC65" s="60">
        <f ca="1">100+HLOOKUP(AC$4,$D$7:$P$336,$R65,FALSE)-HLOOKUP(AC$3,$D$7:$P$336,$R65,FALSE)</f>
        <v>99</v>
      </c>
      <c r="AD65" s="60">
        <f ca="1">100+HLOOKUP(AD$4,$D$7:$P$336,$R65,FALSE)-HLOOKUP(AD$3,$D$7:$P$336,$R65,FALSE)</f>
        <v>107</v>
      </c>
      <c r="AE65" s="60">
        <f ca="1">100+HLOOKUP(AE$4,$D$7:$P$336,$R65,FALSE)-HLOOKUP(AE$3,$D$7:$P$336,$R65,FALSE)</f>
        <v>105</v>
      </c>
      <c r="AF65" s="60">
        <f ca="1">100+HLOOKUP(AF$4,$D$7:$P$336,$R65,FALSE)-HLOOKUP(AF$3,$D$7:$P$336,$R65,FALSE)</f>
        <v>100</v>
      </c>
      <c r="AG65" s="60">
        <f ca="1">100+HLOOKUP(AG$4,$D$7:$P$336,$R65,FALSE)-HLOOKUP(AG$3,$D$7:$P$336,$R65,FALSE)</f>
        <v>93</v>
      </c>
      <c r="AH65" s="60" t="e">
        <f>100+HLOOKUP(AH$4,$D$7:$P$336,$R65,FALSE)-HLOOKUP(AH$3,$D$7:$P$336,$R65,FALSE)</f>
        <v>#N/A</v>
      </c>
      <c r="AI65" s="60" t="e">
        <f>100+HLOOKUP(AI$4,$D$7:$P$336,$R65,FALSE)-HLOOKUP(AI$3,$D$7:$P$336,$R65,FALSE)</f>
        <v>#N/A</v>
      </c>
      <c r="AJ65" s="60" t="e">
        <f>100+HLOOKUP(AJ$4,$D$7:$P$336,$R65,FALSE)-HLOOKUP(AJ$3,$D$7:$P$336,$R65,FALSE)</f>
        <v>#N/A</v>
      </c>
      <c r="AK65" s="60" t="e">
        <f>100+HLOOKUP(AK$4,$D$7:$P$336,$R65,FALSE)-HLOOKUP(AK$3,$D$7:$P$336,$R65,FALSE)</f>
        <v>#N/A</v>
      </c>
      <c r="AL65" s="60" t="e">
        <f>100+HLOOKUP(AL$4,$D$7:$P$336,$R65,FALSE)-HLOOKUP(AL$3,$D$7:$P$336,$R65,FALSE)</f>
        <v>#N/A</v>
      </c>
      <c r="AM65" s="60" t="e">
        <f>100+HLOOKUP(AM$4,$D$7:$P$336,$R65,FALSE)-HLOOKUP(AM$3,$D$7:$P$336,$R65,FALSE)</f>
        <v>#N/A</v>
      </c>
      <c r="AN65" s="60" t="e">
        <f>100+HLOOKUP(AN$4,$D$7:$P$336,$R65,FALSE)-HLOOKUP(AN$3,$D$7:$P$336,$R65,FALSE)</f>
        <v>#N/A</v>
      </c>
      <c r="AO65" s="60" t="e">
        <f>100+HLOOKUP(AO$4,$D$7:$P$336,$R65,FALSE)-HLOOKUP(AO$3,$D$7:$P$336,$R65,FALSE)</f>
        <v>#N/A</v>
      </c>
      <c r="AP65" s="60" t="e">
        <f>100+HLOOKUP(AP$4,$D$7:$P$336,$R65,FALSE)-HLOOKUP(AP$3,$D$7:$P$336,$R65,FALSE)</f>
        <v>#N/A</v>
      </c>
      <c r="AQ65" s="60" t="e">
        <f>100+HLOOKUP(AQ$4,$D$7:$P$336,$R65,FALSE)-HLOOKUP(AQ$3,$D$7:$P$336,$R65,FALSE)</f>
        <v>#N/A</v>
      </c>
      <c r="AV65" s="60">
        <f ca="1">AV$5-S65</f>
        <v>8.1903994267964322</v>
      </c>
      <c r="AW65" s="60">
        <f ca="1">AW$5-T65</f>
        <v>-0.7793494702422521</v>
      </c>
      <c r="AX65" s="60">
        <f ca="1">AX$5-U65</f>
        <v>5.7759154036680513</v>
      </c>
      <c r="AY65" s="60">
        <f ca="1">AY$5-V65</f>
        <v>0.60301440152780117</v>
      </c>
      <c r="AZ65" s="60">
        <f ca="1">AZ$5-W65</f>
        <v>4.4544821725960304</v>
      </c>
      <c r="BA65" s="60">
        <f ca="1">BA$5-X65</f>
        <v>3.4650590589827033</v>
      </c>
      <c r="BB65" s="60">
        <f ca="1">BB$5-Y65</f>
        <v>-1.6494072726188733</v>
      </c>
      <c r="BC65" s="60">
        <f ca="1">BC$5-Z65</f>
        <v>11.437465909882164</v>
      </c>
      <c r="BD65" s="60">
        <f ca="1">BD$5-AA65</f>
        <v>4.936518664382362</v>
      </c>
      <c r="BE65" s="60">
        <f ca="1">BE$5-AB65</f>
        <v>-1.170609408007806</v>
      </c>
      <c r="BF65" s="60">
        <f ca="1">BF$5-AC65</f>
        <v>2.0173043164770803</v>
      </c>
      <c r="BG65" s="60">
        <f ca="1">BG$5-AD65</f>
        <v>-3.0147412949814907</v>
      </c>
      <c r="BH65" s="60">
        <f ca="1">BH$5-AE65</f>
        <v>-6.0454077696324333</v>
      </c>
      <c r="BI65" s="60">
        <f ca="1">BI$5-AF65</f>
        <v>-9.3914944887451952</v>
      </c>
      <c r="BJ65" s="60">
        <f ca="1">BJ$5-AG65</f>
        <v>-1.56044894232123</v>
      </c>
      <c r="BK65" s="60" t="e">
        <f>BK$5-AH65</f>
        <v>#N/A</v>
      </c>
      <c r="BL65" s="60" t="e">
        <f>BL$5-AI65</f>
        <v>#N/A</v>
      </c>
      <c r="BM65" s="60" t="e">
        <f>BM$5-AJ65</f>
        <v>#N/A</v>
      </c>
      <c r="BN65" s="60" t="e">
        <f>BN$5-AK65</f>
        <v>#N/A</v>
      </c>
      <c r="BO65" s="60" t="e">
        <f>BO$5-AL65</f>
        <v>#N/A</v>
      </c>
      <c r="BP65" s="60" t="e">
        <f>BP$5-AM65</f>
        <v>#N/A</v>
      </c>
      <c r="BQ65" s="60" t="e">
        <f>BQ$5-AN65</f>
        <v>#N/A</v>
      </c>
      <c r="BR65" s="60" t="e">
        <f>BR$5-AO65</f>
        <v>#N/A</v>
      </c>
      <c r="BS65" s="60" t="e">
        <f>BS$5-AP65</f>
        <v>#N/A</v>
      </c>
      <c r="BT65" s="60" t="e">
        <f>BT$5-AQ65</f>
        <v>#N/A</v>
      </c>
      <c r="BV65" s="60" cm="1">
        <f t="array" aca="1" ref="BV65" ca="1">SQRT(SUMSQ(_xlfn._xlws.FILTER(AV65:BT65,ISNUMBER(AV65:BT65)))/COUNT(_xlfn._xlws.FILTER(AV65:BT65,ISNUMBER(AV65:BT65))))</f>
        <v>5.3720258091376989</v>
      </c>
    </row>
    <row r="66" spans="3:74" x14ac:dyDescent="0.2">
      <c r="C66" s="60" t="s">
        <v>453</v>
      </c>
      <c r="D66" s="60">
        <v>0</v>
      </c>
      <c r="E66" s="60">
        <v>-1.9550000000000001</v>
      </c>
      <c r="F66" s="60">
        <v>-3.91</v>
      </c>
      <c r="G66" s="60">
        <v>-5.8650000000000002</v>
      </c>
      <c r="H66" s="60">
        <v>-5.8650000000000002</v>
      </c>
      <c r="I66" s="60">
        <v>-7.82</v>
      </c>
      <c r="J66" s="60">
        <v>-9.7750000000000004</v>
      </c>
      <c r="K66" s="60">
        <v>-7.82</v>
      </c>
      <c r="L66" s="60">
        <v>-5.8650000000000002</v>
      </c>
      <c r="M66" s="60">
        <v>-3.91</v>
      </c>
      <c r="N66" s="60">
        <v>-1.9550000000000001</v>
      </c>
      <c r="O66" s="60">
        <v>0</v>
      </c>
      <c r="P66" s="60">
        <v>0</v>
      </c>
      <c r="R66" s="61">
        <f>(ROW(R66)-ROW($C$6))</f>
        <v>60</v>
      </c>
      <c r="S66" s="60">
        <f ca="1">100+HLOOKUP(S$4,$D$7:$P$336,$R66,FALSE)-HLOOKUP(S$3,$D$7:$P$336,$R66,FALSE)</f>
        <v>98.045000000000002</v>
      </c>
      <c r="T66" s="60">
        <f ca="1">100+HLOOKUP(T$4,$D$7:$P$336,$R66,FALSE)-HLOOKUP(T$3,$D$7:$P$336,$R66,FALSE)</f>
        <v>90.224999999999994</v>
      </c>
      <c r="U66" s="60">
        <f ca="1">100+HLOOKUP(U$4,$D$7:$P$336,$R66,FALSE)-HLOOKUP(U$3,$D$7:$P$336,$R66,FALSE)</f>
        <v>96.09</v>
      </c>
      <c r="V66" s="60">
        <f ca="1">100+HLOOKUP(V$4,$D$7:$P$336,$R66,FALSE)-HLOOKUP(V$3,$D$7:$P$336,$R66,FALSE)</f>
        <v>94.135000000000005</v>
      </c>
      <c r="W66" s="60">
        <f ca="1">100+HLOOKUP(W$4,$D$7:$P$336,$R66,FALSE)-HLOOKUP(W$3,$D$7:$P$336,$R66,FALSE)</f>
        <v>92.18</v>
      </c>
      <c r="X66" s="60">
        <f ca="1">100+HLOOKUP(X$4,$D$7:$P$336,$R66,FALSE)-HLOOKUP(X$3,$D$7:$P$336,$R66,FALSE)</f>
        <v>98.045000000000002</v>
      </c>
      <c r="Y66" s="60">
        <f ca="1">100+HLOOKUP(Y$4,$D$7:$P$336,$R66,FALSE)-HLOOKUP(Y$3,$D$7:$P$336,$R66,FALSE)</f>
        <v>90.224999999999994</v>
      </c>
      <c r="Z66" s="60">
        <f ca="1">100+HLOOKUP(Z$4,$D$7:$P$336,$R66,FALSE)-HLOOKUP(Z$3,$D$7:$P$336,$R66,FALSE)</f>
        <v>96.09</v>
      </c>
      <c r="AA66" s="60">
        <f ca="1">100+HLOOKUP(AA$4,$D$7:$P$336,$R66,FALSE)-HLOOKUP(AA$3,$D$7:$P$336,$R66,FALSE)</f>
        <v>94.135000000000005</v>
      </c>
      <c r="AB66" s="60">
        <f ca="1">100+HLOOKUP(AB$4,$D$7:$P$336,$R66,FALSE)-HLOOKUP(AB$3,$D$7:$P$336,$R66,FALSE)</f>
        <v>92.18</v>
      </c>
      <c r="AC66" s="60">
        <f ca="1">100+HLOOKUP(AC$4,$D$7:$P$336,$R66,FALSE)-HLOOKUP(AC$3,$D$7:$P$336,$R66,FALSE)</f>
        <v>100</v>
      </c>
      <c r="AD66" s="60">
        <f ca="1">100+HLOOKUP(AD$4,$D$7:$P$336,$R66,FALSE)-HLOOKUP(AD$3,$D$7:$P$336,$R66,FALSE)</f>
        <v>105.86499999999999</v>
      </c>
      <c r="AE66" s="60">
        <f ca="1">100+HLOOKUP(AE$4,$D$7:$P$336,$R66,FALSE)-HLOOKUP(AE$3,$D$7:$P$336,$R66,FALSE)</f>
        <v>107.82000000000001</v>
      </c>
      <c r="AF66" s="60">
        <f ca="1">100+HLOOKUP(AF$4,$D$7:$P$336,$R66,FALSE)-HLOOKUP(AF$3,$D$7:$P$336,$R66,FALSE)</f>
        <v>100</v>
      </c>
      <c r="AG66" s="60">
        <f ca="1">100+HLOOKUP(AG$4,$D$7:$P$336,$R66,FALSE)-HLOOKUP(AG$3,$D$7:$P$336,$R66,FALSE)</f>
        <v>94.135000000000005</v>
      </c>
      <c r="AH66" s="60" t="e">
        <f>100+HLOOKUP(AH$4,$D$7:$P$336,$R66,FALSE)-HLOOKUP(AH$3,$D$7:$P$336,$R66,FALSE)</f>
        <v>#N/A</v>
      </c>
      <c r="AI66" s="60" t="e">
        <f>100+HLOOKUP(AI$4,$D$7:$P$336,$R66,FALSE)-HLOOKUP(AI$3,$D$7:$P$336,$R66,FALSE)</f>
        <v>#N/A</v>
      </c>
      <c r="AJ66" s="60" t="e">
        <f>100+HLOOKUP(AJ$4,$D$7:$P$336,$R66,FALSE)-HLOOKUP(AJ$3,$D$7:$P$336,$R66,FALSE)</f>
        <v>#N/A</v>
      </c>
      <c r="AK66" s="60" t="e">
        <f>100+HLOOKUP(AK$4,$D$7:$P$336,$R66,FALSE)-HLOOKUP(AK$3,$D$7:$P$336,$R66,FALSE)</f>
        <v>#N/A</v>
      </c>
      <c r="AL66" s="60" t="e">
        <f>100+HLOOKUP(AL$4,$D$7:$P$336,$R66,FALSE)-HLOOKUP(AL$3,$D$7:$P$336,$R66,FALSE)</f>
        <v>#N/A</v>
      </c>
      <c r="AM66" s="60" t="e">
        <f>100+HLOOKUP(AM$4,$D$7:$P$336,$R66,FALSE)-HLOOKUP(AM$3,$D$7:$P$336,$R66,FALSE)</f>
        <v>#N/A</v>
      </c>
      <c r="AN66" s="60" t="e">
        <f>100+HLOOKUP(AN$4,$D$7:$P$336,$R66,FALSE)-HLOOKUP(AN$3,$D$7:$P$336,$R66,FALSE)</f>
        <v>#N/A</v>
      </c>
      <c r="AO66" s="60" t="e">
        <f>100+HLOOKUP(AO$4,$D$7:$P$336,$R66,FALSE)-HLOOKUP(AO$3,$D$7:$P$336,$R66,FALSE)</f>
        <v>#N/A</v>
      </c>
      <c r="AP66" s="60" t="e">
        <f>100+HLOOKUP(AP$4,$D$7:$P$336,$R66,FALSE)-HLOOKUP(AP$3,$D$7:$P$336,$R66,FALSE)</f>
        <v>#N/A</v>
      </c>
      <c r="AQ66" s="60" t="e">
        <f>100+HLOOKUP(AQ$4,$D$7:$P$336,$R66,FALSE)-HLOOKUP(AQ$3,$D$7:$P$336,$R66,FALSE)</f>
        <v>#N/A</v>
      </c>
      <c r="AV66" s="60">
        <f ca="1">AV$5-S66</f>
        <v>5.1453994267964305</v>
      </c>
      <c r="AW66" s="60">
        <f ca="1">AW$5-T66</f>
        <v>3.9956505297577536</v>
      </c>
      <c r="AX66" s="60">
        <f ca="1">AX$5-U66</f>
        <v>5.6859154036680479</v>
      </c>
      <c r="AY66" s="60">
        <f ca="1">AY$5-V66</f>
        <v>-0.53198559847220395</v>
      </c>
      <c r="AZ66" s="60">
        <f ca="1">AZ$5-W66</f>
        <v>5.2744821725960236</v>
      </c>
      <c r="BA66" s="60">
        <f ca="1">BA$5-X66</f>
        <v>0.42005905898270157</v>
      </c>
      <c r="BB66" s="60">
        <f ca="1">BB$5-Y66</f>
        <v>3.1255927273811324</v>
      </c>
      <c r="BC66" s="60">
        <f ca="1">BC$5-Z66</f>
        <v>11.34746590988216</v>
      </c>
      <c r="BD66" s="60">
        <f ca="1">BD$5-AA66</f>
        <v>3.8015186643823569</v>
      </c>
      <c r="BE66" s="60">
        <f ca="1">BE$5-AB66</f>
        <v>-0.35060940800781282</v>
      </c>
      <c r="BF66" s="60">
        <f ca="1">BF$5-AC66</f>
        <v>1.0173043164770803</v>
      </c>
      <c r="BG66" s="60">
        <f ca="1">BG$5-AD66</f>
        <v>-1.8797412949814856</v>
      </c>
      <c r="BH66" s="60">
        <f ca="1">BH$5-AE66</f>
        <v>-8.8654077696324407</v>
      </c>
      <c r="BI66" s="60">
        <f ca="1">BI$5-AF66</f>
        <v>-9.3914944887451952</v>
      </c>
      <c r="BJ66" s="60">
        <f ca="1">BJ$5-AG66</f>
        <v>-2.6954489423212351</v>
      </c>
      <c r="BK66" s="60" t="e">
        <f>BK$5-AH66</f>
        <v>#N/A</v>
      </c>
      <c r="BL66" s="60" t="e">
        <f>BL$5-AI66</f>
        <v>#N/A</v>
      </c>
      <c r="BM66" s="60" t="e">
        <f>BM$5-AJ66</f>
        <v>#N/A</v>
      </c>
      <c r="BN66" s="60" t="e">
        <f>BN$5-AK66</f>
        <v>#N/A</v>
      </c>
      <c r="BO66" s="60" t="e">
        <f>BO$5-AL66</f>
        <v>#N/A</v>
      </c>
      <c r="BP66" s="60" t="e">
        <f>BP$5-AM66</f>
        <v>#N/A</v>
      </c>
      <c r="BQ66" s="60" t="e">
        <f>BQ$5-AN66</f>
        <v>#N/A</v>
      </c>
      <c r="BR66" s="60" t="e">
        <f>BR$5-AO66</f>
        <v>#N/A</v>
      </c>
      <c r="BS66" s="60" t="e">
        <f>BS$5-AP66</f>
        <v>#N/A</v>
      </c>
      <c r="BT66" s="60" t="e">
        <f>BT$5-AQ66</f>
        <v>#N/A</v>
      </c>
      <c r="BV66" s="60" cm="1">
        <f t="array" aca="1" ref="BV66" ca="1">SQRT(SUMSQ(_xlfn._xlws.FILTER(AV66:BT66,ISNUMBER(AV66:BT66)))/COUNT(_xlfn._xlws.FILTER(AV66:BT66,ISNUMBER(AV66:BT66))))</f>
        <v>5.3838511651233949</v>
      </c>
    </row>
    <row r="67" spans="3:74" x14ac:dyDescent="0.2">
      <c r="C67" s="60" t="s">
        <v>191</v>
      </c>
      <c r="D67" s="60">
        <v>0</v>
      </c>
      <c r="E67" s="60">
        <v>-2</v>
      </c>
      <c r="F67" s="60">
        <v>-4</v>
      </c>
      <c r="G67" s="60">
        <v>-6</v>
      </c>
      <c r="H67" s="60">
        <v>-8</v>
      </c>
      <c r="I67" s="60">
        <v>-8</v>
      </c>
      <c r="J67" s="60">
        <v>-8</v>
      </c>
      <c r="K67" s="60">
        <v>-8</v>
      </c>
      <c r="L67" s="60">
        <v>-6</v>
      </c>
      <c r="M67" s="60">
        <v>-4</v>
      </c>
      <c r="N67" s="60">
        <v>-2</v>
      </c>
      <c r="O67" s="60">
        <v>0</v>
      </c>
      <c r="P67" s="60">
        <v>0</v>
      </c>
      <c r="R67" s="61">
        <f>(ROW(R67)-ROW($C$6))</f>
        <v>61</v>
      </c>
      <c r="S67" s="60">
        <f ca="1">100+HLOOKUP(S$4,$D$7:$P$336,$R67,FALSE)-HLOOKUP(S$3,$D$7:$P$336,$R67,FALSE)</f>
        <v>96</v>
      </c>
      <c r="T67" s="60">
        <f ca="1">100+HLOOKUP(T$4,$D$7:$P$336,$R67,FALSE)-HLOOKUP(T$3,$D$7:$P$336,$R67,FALSE)</f>
        <v>92</v>
      </c>
      <c r="U67" s="60">
        <f ca="1">100+HLOOKUP(U$4,$D$7:$P$336,$R67,FALSE)-HLOOKUP(U$3,$D$7:$P$336,$R67,FALSE)</f>
        <v>96</v>
      </c>
      <c r="V67" s="60">
        <f ca="1">100+HLOOKUP(V$4,$D$7:$P$336,$R67,FALSE)-HLOOKUP(V$3,$D$7:$P$336,$R67,FALSE)</f>
        <v>94</v>
      </c>
      <c r="W67" s="60">
        <f ca="1">100+HLOOKUP(W$4,$D$7:$P$336,$R67,FALSE)-HLOOKUP(W$3,$D$7:$P$336,$R67,FALSE)</f>
        <v>92</v>
      </c>
      <c r="X67" s="60">
        <f ca="1">100+HLOOKUP(X$4,$D$7:$P$336,$R67,FALSE)-HLOOKUP(X$3,$D$7:$P$336,$R67,FALSE)</f>
        <v>96</v>
      </c>
      <c r="Y67" s="60">
        <f ca="1">100+HLOOKUP(Y$4,$D$7:$P$336,$R67,FALSE)-HLOOKUP(Y$3,$D$7:$P$336,$R67,FALSE)</f>
        <v>92</v>
      </c>
      <c r="Z67" s="60">
        <f ca="1">100+HLOOKUP(Z$4,$D$7:$P$336,$R67,FALSE)-HLOOKUP(Z$3,$D$7:$P$336,$R67,FALSE)</f>
        <v>96</v>
      </c>
      <c r="AA67" s="60">
        <f ca="1">100+HLOOKUP(AA$4,$D$7:$P$336,$R67,FALSE)-HLOOKUP(AA$3,$D$7:$P$336,$R67,FALSE)</f>
        <v>94</v>
      </c>
      <c r="AB67" s="60">
        <f ca="1">100+HLOOKUP(AB$4,$D$7:$P$336,$R67,FALSE)-HLOOKUP(AB$3,$D$7:$P$336,$R67,FALSE)</f>
        <v>92</v>
      </c>
      <c r="AC67" s="60">
        <f ca="1">100+HLOOKUP(AC$4,$D$7:$P$336,$R67,FALSE)-HLOOKUP(AC$3,$D$7:$P$336,$R67,FALSE)</f>
        <v>100</v>
      </c>
      <c r="AD67" s="60">
        <f ca="1">100+HLOOKUP(AD$4,$D$7:$P$336,$R67,FALSE)-HLOOKUP(AD$3,$D$7:$P$336,$R67,FALSE)</f>
        <v>108</v>
      </c>
      <c r="AE67" s="60">
        <f ca="1">100+HLOOKUP(AE$4,$D$7:$P$336,$R67,FALSE)-HLOOKUP(AE$3,$D$7:$P$336,$R67,FALSE)</f>
        <v>106</v>
      </c>
      <c r="AF67" s="60">
        <f ca="1">100+HLOOKUP(AF$4,$D$7:$P$336,$R67,FALSE)-HLOOKUP(AF$3,$D$7:$P$336,$R67,FALSE)</f>
        <v>100</v>
      </c>
      <c r="AG67" s="60">
        <f ca="1">100+HLOOKUP(AG$4,$D$7:$P$336,$R67,FALSE)-HLOOKUP(AG$3,$D$7:$P$336,$R67,FALSE)</f>
        <v>94</v>
      </c>
      <c r="AH67" s="60" t="e">
        <f>100+HLOOKUP(AH$4,$D$7:$P$336,$R67,FALSE)-HLOOKUP(AH$3,$D$7:$P$336,$R67,FALSE)</f>
        <v>#N/A</v>
      </c>
      <c r="AI67" s="60" t="e">
        <f>100+HLOOKUP(AI$4,$D$7:$P$336,$R67,FALSE)-HLOOKUP(AI$3,$D$7:$P$336,$R67,FALSE)</f>
        <v>#N/A</v>
      </c>
      <c r="AJ67" s="60" t="e">
        <f>100+HLOOKUP(AJ$4,$D$7:$P$336,$R67,FALSE)-HLOOKUP(AJ$3,$D$7:$P$336,$R67,FALSE)</f>
        <v>#N/A</v>
      </c>
      <c r="AK67" s="60" t="e">
        <f>100+HLOOKUP(AK$4,$D$7:$P$336,$R67,FALSE)-HLOOKUP(AK$3,$D$7:$P$336,$R67,FALSE)</f>
        <v>#N/A</v>
      </c>
      <c r="AL67" s="60" t="e">
        <f>100+HLOOKUP(AL$4,$D$7:$P$336,$R67,FALSE)-HLOOKUP(AL$3,$D$7:$P$336,$R67,FALSE)</f>
        <v>#N/A</v>
      </c>
      <c r="AM67" s="60" t="e">
        <f>100+HLOOKUP(AM$4,$D$7:$P$336,$R67,FALSE)-HLOOKUP(AM$3,$D$7:$P$336,$R67,FALSE)</f>
        <v>#N/A</v>
      </c>
      <c r="AN67" s="60" t="e">
        <f>100+HLOOKUP(AN$4,$D$7:$P$336,$R67,FALSE)-HLOOKUP(AN$3,$D$7:$P$336,$R67,FALSE)</f>
        <v>#N/A</v>
      </c>
      <c r="AO67" s="60" t="e">
        <f>100+HLOOKUP(AO$4,$D$7:$P$336,$R67,FALSE)-HLOOKUP(AO$3,$D$7:$P$336,$R67,FALSE)</f>
        <v>#N/A</v>
      </c>
      <c r="AP67" s="60" t="e">
        <f>100+HLOOKUP(AP$4,$D$7:$P$336,$R67,FALSE)-HLOOKUP(AP$3,$D$7:$P$336,$R67,FALSE)</f>
        <v>#N/A</v>
      </c>
      <c r="AQ67" s="60" t="e">
        <f>100+HLOOKUP(AQ$4,$D$7:$P$336,$R67,FALSE)-HLOOKUP(AQ$3,$D$7:$P$336,$R67,FALSE)</f>
        <v>#N/A</v>
      </c>
      <c r="AV67" s="60">
        <f ca="1">AV$5-S67</f>
        <v>7.1903994267964322</v>
      </c>
      <c r="AW67" s="60">
        <f ca="1">AW$5-T67</f>
        <v>2.2206505297577479</v>
      </c>
      <c r="AX67" s="60">
        <f ca="1">AX$5-U67</f>
        <v>5.7759154036680513</v>
      </c>
      <c r="AY67" s="60">
        <f ca="1">AY$5-V67</f>
        <v>-0.39698559847219883</v>
      </c>
      <c r="AZ67" s="60">
        <f ca="1">AZ$5-W67</f>
        <v>5.4544821725960304</v>
      </c>
      <c r="BA67" s="60">
        <f ca="1">BA$5-X67</f>
        <v>2.4650590589827033</v>
      </c>
      <c r="BB67" s="60">
        <f ca="1">BB$5-Y67</f>
        <v>1.3505927273811267</v>
      </c>
      <c r="BC67" s="60">
        <f ca="1">BC$5-Z67</f>
        <v>11.437465909882164</v>
      </c>
      <c r="BD67" s="60">
        <f ca="1">BD$5-AA67</f>
        <v>3.936518664382362</v>
      </c>
      <c r="BE67" s="60">
        <f ca="1">BE$5-AB67</f>
        <v>-0.170609408007806</v>
      </c>
      <c r="BF67" s="60">
        <f ca="1">BF$5-AC67</f>
        <v>1.0173043164770803</v>
      </c>
      <c r="BG67" s="60">
        <f ca="1">BG$5-AD67</f>
        <v>-4.0147412949814907</v>
      </c>
      <c r="BH67" s="60">
        <f ca="1">BH$5-AE67</f>
        <v>-7.0454077696324333</v>
      </c>
      <c r="BI67" s="60">
        <f ca="1">BI$5-AF67</f>
        <v>-9.3914944887451952</v>
      </c>
      <c r="BJ67" s="60">
        <f ca="1">BJ$5-AG67</f>
        <v>-2.56044894232123</v>
      </c>
      <c r="BK67" s="60" t="e">
        <f>BK$5-AH67</f>
        <v>#N/A</v>
      </c>
      <c r="BL67" s="60" t="e">
        <f>BL$5-AI67</f>
        <v>#N/A</v>
      </c>
      <c r="BM67" s="60" t="e">
        <f>BM$5-AJ67</f>
        <v>#N/A</v>
      </c>
      <c r="BN67" s="60" t="e">
        <f>BN$5-AK67</f>
        <v>#N/A</v>
      </c>
      <c r="BO67" s="60" t="e">
        <f>BO$5-AL67</f>
        <v>#N/A</v>
      </c>
      <c r="BP67" s="60" t="e">
        <f>BP$5-AM67</f>
        <v>#N/A</v>
      </c>
      <c r="BQ67" s="60" t="e">
        <f>BQ$5-AN67</f>
        <v>#N/A</v>
      </c>
      <c r="BR67" s="60" t="e">
        <f>BR$5-AO67</f>
        <v>#N/A</v>
      </c>
      <c r="BS67" s="60" t="e">
        <f>BS$5-AP67</f>
        <v>#N/A</v>
      </c>
      <c r="BT67" s="60" t="e">
        <f>BT$5-AQ67</f>
        <v>#N/A</v>
      </c>
      <c r="BV67" s="60" cm="1">
        <f t="array" aca="1" ref="BV67" ca="1">SQRT(SUMSQ(_xlfn._xlws.FILTER(AV67:BT67,ISNUMBER(AV67:BT67)))/COUNT(_xlfn._xlws.FILTER(AV67:BT67,ISNUMBER(AV67:BT67))))</f>
        <v>5.3894447998544361</v>
      </c>
    </row>
    <row r="68" spans="3:74" x14ac:dyDescent="0.2">
      <c r="C68" s="60" t="s">
        <v>515</v>
      </c>
      <c r="D68" s="60">
        <v>0</v>
      </c>
      <c r="E68" s="60">
        <v>-2</v>
      </c>
      <c r="F68" s="60">
        <v>-4</v>
      </c>
      <c r="G68" s="60">
        <v>-6</v>
      </c>
      <c r="H68" s="60">
        <v>-8</v>
      </c>
      <c r="I68" s="60">
        <v>-10</v>
      </c>
      <c r="J68" s="60">
        <v>-8</v>
      </c>
      <c r="K68" s="60">
        <v>-6</v>
      </c>
      <c r="L68" s="60">
        <v>-6</v>
      </c>
      <c r="M68" s="60">
        <v>-4</v>
      </c>
      <c r="N68" s="60">
        <v>-2</v>
      </c>
      <c r="O68" s="60">
        <v>0</v>
      </c>
      <c r="P68" s="60">
        <v>0</v>
      </c>
      <c r="R68" s="61">
        <f>(ROW(R68)-ROW($C$6))</f>
        <v>62</v>
      </c>
      <c r="S68" s="60">
        <f ca="1">100+HLOOKUP(S$4,$D$7:$P$336,$R68,FALSE)-HLOOKUP(S$3,$D$7:$P$336,$R68,FALSE)</f>
        <v>96</v>
      </c>
      <c r="T68" s="60">
        <f ca="1">100+HLOOKUP(T$4,$D$7:$P$336,$R68,FALSE)-HLOOKUP(T$3,$D$7:$P$336,$R68,FALSE)</f>
        <v>92</v>
      </c>
      <c r="U68" s="60">
        <f ca="1">100+HLOOKUP(U$4,$D$7:$P$336,$R68,FALSE)-HLOOKUP(U$3,$D$7:$P$336,$R68,FALSE)</f>
        <v>96</v>
      </c>
      <c r="V68" s="60">
        <f ca="1">100+HLOOKUP(V$4,$D$7:$P$336,$R68,FALSE)-HLOOKUP(V$3,$D$7:$P$336,$R68,FALSE)</f>
        <v>92</v>
      </c>
      <c r="W68" s="60">
        <f ca="1">100+HLOOKUP(W$4,$D$7:$P$336,$R68,FALSE)-HLOOKUP(W$3,$D$7:$P$336,$R68,FALSE)</f>
        <v>94</v>
      </c>
      <c r="X68" s="60">
        <f ca="1">100+HLOOKUP(X$4,$D$7:$P$336,$R68,FALSE)-HLOOKUP(X$3,$D$7:$P$336,$R68,FALSE)</f>
        <v>96</v>
      </c>
      <c r="Y68" s="60">
        <f ca="1">100+HLOOKUP(Y$4,$D$7:$P$336,$R68,FALSE)-HLOOKUP(Y$3,$D$7:$P$336,$R68,FALSE)</f>
        <v>92</v>
      </c>
      <c r="Z68" s="60">
        <f ca="1">100+HLOOKUP(Z$4,$D$7:$P$336,$R68,FALSE)-HLOOKUP(Z$3,$D$7:$P$336,$R68,FALSE)</f>
        <v>96</v>
      </c>
      <c r="AA68" s="60">
        <f ca="1">100+HLOOKUP(AA$4,$D$7:$P$336,$R68,FALSE)-HLOOKUP(AA$3,$D$7:$P$336,$R68,FALSE)</f>
        <v>92</v>
      </c>
      <c r="AB68" s="60">
        <f ca="1">100+HLOOKUP(AB$4,$D$7:$P$336,$R68,FALSE)-HLOOKUP(AB$3,$D$7:$P$336,$R68,FALSE)</f>
        <v>94</v>
      </c>
      <c r="AC68" s="60">
        <f ca="1">100+HLOOKUP(AC$4,$D$7:$P$336,$R68,FALSE)-HLOOKUP(AC$3,$D$7:$P$336,$R68,FALSE)</f>
        <v>100</v>
      </c>
      <c r="AD68" s="60">
        <f ca="1">100+HLOOKUP(AD$4,$D$7:$P$336,$R68,FALSE)-HLOOKUP(AD$3,$D$7:$P$336,$R68,FALSE)</f>
        <v>108</v>
      </c>
      <c r="AE68" s="60">
        <f ca="1">100+HLOOKUP(AE$4,$D$7:$P$336,$R68,FALSE)-HLOOKUP(AE$3,$D$7:$P$336,$R68,FALSE)</f>
        <v>106</v>
      </c>
      <c r="AF68" s="60">
        <f ca="1">100+HLOOKUP(AF$4,$D$7:$P$336,$R68,FALSE)-HLOOKUP(AF$3,$D$7:$P$336,$R68,FALSE)</f>
        <v>100</v>
      </c>
      <c r="AG68" s="60">
        <f ca="1">100+HLOOKUP(AG$4,$D$7:$P$336,$R68,FALSE)-HLOOKUP(AG$3,$D$7:$P$336,$R68,FALSE)</f>
        <v>92</v>
      </c>
      <c r="AH68" s="60" t="e">
        <f>100+HLOOKUP(AH$4,$D$7:$P$336,$R68,FALSE)-HLOOKUP(AH$3,$D$7:$P$336,$R68,FALSE)</f>
        <v>#N/A</v>
      </c>
      <c r="AI68" s="60" t="e">
        <f>100+HLOOKUP(AI$4,$D$7:$P$336,$R68,FALSE)-HLOOKUP(AI$3,$D$7:$P$336,$R68,FALSE)</f>
        <v>#N/A</v>
      </c>
      <c r="AJ68" s="60" t="e">
        <f>100+HLOOKUP(AJ$4,$D$7:$P$336,$R68,FALSE)-HLOOKUP(AJ$3,$D$7:$P$336,$R68,FALSE)</f>
        <v>#N/A</v>
      </c>
      <c r="AK68" s="60" t="e">
        <f>100+HLOOKUP(AK$4,$D$7:$P$336,$R68,FALSE)-HLOOKUP(AK$3,$D$7:$P$336,$R68,FALSE)</f>
        <v>#N/A</v>
      </c>
      <c r="AL68" s="60" t="e">
        <f>100+HLOOKUP(AL$4,$D$7:$P$336,$R68,FALSE)-HLOOKUP(AL$3,$D$7:$P$336,$R68,FALSE)</f>
        <v>#N/A</v>
      </c>
      <c r="AM68" s="60" t="e">
        <f>100+HLOOKUP(AM$4,$D$7:$P$336,$R68,FALSE)-HLOOKUP(AM$3,$D$7:$P$336,$R68,FALSE)</f>
        <v>#N/A</v>
      </c>
      <c r="AN68" s="60" t="e">
        <f>100+HLOOKUP(AN$4,$D$7:$P$336,$R68,FALSE)-HLOOKUP(AN$3,$D$7:$P$336,$R68,FALSE)</f>
        <v>#N/A</v>
      </c>
      <c r="AO68" s="60" t="e">
        <f>100+HLOOKUP(AO$4,$D$7:$P$336,$R68,FALSE)-HLOOKUP(AO$3,$D$7:$P$336,$R68,FALSE)</f>
        <v>#N/A</v>
      </c>
      <c r="AP68" s="60" t="e">
        <f>100+HLOOKUP(AP$4,$D$7:$P$336,$R68,FALSE)-HLOOKUP(AP$3,$D$7:$P$336,$R68,FALSE)</f>
        <v>#N/A</v>
      </c>
      <c r="AQ68" s="60" t="e">
        <f>100+HLOOKUP(AQ$4,$D$7:$P$336,$R68,FALSE)-HLOOKUP(AQ$3,$D$7:$P$336,$R68,FALSE)</f>
        <v>#N/A</v>
      </c>
      <c r="AV68" s="60">
        <f ca="1">AV$5-S68</f>
        <v>7.1903994267964322</v>
      </c>
      <c r="AW68" s="60">
        <f ca="1">AW$5-T68</f>
        <v>2.2206505297577479</v>
      </c>
      <c r="AX68" s="60">
        <f ca="1">AX$5-U68</f>
        <v>5.7759154036680513</v>
      </c>
      <c r="AY68" s="60">
        <f ca="1">AY$5-V68</f>
        <v>1.6030144015278012</v>
      </c>
      <c r="AZ68" s="60">
        <f ca="1">AZ$5-W68</f>
        <v>3.4544821725960304</v>
      </c>
      <c r="BA68" s="60">
        <f ca="1">BA$5-X68</f>
        <v>2.4650590589827033</v>
      </c>
      <c r="BB68" s="60">
        <f ca="1">BB$5-Y68</f>
        <v>1.3505927273811267</v>
      </c>
      <c r="BC68" s="60">
        <f ca="1">BC$5-Z68</f>
        <v>11.437465909882164</v>
      </c>
      <c r="BD68" s="60">
        <f ca="1">BD$5-AA68</f>
        <v>5.936518664382362</v>
      </c>
      <c r="BE68" s="60">
        <f ca="1">BE$5-AB68</f>
        <v>-2.170609408007806</v>
      </c>
      <c r="BF68" s="60">
        <f ca="1">BF$5-AC68</f>
        <v>1.0173043164770803</v>
      </c>
      <c r="BG68" s="60">
        <f ca="1">BG$5-AD68</f>
        <v>-4.0147412949814907</v>
      </c>
      <c r="BH68" s="60">
        <f ca="1">BH$5-AE68</f>
        <v>-7.0454077696324333</v>
      </c>
      <c r="BI68" s="60">
        <f ca="1">BI$5-AF68</f>
        <v>-9.3914944887451952</v>
      </c>
      <c r="BJ68" s="60">
        <f ca="1">BJ$5-AG68</f>
        <v>-0.56044894232122999</v>
      </c>
      <c r="BK68" s="60" t="e">
        <f>BK$5-AH68</f>
        <v>#N/A</v>
      </c>
      <c r="BL68" s="60" t="e">
        <f>BL$5-AI68</f>
        <v>#N/A</v>
      </c>
      <c r="BM68" s="60" t="e">
        <f>BM$5-AJ68</f>
        <v>#N/A</v>
      </c>
      <c r="BN68" s="60" t="e">
        <f>BN$5-AK68</f>
        <v>#N/A</v>
      </c>
      <c r="BO68" s="60" t="e">
        <f>BO$5-AL68</f>
        <v>#N/A</v>
      </c>
      <c r="BP68" s="60" t="e">
        <f>BP$5-AM68</f>
        <v>#N/A</v>
      </c>
      <c r="BQ68" s="60" t="e">
        <f>BQ$5-AN68</f>
        <v>#N/A</v>
      </c>
      <c r="BR68" s="60" t="e">
        <f>BR$5-AO68</f>
        <v>#N/A</v>
      </c>
      <c r="BS68" s="60" t="e">
        <f>BS$5-AP68</f>
        <v>#N/A</v>
      </c>
      <c r="BT68" s="60" t="e">
        <f>BT$5-AQ68</f>
        <v>#N/A</v>
      </c>
      <c r="BV68" s="60" cm="1">
        <f t="array" aca="1" ref="BV68" ca="1">SQRT(SUMSQ(_xlfn._xlws.FILTER(AV68:BT68,ISNUMBER(AV68:BT68)))/COUNT(_xlfn._xlws.FILTER(AV68:BT68,ISNUMBER(AV68:BT68))))</f>
        <v>5.4066167745098737</v>
      </c>
    </row>
    <row r="69" spans="3:74" x14ac:dyDescent="0.2">
      <c r="C69" s="60" t="s">
        <v>498</v>
      </c>
      <c r="D69" s="60">
        <v>0</v>
      </c>
      <c r="E69" s="60">
        <v>0</v>
      </c>
      <c r="F69" s="60">
        <v>1</v>
      </c>
      <c r="G69" s="60">
        <v>1</v>
      </c>
      <c r="H69" s="60">
        <v>0</v>
      </c>
      <c r="I69" s="60">
        <v>-1</v>
      </c>
      <c r="J69" s="60">
        <v>0</v>
      </c>
      <c r="K69" s="60">
        <v>1</v>
      </c>
      <c r="L69" s="60">
        <v>1</v>
      </c>
      <c r="M69" s="60">
        <v>1</v>
      </c>
      <c r="N69" s="60">
        <v>1</v>
      </c>
      <c r="O69" s="60">
        <v>-1</v>
      </c>
      <c r="P69" s="60">
        <v>0</v>
      </c>
      <c r="R69" s="61">
        <f>(ROW(R69)-ROW($C$6))</f>
        <v>63</v>
      </c>
      <c r="S69" s="60">
        <f ca="1">100+HLOOKUP(S$4,$D$7:$P$336,$R69,FALSE)-HLOOKUP(S$3,$D$7:$P$336,$R69,FALSE)</f>
        <v>99</v>
      </c>
      <c r="T69" s="60">
        <f ca="1">100+HLOOKUP(T$4,$D$7:$P$336,$R69,FALSE)-HLOOKUP(T$3,$D$7:$P$336,$R69,FALSE)</f>
        <v>101</v>
      </c>
      <c r="U69" s="60">
        <f ca="1">100+HLOOKUP(U$4,$D$7:$P$336,$R69,FALSE)-HLOOKUP(U$3,$D$7:$P$336,$R69,FALSE)</f>
        <v>101</v>
      </c>
      <c r="V69" s="60">
        <f ca="1">100+HLOOKUP(V$4,$D$7:$P$336,$R69,FALSE)-HLOOKUP(V$3,$D$7:$P$336,$R69,FALSE)</f>
        <v>98</v>
      </c>
      <c r="W69" s="60">
        <f ca="1">100+HLOOKUP(W$4,$D$7:$P$336,$R69,FALSE)-HLOOKUP(W$3,$D$7:$P$336,$R69,FALSE)</f>
        <v>101</v>
      </c>
      <c r="X69" s="60">
        <f ca="1">100+HLOOKUP(X$4,$D$7:$P$336,$R69,FALSE)-HLOOKUP(X$3,$D$7:$P$336,$R69,FALSE)</f>
        <v>99</v>
      </c>
      <c r="Y69" s="60">
        <f ca="1">100+HLOOKUP(Y$4,$D$7:$P$336,$R69,FALSE)-HLOOKUP(Y$3,$D$7:$P$336,$R69,FALSE)</f>
        <v>101</v>
      </c>
      <c r="Z69" s="60">
        <f ca="1">100+HLOOKUP(Z$4,$D$7:$P$336,$R69,FALSE)-HLOOKUP(Z$3,$D$7:$P$336,$R69,FALSE)</f>
        <v>101</v>
      </c>
      <c r="AA69" s="60">
        <f ca="1">100+HLOOKUP(AA$4,$D$7:$P$336,$R69,FALSE)-HLOOKUP(AA$3,$D$7:$P$336,$R69,FALSE)</f>
        <v>98</v>
      </c>
      <c r="AB69" s="60">
        <f ca="1">100+HLOOKUP(AB$4,$D$7:$P$336,$R69,FALSE)-HLOOKUP(AB$3,$D$7:$P$336,$R69,FALSE)</f>
        <v>101</v>
      </c>
      <c r="AC69" s="60">
        <f ca="1">100+HLOOKUP(AC$4,$D$7:$P$336,$R69,FALSE)-HLOOKUP(AC$3,$D$7:$P$336,$R69,FALSE)</f>
        <v>100</v>
      </c>
      <c r="AD69" s="60">
        <f ca="1">100+HLOOKUP(AD$4,$D$7:$P$336,$R69,FALSE)-HLOOKUP(AD$3,$D$7:$P$336,$R69,FALSE)</f>
        <v>99</v>
      </c>
      <c r="AE69" s="60">
        <f ca="1">100+HLOOKUP(AE$4,$D$7:$P$336,$R69,FALSE)-HLOOKUP(AE$3,$D$7:$P$336,$R69,FALSE)</f>
        <v>100</v>
      </c>
      <c r="AF69" s="60">
        <f ca="1">100+HLOOKUP(AF$4,$D$7:$P$336,$R69,FALSE)-HLOOKUP(AF$3,$D$7:$P$336,$R69,FALSE)</f>
        <v>100</v>
      </c>
      <c r="AG69" s="60">
        <f ca="1">100+HLOOKUP(AG$4,$D$7:$P$336,$R69,FALSE)-HLOOKUP(AG$3,$D$7:$P$336,$R69,FALSE)</f>
        <v>98</v>
      </c>
      <c r="AH69" s="60" t="e">
        <f>100+HLOOKUP(AH$4,$D$7:$P$336,$R69,FALSE)-HLOOKUP(AH$3,$D$7:$P$336,$R69,FALSE)</f>
        <v>#N/A</v>
      </c>
      <c r="AI69" s="60" t="e">
        <f>100+HLOOKUP(AI$4,$D$7:$P$336,$R69,FALSE)-HLOOKUP(AI$3,$D$7:$P$336,$R69,FALSE)</f>
        <v>#N/A</v>
      </c>
      <c r="AJ69" s="60" t="e">
        <f>100+HLOOKUP(AJ$4,$D$7:$P$336,$R69,FALSE)-HLOOKUP(AJ$3,$D$7:$P$336,$R69,FALSE)</f>
        <v>#N/A</v>
      </c>
      <c r="AK69" s="60" t="e">
        <f>100+HLOOKUP(AK$4,$D$7:$P$336,$R69,FALSE)-HLOOKUP(AK$3,$D$7:$P$336,$R69,FALSE)</f>
        <v>#N/A</v>
      </c>
      <c r="AL69" s="60" t="e">
        <f>100+HLOOKUP(AL$4,$D$7:$P$336,$R69,FALSE)-HLOOKUP(AL$3,$D$7:$P$336,$R69,FALSE)</f>
        <v>#N/A</v>
      </c>
      <c r="AM69" s="60" t="e">
        <f>100+HLOOKUP(AM$4,$D$7:$P$336,$R69,FALSE)-HLOOKUP(AM$3,$D$7:$P$336,$R69,FALSE)</f>
        <v>#N/A</v>
      </c>
      <c r="AN69" s="60" t="e">
        <f>100+HLOOKUP(AN$4,$D$7:$P$336,$R69,FALSE)-HLOOKUP(AN$3,$D$7:$P$336,$R69,FALSE)</f>
        <v>#N/A</v>
      </c>
      <c r="AO69" s="60" t="e">
        <f>100+HLOOKUP(AO$4,$D$7:$P$336,$R69,FALSE)-HLOOKUP(AO$3,$D$7:$P$336,$R69,FALSE)</f>
        <v>#N/A</v>
      </c>
      <c r="AP69" s="60" t="e">
        <f>100+HLOOKUP(AP$4,$D$7:$P$336,$R69,FALSE)-HLOOKUP(AP$3,$D$7:$P$336,$R69,FALSE)</f>
        <v>#N/A</v>
      </c>
      <c r="AQ69" s="60" t="e">
        <f>100+HLOOKUP(AQ$4,$D$7:$P$336,$R69,FALSE)-HLOOKUP(AQ$3,$D$7:$P$336,$R69,FALSE)</f>
        <v>#N/A</v>
      </c>
      <c r="AV69" s="60">
        <f ca="1">AV$5-S69</f>
        <v>4.1903994267964322</v>
      </c>
      <c r="AW69" s="60">
        <f ca="1">AW$5-T69</f>
        <v>-6.7793494702422521</v>
      </c>
      <c r="AX69" s="60">
        <f ca="1">AX$5-U69</f>
        <v>0.77591540366805134</v>
      </c>
      <c r="AY69" s="60">
        <f ca="1">AY$5-V69</f>
        <v>-4.3969855984721988</v>
      </c>
      <c r="AZ69" s="60">
        <f ca="1">AZ$5-W69</f>
        <v>-3.5455178274039696</v>
      </c>
      <c r="BA69" s="60">
        <f ca="1">BA$5-X69</f>
        <v>-0.53494094101729672</v>
      </c>
      <c r="BB69" s="60">
        <f ca="1">BB$5-Y69</f>
        <v>-7.6494072726188733</v>
      </c>
      <c r="BC69" s="60">
        <f ca="1">BC$5-Z69</f>
        <v>6.4374659098821638</v>
      </c>
      <c r="BD69" s="60">
        <f ca="1">BD$5-AA69</f>
        <v>-6.3481335617638024E-2</v>
      </c>
      <c r="BE69" s="60">
        <f ca="1">BE$5-AB69</f>
        <v>-9.170609408007806</v>
      </c>
      <c r="BF69" s="60">
        <f ca="1">BF$5-AC69</f>
        <v>1.0173043164770803</v>
      </c>
      <c r="BG69" s="60">
        <f ca="1">BG$5-AD69</f>
        <v>4.9852587050185093</v>
      </c>
      <c r="BH69" s="60">
        <f ca="1">BH$5-AE69</f>
        <v>-1.0454077696324333</v>
      </c>
      <c r="BI69" s="60">
        <f ca="1">BI$5-AF69</f>
        <v>-9.3914944887451952</v>
      </c>
      <c r="BJ69" s="60">
        <f ca="1">BJ$5-AG69</f>
        <v>-6.56044894232123</v>
      </c>
      <c r="BK69" s="60" t="e">
        <f>BK$5-AH69</f>
        <v>#N/A</v>
      </c>
      <c r="BL69" s="60" t="e">
        <f>BL$5-AI69</f>
        <v>#N/A</v>
      </c>
      <c r="BM69" s="60" t="e">
        <f>BM$5-AJ69</f>
        <v>#N/A</v>
      </c>
      <c r="BN69" s="60" t="e">
        <f>BN$5-AK69</f>
        <v>#N/A</v>
      </c>
      <c r="BO69" s="60" t="e">
        <f>BO$5-AL69</f>
        <v>#N/A</v>
      </c>
      <c r="BP69" s="60" t="e">
        <f>BP$5-AM69</f>
        <v>#N/A</v>
      </c>
      <c r="BQ69" s="60" t="e">
        <f>BQ$5-AN69</f>
        <v>#N/A</v>
      </c>
      <c r="BR69" s="60" t="e">
        <f>BR$5-AO69</f>
        <v>#N/A</v>
      </c>
      <c r="BS69" s="60" t="e">
        <f>BS$5-AP69</f>
        <v>#N/A</v>
      </c>
      <c r="BT69" s="60" t="e">
        <f>BT$5-AQ69</f>
        <v>#N/A</v>
      </c>
      <c r="BV69" s="60" cm="1">
        <f t="array" aca="1" ref="BV69" ca="1">SQRT(SUMSQ(_xlfn._xlws.FILTER(AV69:BT69,ISNUMBER(AV69:BT69)))/COUNT(_xlfn._xlws.FILTER(AV69:BT69,ISNUMBER(AV69:BT69))))</f>
        <v>5.4073417177324021</v>
      </c>
    </row>
    <row r="70" spans="3:74" x14ac:dyDescent="0.2">
      <c r="C70" s="60" t="s">
        <v>189</v>
      </c>
      <c r="D70" s="60">
        <v>0</v>
      </c>
      <c r="E70" s="60">
        <v>0</v>
      </c>
      <c r="F70" s="60">
        <v>0</v>
      </c>
      <c r="G70" s="60">
        <v>0</v>
      </c>
      <c r="H70" s="60">
        <v>0</v>
      </c>
      <c r="I70" s="60">
        <v>0</v>
      </c>
      <c r="J70" s="60">
        <v>0</v>
      </c>
      <c r="K70" s="60">
        <v>0</v>
      </c>
      <c r="L70" s="60">
        <v>0</v>
      </c>
      <c r="M70" s="60">
        <v>0</v>
      </c>
      <c r="N70" s="60">
        <v>0</v>
      </c>
      <c r="O70" s="60">
        <v>0</v>
      </c>
      <c r="P70" s="60">
        <v>0</v>
      </c>
      <c r="R70" s="61">
        <f>(ROW(R70)-ROW($C$6))</f>
        <v>64</v>
      </c>
      <c r="S70" s="60">
        <f ca="1">100+HLOOKUP(S$4,$D$7:$P$336,$R70,FALSE)-HLOOKUP(S$3,$D$7:$P$336,$R70,FALSE)</f>
        <v>100</v>
      </c>
      <c r="T70" s="60">
        <f ca="1">100+HLOOKUP(T$4,$D$7:$P$336,$R70,FALSE)-HLOOKUP(T$3,$D$7:$P$336,$R70,FALSE)</f>
        <v>100</v>
      </c>
      <c r="U70" s="60">
        <f ca="1">100+HLOOKUP(U$4,$D$7:$P$336,$R70,FALSE)-HLOOKUP(U$3,$D$7:$P$336,$R70,FALSE)</f>
        <v>100</v>
      </c>
      <c r="V70" s="60">
        <f ca="1">100+HLOOKUP(V$4,$D$7:$P$336,$R70,FALSE)-HLOOKUP(V$3,$D$7:$P$336,$R70,FALSE)</f>
        <v>100</v>
      </c>
      <c r="W70" s="60">
        <f ca="1">100+HLOOKUP(W$4,$D$7:$P$336,$R70,FALSE)-HLOOKUP(W$3,$D$7:$P$336,$R70,FALSE)</f>
        <v>100</v>
      </c>
      <c r="X70" s="60">
        <f ca="1">100+HLOOKUP(X$4,$D$7:$P$336,$R70,FALSE)-HLOOKUP(X$3,$D$7:$P$336,$R70,FALSE)</f>
        <v>100</v>
      </c>
      <c r="Y70" s="60">
        <f ca="1">100+HLOOKUP(Y$4,$D$7:$P$336,$R70,FALSE)-HLOOKUP(Y$3,$D$7:$P$336,$R70,FALSE)</f>
        <v>100</v>
      </c>
      <c r="Z70" s="60">
        <f ca="1">100+HLOOKUP(Z$4,$D$7:$P$336,$R70,FALSE)-HLOOKUP(Z$3,$D$7:$P$336,$R70,FALSE)</f>
        <v>100</v>
      </c>
      <c r="AA70" s="60">
        <f ca="1">100+HLOOKUP(AA$4,$D$7:$P$336,$R70,FALSE)-HLOOKUP(AA$3,$D$7:$P$336,$R70,FALSE)</f>
        <v>100</v>
      </c>
      <c r="AB70" s="60">
        <f ca="1">100+HLOOKUP(AB$4,$D$7:$P$336,$R70,FALSE)-HLOOKUP(AB$3,$D$7:$P$336,$R70,FALSE)</f>
        <v>100</v>
      </c>
      <c r="AC70" s="60">
        <f ca="1">100+HLOOKUP(AC$4,$D$7:$P$336,$R70,FALSE)-HLOOKUP(AC$3,$D$7:$P$336,$R70,FALSE)</f>
        <v>100</v>
      </c>
      <c r="AD70" s="60">
        <f ca="1">100+HLOOKUP(AD$4,$D$7:$P$336,$R70,FALSE)-HLOOKUP(AD$3,$D$7:$P$336,$R70,FALSE)</f>
        <v>100</v>
      </c>
      <c r="AE70" s="60">
        <f ca="1">100+HLOOKUP(AE$4,$D$7:$P$336,$R70,FALSE)-HLOOKUP(AE$3,$D$7:$P$336,$R70,FALSE)</f>
        <v>100</v>
      </c>
      <c r="AF70" s="60">
        <f ca="1">100+HLOOKUP(AF$4,$D$7:$P$336,$R70,FALSE)-HLOOKUP(AF$3,$D$7:$P$336,$R70,FALSE)</f>
        <v>100</v>
      </c>
      <c r="AG70" s="60">
        <f ca="1">100+HLOOKUP(AG$4,$D$7:$P$336,$R70,FALSE)-HLOOKUP(AG$3,$D$7:$P$336,$R70,FALSE)</f>
        <v>100</v>
      </c>
      <c r="AH70" s="60" t="e">
        <f>100+HLOOKUP(AH$4,$D$7:$P$336,$R70,FALSE)-HLOOKUP(AH$3,$D$7:$P$336,$R70,FALSE)</f>
        <v>#N/A</v>
      </c>
      <c r="AI70" s="60" t="e">
        <f>100+HLOOKUP(AI$4,$D$7:$P$336,$R70,FALSE)-HLOOKUP(AI$3,$D$7:$P$336,$R70,FALSE)</f>
        <v>#N/A</v>
      </c>
      <c r="AJ70" s="60" t="e">
        <f>100+HLOOKUP(AJ$4,$D$7:$P$336,$R70,FALSE)-HLOOKUP(AJ$3,$D$7:$P$336,$R70,FALSE)</f>
        <v>#N/A</v>
      </c>
      <c r="AK70" s="60" t="e">
        <f>100+HLOOKUP(AK$4,$D$7:$P$336,$R70,FALSE)-HLOOKUP(AK$3,$D$7:$P$336,$R70,FALSE)</f>
        <v>#N/A</v>
      </c>
      <c r="AL70" s="60" t="e">
        <f>100+HLOOKUP(AL$4,$D$7:$P$336,$R70,FALSE)-HLOOKUP(AL$3,$D$7:$P$336,$R70,FALSE)</f>
        <v>#N/A</v>
      </c>
      <c r="AM70" s="60" t="e">
        <f>100+HLOOKUP(AM$4,$D$7:$P$336,$R70,FALSE)-HLOOKUP(AM$3,$D$7:$P$336,$R70,FALSE)</f>
        <v>#N/A</v>
      </c>
      <c r="AN70" s="60" t="e">
        <f>100+HLOOKUP(AN$4,$D$7:$P$336,$R70,FALSE)-HLOOKUP(AN$3,$D$7:$P$336,$R70,FALSE)</f>
        <v>#N/A</v>
      </c>
      <c r="AO70" s="60" t="e">
        <f>100+HLOOKUP(AO$4,$D$7:$P$336,$R70,FALSE)-HLOOKUP(AO$3,$D$7:$P$336,$R70,FALSE)</f>
        <v>#N/A</v>
      </c>
      <c r="AP70" s="60" t="e">
        <f>100+HLOOKUP(AP$4,$D$7:$P$336,$R70,FALSE)-HLOOKUP(AP$3,$D$7:$P$336,$R70,FALSE)</f>
        <v>#N/A</v>
      </c>
      <c r="AQ70" s="60" t="e">
        <f>100+HLOOKUP(AQ$4,$D$7:$P$336,$R70,FALSE)-HLOOKUP(AQ$3,$D$7:$P$336,$R70,FALSE)</f>
        <v>#N/A</v>
      </c>
      <c r="AV70" s="60">
        <f ca="1">AV$5-S70</f>
        <v>3.1903994267964322</v>
      </c>
      <c r="AW70" s="60">
        <f ca="1">AW$5-T70</f>
        <v>-5.7793494702422521</v>
      </c>
      <c r="AX70" s="60">
        <f ca="1">AX$5-U70</f>
        <v>1.7759154036680513</v>
      </c>
      <c r="AY70" s="60">
        <f ca="1">AY$5-V70</f>
        <v>-6.3969855984721988</v>
      </c>
      <c r="AZ70" s="60">
        <f ca="1">AZ$5-W70</f>
        <v>-2.5455178274039696</v>
      </c>
      <c r="BA70" s="60">
        <f ca="1">BA$5-X70</f>
        <v>-1.5349409410172967</v>
      </c>
      <c r="BB70" s="60">
        <f ca="1">BB$5-Y70</f>
        <v>-6.6494072726188733</v>
      </c>
      <c r="BC70" s="60">
        <f ca="1">BC$5-Z70</f>
        <v>7.4374659098821638</v>
      </c>
      <c r="BD70" s="60">
        <f ca="1">BD$5-AA70</f>
        <v>-2.063481335617638</v>
      </c>
      <c r="BE70" s="60">
        <f ca="1">BE$5-AB70</f>
        <v>-8.170609408007806</v>
      </c>
      <c r="BF70" s="60">
        <f ca="1">BF$5-AC70</f>
        <v>1.0173043164770803</v>
      </c>
      <c r="BG70" s="60">
        <f ca="1">BG$5-AD70</f>
        <v>3.9852587050185093</v>
      </c>
      <c r="BH70" s="60">
        <f ca="1">BH$5-AE70</f>
        <v>-1.0454077696324333</v>
      </c>
      <c r="BI70" s="60">
        <f ca="1">BI$5-AF70</f>
        <v>-9.3914944887451952</v>
      </c>
      <c r="BJ70" s="60">
        <f ca="1">BJ$5-AG70</f>
        <v>-8.56044894232123</v>
      </c>
      <c r="BK70" s="60" t="e">
        <f>BK$5-AH70</f>
        <v>#N/A</v>
      </c>
      <c r="BL70" s="60" t="e">
        <f>BL$5-AI70</f>
        <v>#N/A</v>
      </c>
      <c r="BM70" s="60" t="e">
        <f>BM$5-AJ70</f>
        <v>#N/A</v>
      </c>
      <c r="BN70" s="60" t="e">
        <f>BN$5-AK70</f>
        <v>#N/A</v>
      </c>
      <c r="BO70" s="60" t="e">
        <f>BO$5-AL70</f>
        <v>#N/A</v>
      </c>
      <c r="BP70" s="60" t="e">
        <f>BP$5-AM70</f>
        <v>#N/A</v>
      </c>
      <c r="BQ70" s="60" t="e">
        <f>BQ$5-AN70</f>
        <v>#N/A</v>
      </c>
      <c r="BR70" s="60" t="e">
        <f>BR$5-AO70</f>
        <v>#N/A</v>
      </c>
      <c r="BS70" s="60" t="e">
        <f>BS$5-AP70</f>
        <v>#N/A</v>
      </c>
      <c r="BT70" s="60" t="e">
        <f>BT$5-AQ70</f>
        <v>#N/A</v>
      </c>
      <c r="BV70" s="60" cm="1">
        <f t="array" aca="1" ref="BV70" ca="1">SQRT(SUMSQ(_xlfn._xlws.FILTER(AV70:BT70,ISNUMBER(AV70:BT70)))/COUNT(_xlfn._xlws.FILTER(AV70:BT70,ISNUMBER(AV70:BT70))))</f>
        <v>5.456063236312068</v>
      </c>
    </row>
    <row r="71" spans="3:74" x14ac:dyDescent="0.2">
      <c r="C71" s="60" t="s">
        <v>236</v>
      </c>
      <c r="D71" s="60">
        <v>0</v>
      </c>
      <c r="E71" s="60">
        <v>0</v>
      </c>
      <c r="F71" s="60">
        <v>0</v>
      </c>
      <c r="G71" s="60">
        <v>0</v>
      </c>
      <c r="H71" s="60">
        <v>0</v>
      </c>
      <c r="I71" s="60">
        <v>0</v>
      </c>
      <c r="J71" s="60">
        <v>0</v>
      </c>
      <c r="K71" s="60">
        <v>0</v>
      </c>
      <c r="L71" s="60">
        <v>0</v>
      </c>
      <c r="M71" s="60">
        <v>0</v>
      </c>
      <c r="N71" s="60">
        <v>0</v>
      </c>
      <c r="O71" s="60">
        <v>0</v>
      </c>
      <c r="P71" s="60">
        <v>0</v>
      </c>
      <c r="R71" s="61">
        <f>(ROW(R71)-ROW($C$6))</f>
        <v>65</v>
      </c>
      <c r="S71" s="60">
        <f ca="1">100+HLOOKUP(S$4,$D$7:$P$336,$R71,FALSE)-HLOOKUP(S$3,$D$7:$P$336,$R71,FALSE)</f>
        <v>100</v>
      </c>
      <c r="T71" s="60">
        <f ca="1">100+HLOOKUP(T$4,$D$7:$P$336,$R71,FALSE)-HLOOKUP(T$3,$D$7:$P$336,$R71,FALSE)</f>
        <v>100</v>
      </c>
      <c r="U71" s="60">
        <f ca="1">100+HLOOKUP(U$4,$D$7:$P$336,$R71,FALSE)-HLOOKUP(U$3,$D$7:$P$336,$R71,FALSE)</f>
        <v>100</v>
      </c>
      <c r="V71" s="60">
        <f ca="1">100+HLOOKUP(V$4,$D$7:$P$336,$R71,FALSE)-HLOOKUP(V$3,$D$7:$P$336,$R71,FALSE)</f>
        <v>100</v>
      </c>
      <c r="W71" s="60">
        <f ca="1">100+HLOOKUP(W$4,$D$7:$P$336,$R71,FALSE)-HLOOKUP(W$3,$D$7:$P$336,$R71,FALSE)</f>
        <v>100</v>
      </c>
      <c r="X71" s="60">
        <f ca="1">100+HLOOKUP(X$4,$D$7:$P$336,$R71,FALSE)-HLOOKUP(X$3,$D$7:$P$336,$R71,FALSE)</f>
        <v>100</v>
      </c>
      <c r="Y71" s="60">
        <f ca="1">100+HLOOKUP(Y$4,$D$7:$P$336,$R71,FALSE)-HLOOKUP(Y$3,$D$7:$P$336,$R71,FALSE)</f>
        <v>100</v>
      </c>
      <c r="Z71" s="60">
        <f ca="1">100+HLOOKUP(Z$4,$D$7:$P$336,$R71,FALSE)-HLOOKUP(Z$3,$D$7:$P$336,$R71,FALSE)</f>
        <v>100</v>
      </c>
      <c r="AA71" s="60">
        <f ca="1">100+HLOOKUP(AA$4,$D$7:$P$336,$R71,FALSE)-HLOOKUP(AA$3,$D$7:$P$336,$R71,FALSE)</f>
        <v>100</v>
      </c>
      <c r="AB71" s="60">
        <f ca="1">100+HLOOKUP(AB$4,$D$7:$P$336,$R71,FALSE)-HLOOKUP(AB$3,$D$7:$P$336,$R71,FALSE)</f>
        <v>100</v>
      </c>
      <c r="AC71" s="60">
        <f ca="1">100+HLOOKUP(AC$4,$D$7:$P$336,$R71,FALSE)-HLOOKUP(AC$3,$D$7:$P$336,$R71,FALSE)</f>
        <v>100</v>
      </c>
      <c r="AD71" s="60">
        <f ca="1">100+HLOOKUP(AD$4,$D$7:$P$336,$R71,FALSE)-HLOOKUP(AD$3,$D$7:$P$336,$R71,FALSE)</f>
        <v>100</v>
      </c>
      <c r="AE71" s="60">
        <f ca="1">100+HLOOKUP(AE$4,$D$7:$P$336,$R71,FALSE)-HLOOKUP(AE$3,$D$7:$P$336,$R71,FALSE)</f>
        <v>100</v>
      </c>
      <c r="AF71" s="60">
        <f ca="1">100+HLOOKUP(AF$4,$D$7:$P$336,$R71,FALSE)-HLOOKUP(AF$3,$D$7:$P$336,$R71,FALSE)</f>
        <v>100</v>
      </c>
      <c r="AG71" s="60">
        <f ca="1">100+HLOOKUP(AG$4,$D$7:$P$336,$R71,FALSE)-HLOOKUP(AG$3,$D$7:$P$336,$R71,FALSE)</f>
        <v>100</v>
      </c>
      <c r="AH71" s="60" t="e">
        <f>100+HLOOKUP(AH$4,$D$7:$P$336,$R71,FALSE)-HLOOKUP(AH$3,$D$7:$P$336,$R71,FALSE)</f>
        <v>#N/A</v>
      </c>
      <c r="AI71" s="60" t="e">
        <f>100+HLOOKUP(AI$4,$D$7:$P$336,$R71,FALSE)-HLOOKUP(AI$3,$D$7:$P$336,$R71,FALSE)</f>
        <v>#N/A</v>
      </c>
      <c r="AJ71" s="60" t="e">
        <f>100+HLOOKUP(AJ$4,$D$7:$P$336,$R71,FALSE)-HLOOKUP(AJ$3,$D$7:$P$336,$R71,FALSE)</f>
        <v>#N/A</v>
      </c>
      <c r="AK71" s="60" t="e">
        <f>100+HLOOKUP(AK$4,$D$7:$P$336,$R71,FALSE)-HLOOKUP(AK$3,$D$7:$P$336,$R71,FALSE)</f>
        <v>#N/A</v>
      </c>
      <c r="AL71" s="60" t="e">
        <f>100+HLOOKUP(AL$4,$D$7:$P$336,$R71,FALSE)-HLOOKUP(AL$3,$D$7:$P$336,$R71,FALSE)</f>
        <v>#N/A</v>
      </c>
      <c r="AM71" s="60" t="e">
        <f>100+HLOOKUP(AM$4,$D$7:$P$336,$R71,FALSE)-HLOOKUP(AM$3,$D$7:$P$336,$R71,FALSE)</f>
        <v>#N/A</v>
      </c>
      <c r="AN71" s="60" t="e">
        <f>100+HLOOKUP(AN$4,$D$7:$P$336,$R71,FALSE)-HLOOKUP(AN$3,$D$7:$P$336,$R71,FALSE)</f>
        <v>#N/A</v>
      </c>
      <c r="AO71" s="60" t="e">
        <f>100+HLOOKUP(AO$4,$D$7:$P$336,$R71,FALSE)-HLOOKUP(AO$3,$D$7:$P$336,$R71,FALSE)</f>
        <v>#N/A</v>
      </c>
      <c r="AP71" s="60" t="e">
        <f>100+HLOOKUP(AP$4,$D$7:$P$336,$R71,FALSE)-HLOOKUP(AP$3,$D$7:$P$336,$R71,FALSE)</f>
        <v>#N/A</v>
      </c>
      <c r="AQ71" s="60" t="e">
        <f>100+HLOOKUP(AQ$4,$D$7:$P$336,$R71,FALSE)-HLOOKUP(AQ$3,$D$7:$P$336,$R71,FALSE)</f>
        <v>#N/A</v>
      </c>
      <c r="AV71" s="60">
        <f ca="1">AV$5-S71</f>
        <v>3.1903994267964322</v>
      </c>
      <c r="AW71" s="60">
        <f ca="1">AW$5-T71</f>
        <v>-5.7793494702422521</v>
      </c>
      <c r="AX71" s="60">
        <f ca="1">AX$5-U71</f>
        <v>1.7759154036680513</v>
      </c>
      <c r="AY71" s="60">
        <f ca="1">AY$5-V71</f>
        <v>-6.3969855984721988</v>
      </c>
      <c r="AZ71" s="60">
        <f ca="1">AZ$5-W71</f>
        <v>-2.5455178274039696</v>
      </c>
      <c r="BA71" s="60">
        <f ca="1">BA$5-X71</f>
        <v>-1.5349409410172967</v>
      </c>
      <c r="BB71" s="60">
        <f ca="1">BB$5-Y71</f>
        <v>-6.6494072726188733</v>
      </c>
      <c r="BC71" s="60">
        <f ca="1">BC$5-Z71</f>
        <v>7.4374659098821638</v>
      </c>
      <c r="BD71" s="60">
        <f ca="1">BD$5-AA71</f>
        <v>-2.063481335617638</v>
      </c>
      <c r="BE71" s="60">
        <f ca="1">BE$5-AB71</f>
        <v>-8.170609408007806</v>
      </c>
      <c r="BF71" s="60">
        <f ca="1">BF$5-AC71</f>
        <v>1.0173043164770803</v>
      </c>
      <c r="BG71" s="60">
        <f ca="1">BG$5-AD71</f>
        <v>3.9852587050185093</v>
      </c>
      <c r="BH71" s="60">
        <f ca="1">BH$5-AE71</f>
        <v>-1.0454077696324333</v>
      </c>
      <c r="BI71" s="60">
        <f ca="1">BI$5-AF71</f>
        <v>-9.3914944887451952</v>
      </c>
      <c r="BJ71" s="60">
        <f ca="1">BJ$5-AG71</f>
        <v>-8.56044894232123</v>
      </c>
      <c r="BK71" s="60" t="e">
        <f>BK$5-AH71</f>
        <v>#N/A</v>
      </c>
      <c r="BL71" s="60" t="e">
        <f>BL$5-AI71</f>
        <v>#N/A</v>
      </c>
      <c r="BM71" s="60" t="e">
        <f>BM$5-AJ71</f>
        <v>#N/A</v>
      </c>
      <c r="BN71" s="60" t="e">
        <f>BN$5-AK71</f>
        <v>#N/A</v>
      </c>
      <c r="BO71" s="60" t="e">
        <f>BO$5-AL71</f>
        <v>#N/A</v>
      </c>
      <c r="BP71" s="60" t="e">
        <f>BP$5-AM71</f>
        <v>#N/A</v>
      </c>
      <c r="BQ71" s="60" t="e">
        <f>BQ$5-AN71</f>
        <v>#N/A</v>
      </c>
      <c r="BR71" s="60" t="e">
        <f>BR$5-AO71</f>
        <v>#N/A</v>
      </c>
      <c r="BS71" s="60" t="e">
        <f>BS$5-AP71</f>
        <v>#N/A</v>
      </c>
      <c r="BT71" s="60" t="e">
        <f>BT$5-AQ71</f>
        <v>#N/A</v>
      </c>
      <c r="BV71" s="60" cm="1">
        <f t="array" aca="1" ref="BV71" ca="1">SQRT(SUMSQ(_xlfn._xlws.FILTER(AV71:BT71,ISNUMBER(AV71:BT71)))/COUNT(_xlfn._xlws.FILTER(AV71:BT71,ISNUMBER(AV71:BT71))))</f>
        <v>5.456063236312068</v>
      </c>
    </row>
    <row r="72" spans="3:74" x14ac:dyDescent="0.2">
      <c r="C72" s="60" t="s">
        <v>237</v>
      </c>
      <c r="D72" s="60">
        <v>0</v>
      </c>
      <c r="E72" s="60">
        <v>0</v>
      </c>
      <c r="F72" s="60">
        <v>0</v>
      </c>
      <c r="G72" s="60">
        <v>0</v>
      </c>
      <c r="H72" s="60">
        <v>0</v>
      </c>
      <c r="I72" s="60">
        <v>0</v>
      </c>
      <c r="J72" s="60">
        <v>0</v>
      </c>
      <c r="K72" s="60">
        <v>0</v>
      </c>
      <c r="L72" s="60">
        <v>0</v>
      </c>
      <c r="M72" s="60">
        <v>0</v>
      </c>
      <c r="N72" s="60">
        <v>0</v>
      </c>
      <c r="O72" s="60">
        <v>0</v>
      </c>
      <c r="P72" s="60">
        <v>0</v>
      </c>
      <c r="R72" s="61">
        <f>(ROW(R72)-ROW($C$6))</f>
        <v>66</v>
      </c>
      <c r="S72" s="60">
        <f ca="1">100+HLOOKUP(S$4,$D$7:$P$336,$R72,FALSE)-HLOOKUP(S$3,$D$7:$P$336,$R72,FALSE)</f>
        <v>100</v>
      </c>
      <c r="T72" s="60">
        <f ca="1">100+HLOOKUP(T$4,$D$7:$P$336,$R72,FALSE)-HLOOKUP(T$3,$D$7:$P$336,$R72,FALSE)</f>
        <v>100</v>
      </c>
      <c r="U72" s="60">
        <f ca="1">100+HLOOKUP(U$4,$D$7:$P$336,$R72,FALSE)-HLOOKUP(U$3,$D$7:$P$336,$R72,FALSE)</f>
        <v>100</v>
      </c>
      <c r="V72" s="60">
        <f ca="1">100+HLOOKUP(V$4,$D$7:$P$336,$R72,FALSE)-HLOOKUP(V$3,$D$7:$P$336,$R72,FALSE)</f>
        <v>100</v>
      </c>
      <c r="W72" s="60">
        <f ca="1">100+HLOOKUP(W$4,$D$7:$P$336,$R72,FALSE)-HLOOKUP(W$3,$D$7:$P$336,$R72,FALSE)</f>
        <v>100</v>
      </c>
      <c r="X72" s="60">
        <f ca="1">100+HLOOKUP(X$4,$D$7:$P$336,$R72,FALSE)-HLOOKUP(X$3,$D$7:$P$336,$R72,FALSE)</f>
        <v>100</v>
      </c>
      <c r="Y72" s="60">
        <f ca="1">100+HLOOKUP(Y$4,$D$7:$P$336,$R72,FALSE)-HLOOKUP(Y$3,$D$7:$P$336,$R72,FALSE)</f>
        <v>100</v>
      </c>
      <c r="Z72" s="60">
        <f ca="1">100+HLOOKUP(Z$4,$D$7:$P$336,$R72,FALSE)-HLOOKUP(Z$3,$D$7:$P$336,$R72,FALSE)</f>
        <v>100</v>
      </c>
      <c r="AA72" s="60">
        <f ca="1">100+HLOOKUP(AA$4,$D$7:$P$336,$R72,FALSE)-HLOOKUP(AA$3,$D$7:$P$336,$R72,FALSE)</f>
        <v>100</v>
      </c>
      <c r="AB72" s="60">
        <f ca="1">100+HLOOKUP(AB$4,$D$7:$P$336,$R72,FALSE)-HLOOKUP(AB$3,$D$7:$P$336,$R72,FALSE)</f>
        <v>100</v>
      </c>
      <c r="AC72" s="60">
        <f ca="1">100+HLOOKUP(AC$4,$D$7:$P$336,$R72,FALSE)-HLOOKUP(AC$3,$D$7:$P$336,$R72,FALSE)</f>
        <v>100</v>
      </c>
      <c r="AD72" s="60">
        <f ca="1">100+HLOOKUP(AD$4,$D$7:$P$336,$R72,FALSE)-HLOOKUP(AD$3,$D$7:$P$336,$R72,FALSE)</f>
        <v>100</v>
      </c>
      <c r="AE72" s="60">
        <f ca="1">100+HLOOKUP(AE$4,$D$7:$P$336,$R72,FALSE)-HLOOKUP(AE$3,$D$7:$P$336,$R72,FALSE)</f>
        <v>100</v>
      </c>
      <c r="AF72" s="60">
        <f ca="1">100+HLOOKUP(AF$4,$D$7:$P$336,$R72,FALSE)-HLOOKUP(AF$3,$D$7:$P$336,$R72,FALSE)</f>
        <v>100</v>
      </c>
      <c r="AG72" s="60">
        <f ca="1">100+HLOOKUP(AG$4,$D$7:$P$336,$R72,FALSE)-HLOOKUP(AG$3,$D$7:$P$336,$R72,FALSE)</f>
        <v>100</v>
      </c>
      <c r="AH72" s="60" t="e">
        <f>100+HLOOKUP(AH$4,$D$7:$P$336,$R72,FALSE)-HLOOKUP(AH$3,$D$7:$P$336,$R72,FALSE)</f>
        <v>#N/A</v>
      </c>
      <c r="AI72" s="60" t="e">
        <f>100+HLOOKUP(AI$4,$D$7:$P$336,$R72,FALSE)-HLOOKUP(AI$3,$D$7:$P$336,$R72,FALSE)</f>
        <v>#N/A</v>
      </c>
      <c r="AJ72" s="60" t="e">
        <f>100+HLOOKUP(AJ$4,$D$7:$P$336,$R72,FALSE)-HLOOKUP(AJ$3,$D$7:$P$336,$R72,FALSE)</f>
        <v>#N/A</v>
      </c>
      <c r="AK72" s="60" t="e">
        <f>100+HLOOKUP(AK$4,$D$7:$P$336,$R72,FALSE)-HLOOKUP(AK$3,$D$7:$P$336,$R72,FALSE)</f>
        <v>#N/A</v>
      </c>
      <c r="AL72" s="60" t="e">
        <f>100+HLOOKUP(AL$4,$D$7:$P$336,$R72,FALSE)-HLOOKUP(AL$3,$D$7:$P$336,$R72,FALSE)</f>
        <v>#N/A</v>
      </c>
      <c r="AM72" s="60" t="e">
        <f>100+HLOOKUP(AM$4,$D$7:$P$336,$R72,FALSE)-HLOOKUP(AM$3,$D$7:$P$336,$R72,FALSE)</f>
        <v>#N/A</v>
      </c>
      <c r="AN72" s="60" t="e">
        <f>100+HLOOKUP(AN$4,$D$7:$P$336,$R72,FALSE)-HLOOKUP(AN$3,$D$7:$P$336,$R72,FALSE)</f>
        <v>#N/A</v>
      </c>
      <c r="AO72" s="60" t="e">
        <f>100+HLOOKUP(AO$4,$D$7:$P$336,$R72,FALSE)-HLOOKUP(AO$3,$D$7:$P$336,$R72,FALSE)</f>
        <v>#N/A</v>
      </c>
      <c r="AP72" s="60" t="e">
        <f>100+HLOOKUP(AP$4,$D$7:$P$336,$R72,FALSE)-HLOOKUP(AP$3,$D$7:$P$336,$R72,FALSE)</f>
        <v>#N/A</v>
      </c>
      <c r="AQ72" s="60" t="e">
        <f>100+HLOOKUP(AQ$4,$D$7:$P$336,$R72,FALSE)-HLOOKUP(AQ$3,$D$7:$P$336,$R72,FALSE)</f>
        <v>#N/A</v>
      </c>
      <c r="AV72" s="60">
        <f ca="1">AV$5-S72</f>
        <v>3.1903994267964322</v>
      </c>
      <c r="AW72" s="60">
        <f ca="1">AW$5-T72</f>
        <v>-5.7793494702422521</v>
      </c>
      <c r="AX72" s="60">
        <f ca="1">AX$5-U72</f>
        <v>1.7759154036680513</v>
      </c>
      <c r="AY72" s="60">
        <f ca="1">AY$5-V72</f>
        <v>-6.3969855984721988</v>
      </c>
      <c r="AZ72" s="60">
        <f ca="1">AZ$5-W72</f>
        <v>-2.5455178274039696</v>
      </c>
      <c r="BA72" s="60">
        <f ca="1">BA$5-X72</f>
        <v>-1.5349409410172967</v>
      </c>
      <c r="BB72" s="60">
        <f ca="1">BB$5-Y72</f>
        <v>-6.6494072726188733</v>
      </c>
      <c r="BC72" s="60">
        <f ca="1">BC$5-Z72</f>
        <v>7.4374659098821638</v>
      </c>
      <c r="BD72" s="60">
        <f ca="1">BD$5-AA72</f>
        <v>-2.063481335617638</v>
      </c>
      <c r="BE72" s="60">
        <f ca="1">BE$5-AB72</f>
        <v>-8.170609408007806</v>
      </c>
      <c r="BF72" s="60">
        <f ca="1">BF$5-AC72</f>
        <v>1.0173043164770803</v>
      </c>
      <c r="BG72" s="60">
        <f ca="1">BG$5-AD72</f>
        <v>3.9852587050185093</v>
      </c>
      <c r="BH72" s="60">
        <f ca="1">BH$5-AE72</f>
        <v>-1.0454077696324333</v>
      </c>
      <c r="BI72" s="60">
        <f ca="1">BI$5-AF72</f>
        <v>-9.3914944887451952</v>
      </c>
      <c r="BJ72" s="60">
        <f ca="1">BJ$5-AG72</f>
        <v>-8.56044894232123</v>
      </c>
      <c r="BK72" s="60" t="e">
        <f>BK$5-AH72</f>
        <v>#N/A</v>
      </c>
      <c r="BL72" s="60" t="e">
        <f>BL$5-AI72</f>
        <v>#N/A</v>
      </c>
      <c r="BM72" s="60" t="e">
        <f>BM$5-AJ72</f>
        <v>#N/A</v>
      </c>
      <c r="BN72" s="60" t="e">
        <f>BN$5-AK72</f>
        <v>#N/A</v>
      </c>
      <c r="BO72" s="60" t="e">
        <f>BO$5-AL72</f>
        <v>#N/A</v>
      </c>
      <c r="BP72" s="60" t="e">
        <f>BP$5-AM72</f>
        <v>#N/A</v>
      </c>
      <c r="BQ72" s="60" t="e">
        <f>BQ$5-AN72</f>
        <v>#N/A</v>
      </c>
      <c r="BR72" s="60" t="e">
        <f>BR$5-AO72</f>
        <v>#N/A</v>
      </c>
      <c r="BS72" s="60" t="e">
        <f>BS$5-AP72</f>
        <v>#N/A</v>
      </c>
      <c r="BT72" s="60" t="e">
        <f>BT$5-AQ72</f>
        <v>#N/A</v>
      </c>
      <c r="BV72" s="60" cm="1">
        <f t="array" aca="1" ref="BV72" ca="1">SQRT(SUMSQ(_xlfn._xlws.FILTER(AV72:BT72,ISNUMBER(AV72:BT72)))/COUNT(_xlfn._xlws.FILTER(AV72:BT72,ISNUMBER(AV72:BT72))))</f>
        <v>5.456063236312068</v>
      </c>
    </row>
    <row r="73" spans="3:74" x14ac:dyDescent="0.2">
      <c r="C73" s="60" t="s">
        <v>269</v>
      </c>
      <c r="D73" s="60">
        <v>0</v>
      </c>
      <c r="E73" s="60">
        <v>0</v>
      </c>
      <c r="F73" s="60">
        <v>0</v>
      </c>
      <c r="G73" s="60">
        <v>0</v>
      </c>
      <c r="H73" s="60">
        <v>0</v>
      </c>
      <c r="I73" s="60">
        <v>0</v>
      </c>
      <c r="J73" s="60">
        <v>0</v>
      </c>
      <c r="K73" s="60">
        <v>0</v>
      </c>
      <c r="L73" s="60">
        <v>0</v>
      </c>
      <c r="M73" s="60">
        <v>0</v>
      </c>
      <c r="N73" s="60">
        <v>0</v>
      </c>
      <c r="O73" s="60">
        <v>0</v>
      </c>
      <c r="P73" s="60">
        <v>0</v>
      </c>
      <c r="R73" s="61">
        <f>(ROW(R73)-ROW($C$6))</f>
        <v>67</v>
      </c>
      <c r="S73" s="60">
        <f ca="1">100+HLOOKUP(S$4,$D$7:$P$336,$R73,FALSE)-HLOOKUP(S$3,$D$7:$P$336,$R73,FALSE)</f>
        <v>100</v>
      </c>
      <c r="T73" s="60">
        <f ca="1">100+HLOOKUP(T$4,$D$7:$P$336,$R73,FALSE)-HLOOKUP(T$3,$D$7:$P$336,$R73,FALSE)</f>
        <v>100</v>
      </c>
      <c r="U73" s="60">
        <f ca="1">100+HLOOKUP(U$4,$D$7:$P$336,$R73,FALSE)-HLOOKUP(U$3,$D$7:$P$336,$R73,FALSE)</f>
        <v>100</v>
      </c>
      <c r="V73" s="60">
        <f ca="1">100+HLOOKUP(V$4,$D$7:$P$336,$R73,FALSE)-HLOOKUP(V$3,$D$7:$P$336,$R73,FALSE)</f>
        <v>100</v>
      </c>
      <c r="W73" s="60">
        <f ca="1">100+HLOOKUP(W$4,$D$7:$P$336,$R73,FALSE)-HLOOKUP(W$3,$D$7:$P$336,$R73,FALSE)</f>
        <v>100</v>
      </c>
      <c r="X73" s="60">
        <f ca="1">100+HLOOKUP(X$4,$D$7:$P$336,$R73,FALSE)-HLOOKUP(X$3,$D$7:$P$336,$R73,FALSE)</f>
        <v>100</v>
      </c>
      <c r="Y73" s="60">
        <f ca="1">100+HLOOKUP(Y$4,$D$7:$P$336,$R73,FALSE)-HLOOKUP(Y$3,$D$7:$P$336,$R73,FALSE)</f>
        <v>100</v>
      </c>
      <c r="Z73" s="60">
        <f ca="1">100+HLOOKUP(Z$4,$D$7:$P$336,$R73,FALSE)-HLOOKUP(Z$3,$D$7:$P$336,$R73,FALSE)</f>
        <v>100</v>
      </c>
      <c r="AA73" s="60">
        <f ca="1">100+HLOOKUP(AA$4,$D$7:$P$336,$R73,FALSE)-HLOOKUP(AA$3,$D$7:$P$336,$R73,FALSE)</f>
        <v>100</v>
      </c>
      <c r="AB73" s="60">
        <f ca="1">100+HLOOKUP(AB$4,$D$7:$P$336,$R73,FALSE)-HLOOKUP(AB$3,$D$7:$P$336,$R73,FALSE)</f>
        <v>100</v>
      </c>
      <c r="AC73" s="60">
        <f ca="1">100+HLOOKUP(AC$4,$D$7:$P$336,$R73,FALSE)-HLOOKUP(AC$3,$D$7:$P$336,$R73,FALSE)</f>
        <v>100</v>
      </c>
      <c r="AD73" s="60">
        <f ca="1">100+HLOOKUP(AD$4,$D$7:$P$336,$R73,FALSE)-HLOOKUP(AD$3,$D$7:$P$336,$R73,FALSE)</f>
        <v>100</v>
      </c>
      <c r="AE73" s="60">
        <f ca="1">100+HLOOKUP(AE$4,$D$7:$P$336,$R73,FALSE)-HLOOKUP(AE$3,$D$7:$P$336,$R73,FALSE)</f>
        <v>100</v>
      </c>
      <c r="AF73" s="60">
        <f ca="1">100+HLOOKUP(AF$4,$D$7:$P$336,$R73,FALSE)-HLOOKUP(AF$3,$D$7:$P$336,$R73,FALSE)</f>
        <v>100</v>
      </c>
      <c r="AG73" s="60">
        <f ca="1">100+HLOOKUP(AG$4,$D$7:$P$336,$R73,FALSE)-HLOOKUP(AG$3,$D$7:$P$336,$R73,FALSE)</f>
        <v>100</v>
      </c>
      <c r="AH73" s="60" t="e">
        <f>100+HLOOKUP(AH$4,$D$7:$P$336,$R73,FALSE)-HLOOKUP(AH$3,$D$7:$P$336,$R73,FALSE)</f>
        <v>#N/A</v>
      </c>
      <c r="AI73" s="60" t="e">
        <f>100+HLOOKUP(AI$4,$D$7:$P$336,$R73,FALSE)-HLOOKUP(AI$3,$D$7:$P$336,$R73,FALSE)</f>
        <v>#N/A</v>
      </c>
      <c r="AJ73" s="60" t="e">
        <f>100+HLOOKUP(AJ$4,$D$7:$P$336,$R73,FALSE)-HLOOKUP(AJ$3,$D$7:$P$336,$R73,FALSE)</f>
        <v>#N/A</v>
      </c>
      <c r="AK73" s="60" t="e">
        <f>100+HLOOKUP(AK$4,$D$7:$P$336,$R73,FALSE)-HLOOKUP(AK$3,$D$7:$P$336,$R73,FALSE)</f>
        <v>#N/A</v>
      </c>
      <c r="AL73" s="60" t="e">
        <f>100+HLOOKUP(AL$4,$D$7:$P$336,$R73,FALSE)-HLOOKUP(AL$3,$D$7:$P$336,$R73,FALSE)</f>
        <v>#N/A</v>
      </c>
      <c r="AM73" s="60" t="e">
        <f>100+HLOOKUP(AM$4,$D$7:$P$336,$R73,FALSE)-HLOOKUP(AM$3,$D$7:$P$336,$R73,FALSE)</f>
        <v>#N/A</v>
      </c>
      <c r="AN73" s="60" t="e">
        <f>100+HLOOKUP(AN$4,$D$7:$P$336,$R73,FALSE)-HLOOKUP(AN$3,$D$7:$P$336,$R73,FALSE)</f>
        <v>#N/A</v>
      </c>
      <c r="AO73" s="60" t="e">
        <f>100+HLOOKUP(AO$4,$D$7:$P$336,$R73,FALSE)-HLOOKUP(AO$3,$D$7:$P$336,$R73,FALSE)</f>
        <v>#N/A</v>
      </c>
      <c r="AP73" s="60" t="e">
        <f>100+HLOOKUP(AP$4,$D$7:$P$336,$R73,FALSE)-HLOOKUP(AP$3,$D$7:$P$336,$R73,FALSE)</f>
        <v>#N/A</v>
      </c>
      <c r="AQ73" s="60" t="e">
        <f>100+HLOOKUP(AQ$4,$D$7:$P$336,$R73,FALSE)-HLOOKUP(AQ$3,$D$7:$P$336,$R73,FALSE)</f>
        <v>#N/A</v>
      </c>
      <c r="AV73" s="60">
        <f ca="1">AV$5-S73</f>
        <v>3.1903994267964322</v>
      </c>
      <c r="AW73" s="60">
        <f ca="1">AW$5-T73</f>
        <v>-5.7793494702422521</v>
      </c>
      <c r="AX73" s="60">
        <f ca="1">AX$5-U73</f>
        <v>1.7759154036680513</v>
      </c>
      <c r="AY73" s="60">
        <f ca="1">AY$5-V73</f>
        <v>-6.3969855984721988</v>
      </c>
      <c r="AZ73" s="60">
        <f ca="1">AZ$5-W73</f>
        <v>-2.5455178274039696</v>
      </c>
      <c r="BA73" s="60">
        <f ca="1">BA$5-X73</f>
        <v>-1.5349409410172967</v>
      </c>
      <c r="BB73" s="60">
        <f ca="1">BB$5-Y73</f>
        <v>-6.6494072726188733</v>
      </c>
      <c r="BC73" s="60">
        <f ca="1">BC$5-Z73</f>
        <v>7.4374659098821638</v>
      </c>
      <c r="BD73" s="60">
        <f ca="1">BD$5-AA73</f>
        <v>-2.063481335617638</v>
      </c>
      <c r="BE73" s="60">
        <f ca="1">BE$5-AB73</f>
        <v>-8.170609408007806</v>
      </c>
      <c r="BF73" s="60">
        <f ca="1">BF$5-AC73</f>
        <v>1.0173043164770803</v>
      </c>
      <c r="BG73" s="60">
        <f ca="1">BG$5-AD73</f>
        <v>3.9852587050185093</v>
      </c>
      <c r="BH73" s="60">
        <f ca="1">BH$5-AE73</f>
        <v>-1.0454077696324333</v>
      </c>
      <c r="BI73" s="60">
        <f ca="1">BI$5-AF73</f>
        <v>-9.3914944887451952</v>
      </c>
      <c r="BJ73" s="60">
        <f ca="1">BJ$5-AG73</f>
        <v>-8.56044894232123</v>
      </c>
      <c r="BK73" s="60" t="e">
        <f>BK$5-AH73</f>
        <v>#N/A</v>
      </c>
      <c r="BL73" s="60" t="e">
        <f>BL$5-AI73</f>
        <v>#N/A</v>
      </c>
      <c r="BM73" s="60" t="e">
        <f>BM$5-AJ73</f>
        <v>#N/A</v>
      </c>
      <c r="BN73" s="60" t="e">
        <f>BN$5-AK73</f>
        <v>#N/A</v>
      </c>
      <c r="BO73" s="60" t="e">
        <f>BO$5-AL73</f>
        <v>#N/A</v>
      </c>
      <c r="BP73" s="60" t="e">
        <f>BP$5-AM73</f>
        <v>#N/A</v>
      </c>
      <c r="BQ73" s="60" t="e">
        <f>BQ$5-AN73</f>
        <v>#N/A</v>
      </c>
      <c r="BR73" s="60" t="e">
        <f>BR$5-AO73</f>
        <v>#N/A</v>
      </c>
      <c r="BS73" s="60" t="e">
        <f>BS$5-AP73</f>
        <v>#N/A</v>
      </c>
      <c r="BT73" s="60" t="e">
        <f>BT$5-AQ73</f>
        <v>#N/A</v>
      </c>
      <c r="BV73" s="60" cm="1">
        <f t="array" aca="1" ref="BV73" ca="1">SQRT(SUMSQ(_xlfn._xlws.FILTER(AV73:BT73,ISNUMBER(AV73:BT73)))/COUNT(_xlfn._xlws.FILTER(AV73:BT73,ISNUMBER(AV73:BT73))))</f>
        <v>5.456063236312068</v>
      </c>
    </row>
    <row r="74" spans="3:74" x14ac:dyDescent="0.2">
      <c r="C74" s="60" t="s">
        <v>499</v>
      </c>
      <c r="D74" s="60">
        <v>0</v>
      </c>
      <c r="E74" s="60">
        <v>0</v>
      </c>
      <c r="F74" s="60">
        <v>0</v>
      </c>
      <c r="G74" s="60">
        <v>0</v>
      </c>
      <c r="H74" s="60">
        <v>0</v>
      </c>
      <c r="I74" s="60">
        <v>0</v>
      </c>
      <c r="J74" s="60">
        <v>0</v>
      </c>
      <c r="K74" s="60">
        <v>0</v>
      </c>
      <c r="L74" s="60">
        <v>0</v>
      </c>
      <c r="M74" s="60">
        <v>0</v>
      </c>
      <c r="N74" s="60">
        <v>0</v>
      </c>
      <c r="O74" s="60">
        <v>0</v>
      </c>
      <c r="P74" s="60">
        <v>0</v>
      </c>
      <c r="R74" s="61">
        <f>(ROW(R74)-ROW($C$6))</f>
        <v>68</v>
      </c>
      <c r="S74" s="60">
        <f ca="1">100+HLOOKUP(S$4,$D$7:$P$336,$R74,FALSE)-HLOOKUP(S$3,$D$7:$P$336,$R74,FALSE)</f>
        <v>100</v>
      </c>
      <c r="T74" s="60">
        <f ca="1">100+HLOOKUP(T$4,$D$7:$P$336,$R74,FALSE)-HLOOKUP(T$3,$D$7:$P$336,$R74,FALSE)</f>
        <v>100</v>
      </c>
      <c r="U74" s="60">
        <f ca="1">100+HLOOKUP(U$4,$D$7:$P$336,$R74,FALSE)-HLOOKUP(U$3,$D$7:$P$336,$R74,FALSE)</f>
        <v>100</v>
      </c>
      <c r="V74" s="60">
        <f ca="1">100+HLOOKUP(V$4,$D$7:$P$336,$R74,FALSE)-HLOOKUP(V$3,$D$7:$P$336,$R74,FALSE)</f>
        <v>100</v>
      </c>
      <c r="W74" s="60">
        <f ca="1">100+HLOOKUP(W$4,$D$7:$P$336,$R74,FALSE)-HLOOKUP(W$3,$D$7:$P$336,$R74,FALSE)</f>
        <v>100</v>
      </c>
      <c r="X74" s="60">
        <f ca="1">100+HLOOKUP(X$4,$D$7:$P$336,$R74,FALSE)-HLOOKUP(X$3,$D$7:$P$336,$R74,FALSE)</f>
        <v>100</v>
      </c>
      <c r="Y74" s="60">
        <f ca="1">100+HLOOKUP(Y$4,$D$7:$P$336,$R74,FALSE)-HLOOKUP(Y$3,$D$7:$P$336,$R74,FALSE)</f>
        <v>100</v>
      </c>
      <c r="Z74" s="60">
        <f ca="1">100+HLOOKUP(Z$4,$D$7:$P$336,$R74,FALSE)-HLOOKUP(Z$3,$D$7:$P$336,$R74,FALSE)</f>
        <v>100</v>
      </c>
      <c r="AA74" s="60">
        <f ca="1">100+HLOOKUP(AA$4,$D$7:$P$336,$R74,FALSE)-HLOOKUP(AA$3,$D$7:$P$336,$R74,FALSE)</f>
        <v>100</v>
      </c>
      <c r="AB74" s="60">
        <f ca="1">100+HLOOKUP(AB$4,$D$7:$P$336,$R74,FALSE)-HLOOKUP(AB$3,$D$7:$P$336,$R74,FALSE)</f>
        <v>100</v>
      </c>
      <c r="AC74" s="60">
        <f ca="1">100+HLOOKUP(AC$4,$D$7:$P$336,$R74,FALSE)-HLOOKUP(AC$3,$D$7:$P$336,$R74,FALSE)</f>
        <v>100</v>
      </c>
      <c r="AD74" s="60">
        <f ca="1">100+HLOOKUP(AD$4,$D$7:$P$336,$R74,FALSE)-HLOOKUP(AD$3,$D$7:$P$336,$R74,FALSE)</f>
        <v>100</v>
      </c>
      <c r="AE74" s="60">
        <f ca="1">100+HLOOKUP(AE$4,$D$7:$P$336,$R74,FALSE)-HLOOKUP(AE$3,$D$7:$P$336,$R74,FALSE)</f>
        <v>100</v>
      </c>
      <c r="AF74" s="60">
        <f ca="1">100+HLOOKUP(AF$4,$D$7:$P$336,$R74,FALSE)-HLOOKUP(AF$3,$D$7:$P$336,$R74,FALSE)</f>
        <v>100</v>
      </c>
      <c r="AG74" s="60">
        <f ca="1">100+HLOOKUP(AG$4,$D$7:$P$336,$R74,FALSE)-HLOOKUP(AG$3,$D$7:$P$336,$R74,FALSE)</f>
        <v>100</v>
      </c>
      <c r="AH74" s="60" t="e">
        <f>100+HLOOKUP(AH$4,$D$7:$P$336,$R74,FALSE)-HLOOKUP(AH$3,$D$7:$P$336,$R74,FALSE)</f>
        <v>#N/A</v>
      </c>
      <c r="AI74" s="60" t="e">
        <f>100+HLOOKUP(AI$4,$D$7:$P$336,$R74,FALSE)-HLOOKUP(AI$3,$D$7:$P$336,$R74,FALSE)</f>
        <v>#N/A</v>
      </c>
      <c r="AJ74" s="60" t="e">
        <f>100+HLOOKUP(AJ$4,$D$7:$P$336,$R74,FALSE)-HLOOKUP(AJ$3,$D$7:$P$336,$R74,FALSE)</f>
        <v>#N/A</v>
      </c>
      <c r="AK74" s="60" t="e">
        <f>100+HLOOKUP(AK$4,$D$7:$P$336,$R74,FALSE)-HLOOKUP(AK$3,$D$7:$P$336,$R74,FALSE)</f>
        <v>#N/A</v>
      </c>
      <c r="AL74" s="60" t="e">
        <f>100+HLOOKUP(AL$4,$D$7:$P$336,$R74,FALSE)-HLOOKUP(AL$3,$D$7:$P$336,$R74,FALSE)</f>
        <v>#N/A</v>
      </c>
      <c r="AM74" s="60" t="e">
        <f>100+HLOOKUP(AM$4,$D$7:$P$336,$R74,FALSE)-HLOOKUP(AM$3,$D$7:$P$336,$R74,FALSE)</f>
        <v>#N/A</v>
      </c>
      <c r="AN74" s="60" t="e">
        <f>100+HLOOKUP(AN$4,$D$7:$P$336,$R74,FALSE)-HLOOKUP(AN$3,$D$7:$P$336,$R74,FALSE)</f>
        <v>#N/A</v>
      </c>
      <c r="AO74" s="60" t="e">
        <f>100+HLOOKUP(AO$4,$D$7:$P$336,$R74,FALSE)-HLOOKUP(AO$3,$D$7:$P$336,$R74,FALSE)</f>
        <v>#N/A</v>
      </c>
      <c r="AP74" s="60" t="e">
        <f>100+HLOOKUP(AP$4,$D$7:$P$336,$R74,FALSE)-HLOOKUP(AP$3,$D$7:$P$336,$R74,FALSE)</f>
        <v>#N/A</v>
      </c>
      <c r="AQ74" s="60" t="e">
        <f>100+HLOOKUP(AQ$4,$D$7:$P$336,$R74,FALSE)-HLOOKUP(AQ$3,$D$7:$P$336,$R74,FALSE)</f>
        <v>#N/A</v>
      </c>
      <c r="AV74" s="60">
        <f ca="1">AV$5-S74</f>
        <v>3.1903994267964322</v>
      </c>
      <c r="AW74" s="60">
        <f ca="1">AW$5-T74</f>
        <v>-5.7793494702422521</v>
      </c>
      <c r="AX74" s="60">
        <f ca="1">AX$5-U74</f>
        <v>1.7759154036680513</v>
      </c>
      <c r="AY74" s="60">
        <f ca="1">AY$5-V74</f>
        <v>-6.3969855984721988</v>
      </c>
      <c r="AZ74" s="60">
        <f ca="1">AZ$5-W74</f>
        <v>-2.5455178274039696</v>
      </c>
      <c r="BA74" s="60">
        <f ca="1">BA$5-X74</f>
        <v>-1.5349409410172967</v>
      </c>
      <c r="BB74" s="60">
        <f ca="1">BB$5-Y74</f>
        <v>-6.6494072726188733</v>
      </c>
      <c r="BC74" s="60">
        <f ca="1">BC$5-Z74</f>
        <v>7.4374659098821638</v>
      </c>
      <c r="BD74" s="60">
        <f ca="1">BD$5-AA74</f>
        <v>-2.063481335617638</v>
      </c>
      <c r="BE74" s="60">
        <f ca="1">BE$5-AB74</f>
        <v>-8.170609408007806</v>
      </c>
      <c r="BF74" s="60">
        <f ca="1">BF$5-AC74</f>
        <v>1.0173043164770803</v>
      </c>
      <c r="BG74" s="60">
        <f ca="1">BG$5-AD74</f>
        <v>3.9852587050185093</v>
      </c>
      <c r="BH74" s="60">
        <f ca="1">BH$5-AE74</f>
        <v>-1.0454077696324333</v>
      </c>
      <c r="BI74" s="60">
        <f ca="1">BI$5-AF74</f>
        <v>-9.3914944887451952</v>
      </c>
      <c r="BJ74" s="60">
        <f ca="1">BJ$5-AG74</f>
        <v>-8.56044894232123</v>
      </c>
      <c r="BK74" s="60" t="e">
        <f>BK$5-AH74</f>
        <v>#N/A</v>
      </c>
      <c r="BL74" s="60" t="e">
        <f>BL$5-AI74</f>
        <v>#N/A</v>
      </c>
      <c r="BM74" s="60" t="e">
        <f>BM$5-AJ74</f>
        <v>#N/A</v>
      </c>
      <c r="BN74" s="60" t="e">
        <f>BN$5-AK74</f>
        <v>#N/A</v>
      </c>
      <c r="BO74" s="60" t="e">
        <f>BO$5-AL74</f>
        <v>#N/A</v>
      </c>
      <c r="BP74" s="60" t="e">
        <f>BP$5-AM74</f>
        <v>#N/A</v>
      </c>
      <c r="BQ74" s="60" t="e">
        <f>BQ$5-AN74</f>
        <v>#N/A</v>
      </c>
      <c r="BR74" s="60" t="e">
        <f>BR$5-AO74</f>
        <v>#N/A</v>
      </c>
      <c r="BS74" s="60" t="e">
        <f>BS$5-AP74</f>
        <v>#N/A</v>
      </c>
      <c r="BT74" s="60" t="e">
        <f>BT$5-AQ74</f>
        <v>#N/A</v>
      </c>
      <c r="BV74" s="60" cm="1">
        <f t="array" aca="1" ref="BV74" ca="1">SQRT(SUMSQ(_xlfn._xlws.FILTER(AV74:BT74,ISNUMBER(AV74:BT74)))/COUNT(_xlfn._xlws.FILTER(AV74:BT74,ISNUMBER(AV74:BT74))))</f>
        <v>5.456063236312068</v>
      </c>
    </row>
    <row r="75" spans="3:74" x14ac:dyDescent="0.2">
      <c r="C75" s="60" t="s">
        <v>310</v>
      </c>
      <c r="D75" s="60">
        <v>0</v>
      </c>
      <c r="E75" s="60">
        <v>0</v>
      </c>
      <c r="F75" s="60">
        <v>0</v>
      </c>
      <c r="G75" s="60">
        <v>0</v>
      </c>
      <c r="H75" s="60">
        <v>0</v>
      </c>
      <c r="I75" s="60">
        <v>0</v>
      </c>
      <c r="J75" s="60">
        <v>0</v>
      </c>
      <c r="K75" s="60">
        <v>0</v>
      </c>
      <c r="L75" s="60">
        <v>0</v>
      </c>
      <c r="M75" s="60">
        <v>0</v>
      </c>
      <c r="N75" s="60">
        <v>0</v>
      </c>
      <c r="O75" s="60">
        <v>0</v>
      </c>
      <c r="P75" s="60">
        <v>0</v>
      </c>
      <c r="R75" s="61">
        <f>(ROW(R75)-ROW($C$6))</f>
        <v>69</v>
      </c>
      <c r="S75" s="60">
        <f ca="1">100+HLOOKUP(S$4,$D$7:$P$336,$R75,FALSE)-HLOOKUP(S$3,$D$7:$P$336,$R75,FALSE)</f>
        <v>100</v>
      </c>
      <c r="T75" s="60">
        <f ca="1">100+HLOOKUP(T$4,$D$7:$P$336,$R75,FALSE)-HLOOKUP(T$3,$D$7:$P$336,$R75,FALSE)</f>
        <v>100</v>
      </c>
      <c r="U75" s="60">
        <f ca="1">100+HLOOKUP(U$4,$D$7:$P$336,$R75,FALSE)-HLOOKUP(U$3,$D$7:$P$336,$R75,FALSE)</f>
        <v>100</v>
      </c>
      <c r="V75" s="60">
        <f ca="1">100+HLOOKUP(V$4,$D$7:$P$336,$R75,FALSE)-HLOOKUP(V$3,$D$7:$P$336,$R75,FALSE)</f>
        <v>100</v>
      </c>
      <c r="W75" s="60">
        <f ca="1">100+HLOOKUP(W$4,$D$7:$P$336,$R75,FALSE)-HLOOKUP(W$3,$D$7:$P$336,$R75,FALSE)</f>
        <v>100</v>
      </c>
      <c r="X75" s="60">
        <f ca="1">100+HLOOKUP(X$4,$D$7:$P$336,$R75,FALSE)-HLOOKUP(X$3,$D$7:$P$336,$R75,FALSE)</f>
        <v>100</v>
      </c>
      <c r="Y75" s="60">
        <f ca="1">100+HLOOKUP(Y$4,$D$7:$P$336,$R75,FALSE)-HLOOKUP(Y$3,$D$7:$P$336,$R75,FALSE)</f>
        <v>100</v>
      </c>
      <c r="Z75" s="60">
        <f ca="1">100+HLOOKUP(Z$4,$D$7:$P$336,$R75,FALSE)-HLOOKUP(Z$3,$D$7:$P$336,$R75,FALSE)</f>
        <v>100</v>
      </c>
      <c r="AA75" s="60">
        <f ca="1">100+HLOOKUP(AA$4,$D$7:$P$336,$R75,FALSE)-HLOOKUP(AA$3,$D$7:$P$336,$R75,FALSE)</f>
        <v>100</v>
      </c>
      <c r="AB75" s="60">
        <f ca="1">100+HLOOKUP(AB$4,$D$7:$P$336,$R75,FALSE)-HLOOKUP(AB$3,$D$7:$P$336,$R75,FALSE)</f>
        <v>100</v>
      </c>
      <c r="AC75" s="60">
        <f ca="1">100+HLOOKUP(AC$4,$D$7:$P$336,$R75,FALSE)-HLOOKUP(AC$3,$D$7:$P$336,$R75,FALSE)</f>
        <v>100</v>
      </c>
      <c r="AD75" s="60">
        <f ca="1">100+HLOOKUP(AD$4,$D$7:$P$336,$R75,FALSE)-HLOOKUP(AD$3,$D$7:$P$336,$R75,FALSE)</f>
        <v>100</v>
      </c>
      <c r="AE75" s="60">
        <f ca="1">100+HLOOKUP(AE$4,$D$7:$P$336,$R75,FALSE)-HLOOKUP(AE$3,$D$7:$P$336,$R75,FALSE)</f>
        <v>100</v>
      </c>
      <c r="AF75" s="60">
        <f ca="1">100+HLOOKUP(AF$4,$D$7:$P$336,$R75,FALSE)-HLOOKUP(AF$3,$D$7:$P$336,$R75,FALSE)</f>
        <v>100</v>
      </c>
      <c r="AG75" s="60">
        <f ca="1">100+HLOOKUP(AG$4,$D$7:$P$336,$R75,FALSE)-HLOOKUP(AG$3,$D$7:$P$336,$R75,FALSE)</f>
        <v>100</v>
      </c>
      <c r="AH75" s="60" t="e">
        <f>100+HLOOKUP(AH$4,$D$7:$P$336,$R75,FALSE)-HLOOKUP(AH$3,$D$7:$P$336,$R75,FALSE)</f>
        <v>#N/A</v>
      </c>
      <c r="AI75" s="60" t="e">
        <f>100+HLOOKUP(AI$4,$D$7:$P$336,$R75,FALSE)-HLOOKUP(AI$3,$D$7:$P$336,$R75,FALSE)</f>
        <v>#N/A</v>
      </c>
      <c r="AJ75" s="60" t="e">
        <f>100+HLOOKUP(AJ$4,$D$7:$P$336,$R75,FALSE)-HLOOKUP(AJ$3,$D$7:$P$336,$R75,FALSE)</f>
        <v>#N/A</v>
      </c>
      <c r="AK75" s="60" t="e">
        <f>100+HLOOKUP(AK$4,$D$7:$P$336,$R75,FALSE)-HLOOKUP(AK$3,$D$7:$P$336,$R75,FALSE)</f>
        <v>#N/A</v>
      </c>
      <c r="AL75" s="60" t="e">
        <f>100+HLOOKUP(AL$4,$D$7:$P$336,$R75,FALSE)-HLOOKUP(AL$3,$D$7:$P$336,$R75,FALSE)</f>
        <v>#N/A</v>
      </c>
      <c r="AM75" s="60" t="e">
        <f>100+HLOOKUP(AM$4,$D$7:$P$336,$R75,FALSE)-HLOOKUP(AM$3,$D$7:$P$336,$R75,FALSE)</f>
        <v>#N/A</v>
      </c>
      <c r="AN75" s="60" t="e">
        <f>100+HLOOKUP(AN$4,$D$7:$P$336,$R75,FALSE)-HLOOKUP(AN$3,$D$7:$P$336,$R75,FALSE)</f>
        <v>#N/A</v>
      </c>
      <c r="AO75" s="60" t="e">
        <f>100+HLOOKUP(AO$4,$D$7:$P$336,$R75,FALSE)-HLOOKUP(AO$3,$D$7:$P$336,$R75,FALSE)</f>
        <v>#N/A</v>
      </c>
      <c r="AP75" s="60" t="e">
        <f>100+HLOOKUP(AP$4,$D$7:$P$336,$R75,FALSE)-HLOOKUP(AP$3,$D$7:$P$336,$R75,FALSE)</f>
        <v>#N/A</v>
      </c>
      <c r="AQ75" s="60" t="e">
        <f>100+HLOOKUP(AQ$4,$D$7:$P$336,$R75,FALSE)-HLOOKUP(AQ$3,$D$7:$P$336,$R75,FALSE)</f>
        <v>#N/A</v>
      </c>
      <c r="AV75" s="60">
        <f ca="1">AV$5-S75</f>
        <v>3.1903994267964322</v>
      </c>
      <c r="AW75" s="60">
        <f ca="1">AW$5-T75</f>
        <v>-5.7793494702422521</v>
      </c>
      <c r="AX75" s="60">
        <f ca="1">AX$5-U75</f>
        <v>1.7759154036680513</v>
      </c>
      <c r="AY75" s="60">
        <f ca="1">AY$5-V75</f>
        <v>-6.3969855984721988</v>
      </c>
      <c r="AZ75" s="60">
        <f ca="1">AZ$5-W75</f>
        <v>-2.5455178274039696</v>
      </c>
      <c r="BA75" s="60">
        <f ca="1">BA$5-X75</f>
        <v>-1.5349409410172967</v>
      </c>
      <c r="BB75" s="60">
        <f ca="1">BB$5-Y75</f>
        <v>-6.6494072726188733</v>
      </c>
      <c r="BC75" s="60">
        <f ca="1">BC$5-Z75</f>
        <v>7.4374659098821638</v>
      </c>
      <c r="BD75" s="60">
        <f ca="1">BD$5-AA75</f>
        <v>-2.063481335617638</v>
      </c>
      <c r="BE75" s="60">
        <f ca="1">BE$5-AB75</f>
        <v>-8.170609408007806</v>
      </c>
      <c r="BF75" s="60">
        <f ca="1">BF$5-AC75</f>
        <v>1.0173043164770803</v>
      </c>
      <c r="BG75" s="60">
        <f ca="1">BG$5-AD75</f>
        <v>3.9852587050185093</v>
      </c>
      <c r="BH75" s="60">
        <f ca="1">BH$5-AE75</f>
        <v>-1.0454077696324333</v>
      </c>
      <c r="BI75" s="60">
        <f ca="1">BI$5-AF75</f>
        <v>-9.3914944887451952</v>
      </c>
      <c r="BJ75" s="60">
        <f ca="1">BJ$5-AG75</f>
        <v>-8.56044894232123</v>
      </c>
      <c r="BK75" s="60" t="e">
        <f>BK$5-AH75</f>
        <v>#N/A</v>
      </c>
      <c r="BL75" s="60" t="e">
        <f>BL$5-AI75</f>
        <v>#N/A</v>
      </c>
      <c r="BM75" s="60" t="e">
        <f>BM$5-AJ75</f>
        <v>#N/A</v>
      </c>
      <c r="BN75" s="60" t="e">
        <f>BN$5-AK75</f>
        <v>#N/A</v>
      </c>
      <c r="BO75" s="60" t="e">
        <f>BO$5-AL75</f>
        <v>#N/A</v>
      </c>
      <c r="BP75" s="60" t="e">
        <f>BP$5-AM75</f>
        <v>#N/A</v>
      </c>
      <c r="BQ75" s="60" t="e">
        <f>BQ$5-AN75</f>
        <v>#N/A</v>
      </c>
      <c r="BR75" s="60" t="e">
        <f>BR$5-AO75</f>
        <v>#N/A</v>
      </c>
      <c r="BS75" s="60" t="e">
        <f>BS$5-AP75</f>
        <v>#N/A</v>
      </c>
      <c r="BT75" s="60" t="e">
        <f>BT$5-AQ75</f>
        <v>#N/A</v>
      </c>
      <c r="BV75" s="60" cm="1">
        <f t="array" aca="1" ref="BV75" ca="1">SQRT(SUMSQ(_xlfn._xlws.FILTER(AV75:BT75,ISNUMBER(AV75:BT75)))/COUNT(_xlfn._xlws.FILTER(AV75:BT75,ISNUMBER(AV75:BT75))))</f>
        <v>5.456063236312068</v>
      </c>
    </row>
    <row r="76" spans="3:74" x14ac:dyDescent="0.2">
      <c r="C76" s="60" t="s">
        <v>411</v>
      </c>
      <c r="D76" s="60">
        <v>0</v>
      </c>
      <c r="E76" s="60">
        <v>0</v>
      </c>
      <c r="F76" s="60">
        <v>0</v>
      </c>
      <c r="G76" s="60">
        <v>0</v>
      </c>
      <c r="H76" s="60">
        <v>0</v>
      </c>
      <c r="I76" s="60">
        <v>0</v>
      </c>
      <c r="J76" s="60">
        <v>0</v>
      </c>
      <c r="K76" s="60">
        <v>0</v>
      </c>
      <c r="L76" s="60">
        <v>0</v>
      </c>
      <c r="M76" s="60">
        <v>0</v>
      </c>
      <c r="N76" s="60">
        <v>0</v>
      </c>
      <c r="O76" s="60">
        <v>0</v>
      </c>
      <c r="P76" s="60">
        <v>0</v>
      </c>
      <c r="R76" s="61">
        <f>(ROW(R76)-ROW($C$6))</f>
        <v>70</v>
      </c>
      <c r="S76" s="60">
        <f ca="1">100+HLOOKUP(S$4,$D$7:$P$336,$R76,FALSE)-HLOOKUP(S$3,$D$7:$P$336,$R76,FALSE)</f>
        <v>100</v>
      </c>
      <c r="T76" s="60">
        <f ca="1">100+HLOOKUP(T$4,$D$7:$P$336,$R76,FALSE)-HLOOKUP(T$3,$D$7:$P$336,$R76,FALSE)</f>
        <v>100</v>
      </c>
      <c r="U76" s="60">
        <f ca="1">100+HLOOKUP(U$4,$D$7:$P$336,$R76,FALSE)-HLOOKUP(U$3,$D$7:$P$336,$R76,FALSE)</f>
        <v>100</v>
      </c>
      <c r="V76" s="60">
        <f ca="1">100+HLOOKUP(V$4,$D$7:$P$336,$R76,FALSE)-HLOOKUP(V$3,$D$7:$P$336,$R76,FALSE)</f>
        <v>100</v>
      </c>
      <c r="W76" s="60">
        <f ca="1">100+HLOOKUP(W$4,$D$7:$P$336,$R76,FALSE)-HLOOKUP(W$3,$D$7:$P$336,$R76,FALSE)</f>
        <v>100</v>
      </c>
      <c r="X76" s="60">
        <f ca="1">100+HLOOKUP(X$4,$D$7:$P$336,$R76,FALSE)-HLOOKUP(X$3,$D$7:$P$336,$R76,FALSE)</f>
        <v>100</v>
      </c>
      <c r="Y76" s="60">
        <f ca="1">100+HLOOKUP(Y$4,$D$7:$P$336,$R76,FALSE)-HLOOKUP(Y$3,$D$7:$P$336,$R76,FALSE)</f>
        <v>100</v>
      </c>
      <c r="Z76" s="60">
        <f ca="1">100+HLOOKUP(Z$4,$D$7:$P$336,$R76,FALSE)-HLOOKUP(Z$3,$D$7:$P$336,$R76,FALSE)</f>
        <v>100</v>
      </c>
      <c r="AA76" s="60">
        <f ca="1">100+HLOOKUP(AA$4,$D$7:$P$336,$R76,FALSE)-HLOOKUP(AA$3,$D$7:$P$336,$R76,FALSE)</f>
        <v>100</v>
      </c>
      <c r="AB76" s="60">
        <f ca="1">100+HLOOKUP(AB$4,$D$7:$P$336,$R76,FALSE)-HLOOKUP(AB$3,$D$7:$P$336,$R76,FALSE)</f>
        <v>100</v>
      </c>
      <c r="AC76" s="60">
        <f ca="1">100+HLOOKUP(AC$4,$D$7:$P$336,$R76,FALSE)-HLOOKUP(AC$3,$D$7:$P$336,$R76,FALSE)</f>
        <v>100</v>
      </c>
      <c r="AD76" s="60">
        <f ca="1">100+HLOOKUP(AD$4,$D$7:$P$336,$R76,FALSE)-HLOOKUP(AD$3,$D$7:$P$336,$R76,FALSE)</f>
        <v>100</v>
      </c>
      <c r="AE76" s="60">
        <f ca="1">100+HLOOKUP(AE$4,$D$7:$P$336,$R76,FALSE)-HLOOKUP(AE$3,$D$7:$P$336,$R76,FALSE)</f>
        <v>100</v>
      </c>
      <c r="AF76" s="60">
        <f ca="1">100+HLOOKUP(AF$4,$D$7:$P$336,$R76,FALSE)-HLOOKUP(AF$3,$D$7:$P$336,$R76,FALSE)</f>
        <v>100</v>
      </c>
      <c r="AG76" s="60">
        <f ca="1">100+HLOOKUP(AG$4,$D$7:$P$336,$R76,FALSE)-HLOOKUP(AG$3,$D$7:$P$336,$R76,FALSE)</f>
        <v>100</v>
      </c>
      <c r="AH76" s="60" t="e">
        <f>100+HLOOKUP(AH$4,$D$7:$P$336,$R76,FALSE)-HLOOKUP(AH$3,$D$7:$P$336,$R76,FALSE)</f>
        <v>#N/A</v>
      </c>
      <c r="AI76" s="60" t="e">
        <f>100+HLOOKUP(AI$4,$D$7:$P$336,$R76,FALSE)-HLOOKUP(AI$3,$D$7:$P$336,$R76,FALSE)</f>
        <v>#N/A</v>
      </c>
      <c r="AJ76" s="60" t="e">
        <f>100+HLOOKUP(AJ$4,$D$7:$P$336,$R76,FALSE)-HLOOKUP(AJ$3,$D$7:$P$336,$R76,FALSE)</f>
        <v>#N/A</v>
      </c>
      <c r="AK76" s="60" t="e">
        <f>100+HLOOKUP(AK$4,$D$7:$P$336,$R76,FALSE)-HLOOKUP(AK$3,$D$7:$P$336,$R76,FALSE)</f>
        <v>#N/A</v>
      </c>
      <c r="AL76" s="60" t="e">
        <f>100+HLOOKUP(AL$4,$D$7:$P$336,$R76,FALSE)-HLOOKUP(AL$3,$D$7:$P$336,$R76,FALSE)</f>
        <v>#N/A</v>
      </c>
      <c r="AM76" s="60" t="e">
        <f>100+HLOOKUP(AM$4,$D$7:$P$336,$R76,FALSE)-HLOOKUP(AM$3,$D$7:$P$336,$R76,FALSE)</f>
        <v>#N/A</v>
      </c>
      <c r="AN76" s="60" t="e">
        <f>100+HLOOKUP(AN$4,$D$7:$P$336,$R76,FALSE)-HLOOKUP(AN$3,$D$7:$P$336,$R76,FALSE)</f>
        <v>#N/A</v>
      </c>
      <c r="AO76" s="60" t="e">
        <f>100+HLOOKUP(AO$4,$D$7:$P$336,$R76,FALSE)-HLOOKUP(AO$3,$D$7:$P$336,$R76,FALSE)</f>
        <v>#N/A</v>
      </c>
      <c r="AP76" s="60" t="e">
        <f>100+HLOOKUP(AP$4,$D$7:$P$336,$R76,FALSE)-HLOOKUP(AP$3,$D$7:$P$336,$R76,FALSE)</f>
        <v>#N/A</v>
      </c>
      <c r="AQ76" s="60" t="e">
        <f>100+HLOOKUP(AQ$4,$D$7:$P$336,$R76,FALSE)-HLOOKUP(AQ$3,$D$7:$P$336,$R76,FALSE)</f>
        <v>#N/A</v>
      </c>
      <c r="AV76" s="60">
        <f ca="1">AV$5-S76</f>
        <v>3.1903994267964322</v>
      </c>
      <c r="AW76" s="60">
        <f ca="1">AW$5-T76</f>
        <v>-5.7793494702422521</v>
      </c>
      <c r="AX76" s="60">
        <f ca="1">AX$5-U76</f>
        <v>1.7759154036680513</v>
      </c>
      <c r="AY76" s="60">
        <f ca="1">AY$5-V76</f>
        <v>-6.3969855984721988</v>
      </c>
      <c r="AZ76" s="60">
        <f ca="1">AZ$5-W76</f>
        <v>-2.5455178274039696</v>
      </c>
      <c r="BA76" s="60">
        <f ca="1">BA$5-X76</f>
        <v>-1.5349409410172967</v>
      </c>
      <c r="BB76" s="60">
        <f ca="1">BB$5-Y76</f>
        <v>-6.6494072726188733</v>
      </c>
      <c r="BC76" s="60">
        <f ca="1">BC$5-Z76</f>
        <v>7.4374659098821638</v>
      </c>
      <c r="BD76" s="60">
        <f ca="1">BD$5-AA76</f>
        <v>-2.063481335617638</v>
      </c>
      <c r="BE76" s="60">
        <f ca="1">BE$5-AB76</f>
        <v>-8.170609408007806</v>
      </c>
      <c r="BF76" s="60">
        <f ca="1">BF$5-AC76</f>
        <v>1.0173043164770803</v>
      </c>
      <c r="BG76" s="60">
        <f ca="1">BG$5-AD76</f>
        <v>3.9852587050185093</v>
      </c>
      <c r="BH76" s="60">
        <f ca="1">BH$5-AE76</f>
        <v>-1.0454077696324333</v>
      </c>
      <c r="BI76" s="60">
        <f ca="1">BI$5-AF76</f>
        <v>-9.3914944887451952</v>
      </c>
      <c r="BJ76" s="60">
        <f ca="1">BJ$5-AG76</f>
        <v>-8.56044894232123</v>
      </c>
      <c r="BK76" s="60" t="e">
        <f>BK$5-AH76</f>
        <v>#N/A</v>
      </c>
      <c r="BL76" s="60" t="e">
        <f>BL$5-AI76</f>
        <v>#N/A</v>
      </c>
      <c r="BM76" s="60" t="e">
        <f>BM$5-AJ76</f>
        <v>#N/A</v>
      </c>
      <c r="BN76" s="60" t="e">
        <f>BN$5-AK76</f>
        <v>#N/A</v>
      </c>
      <c r="BO76" s="60" t="e">
        <f>BO$5-AL76</f>
        <v>#N/A</v>
      </c>
      <c r="BP76" s="60" t="e">
        <f>BP$5-AM76</f>
        <v>#N/A</v>
      </c>
      <c r="BQ76" s="60" t="e">
        <f>BQ$5-AN76</f>
        <v>#N/A</v>
      </c>
      <c r="BR76" s="60" t="e">
        <f>BR$5-AO76</f>
        <v>#N/A</v>
      </c>
      <c r="BS76" s="60" t="e">
        <f>BS$5-AP76</f>
        <v>#N/A</v>
      </c>
      <c r="BT76" s="60" t="e">
        <f>BT$5-AQ76</f>
        <v>#N/A</v>
      </c>
      <c r="BV76" s="60" cm="1">
        <f t="array" aca="1" ref="BV76" ca="1">SQRT(SUMSQ(_xlfn._xlws.FILTER(AV76:BT76,ISNUMBER(AV76:BT76)))/COUNT(_xlfn._xlws.FILTER(AV76:BT76,ISNUMBER(AV76:BT76))))</f>
        <v>5.456063236312068</v>
      </c>
    </row>
    <row r="77" spans="3:74" x14ac:dyDescent="0.2">
      <c r="C77" s="60" t="s">
        <v>417</v>
      </c>
      <c r="D77" s="60">
        <v>0</v>
      </c>
      <c r="E77" s="60">
        <v>0</v>
      </c>
      <c r="F77" s="60">
        <v>0</v>
      </c>
      <c r="G77" s="60">
        <v>0</v>
      </c>
      <c r="H77" s="60">
        <v>0</v>
      </c>
      <c r="I77" s="60">
        <v>0</v>
      </c>
      <c r="J77" s="60">
        <v>0</v>
      </c>
      <c r="K77" s="60">
        <v>0</v>
      </c>
      <c r="L77" s="60">
        <v>0</v>
      </c>
      <c r="M77" s="60">
        <v>0</v>
      </c>
      <c r="N77" s="60">
        <v>0</v>
      </c>
      <c r="O77" s="60">
        <v>0</v>
      </c>
      <c r="P77" s="60">
        <v>0</v>
      </c>
      <c r="R77" s="61">
        <f>(ROW(R77)-ROW($C$6))</f>
        <v>71</v>
      </c>
      <c r="S77" s="60">
        <f ca="1">100+HLOOKUP(S$4,$D$7:$P$336,$R77,FALSE)-HLOOKUP(S$3,$D$7:$P$336,$R77,FALSE)</f>
        <v>100</v>
      </c>
      <c r="T77" s="60">
        <f ca="1">100+HLOOKUP(T$4,$D$7:$P$336,$R77,FALSE)-HLOOKUP(T$3,$D$7:$P$336,$R77,FALSE)</f>
        <v>100</v>
      </c>
      <c r="U77" s="60">
        <f ca="1">100+HLOOKUP(U$4,$D$7:$P$336,$R77,FALSE)-HLOOKUP(U$3,$D$7:$P$336,$R77,FALSE)</f>
        <v>100</v>
      </c>
      <c r="V77" s="60">
        <f ca="1">100+HLOOKUP(V$4,$D$7:$P$336,$R77,FALSE)-HLOOKUP(V$3,$D$7:$P$336,$R77,FALSE)</f>
        <v>100</v>
      </c>
      <c r="W77" s="60">
        <f ca="1">100+HLOOKUP(W$4,$D$7:$P$336,$R77,FALSE)-HLOOKUP(W$3,$D$7:$P$336,$R77,FALSE)</f>
        <v>100</v>
      </c>
      <c r="X77" s="60">
        <f ca="1">100+HLOOKUP(X$4,$D$7:$P$336,$R77,FALSE)-HLOOKUP(X$3,$D$7:$P$336,$R77,FALSE)</f>
        <v>100</v>
      </c>
      <c r="Y77" s="60">
        <f ca="1">100+HLOOKUP(Y$4,$D$7:$P$336,$R77,FALSE)-HLOOKUP(Y$3,$D$7:$P$336,$R77,FALSE)</f>
        <v>100</v>
      </c>
      <c r="Z77" s="60">
        <f ca="1">100+HLOOKUP(Z$4,$D$7:$P$336,$R77,FALSE)-HLOOKUP(Z$3,$D$7:$P$336,$R77,FALSE)</f>
        <v>100</v>
      </c>
      <c r="AA77" s="60">
        <f ca="1">100+HLOOKUP(AA$4,$D$7:$P$336,$R77,FALSE)-HLOOKUP(AA$3,$D$7:$P$336,$R77,FALSE)</f>
        <v>100</v>
      </c>
      <c r="AB77" s="60">
        <f ca="1">100+HLOOKUP(AB$4,$D$7:$P$336,$R77,FALSE)-HLOOKUP(AB$3,$D$7:$P$336,$R77,FALSE)</f>
        <v>100</v>
      </c>
      <c r="AC77" s="60">
        <f ca="1">100+HLOOKUP(AC$4,$D$7:$P$336,$R77,FALSE)-HLOOKUP(AC$3,$D$7:$P$336,$R77,FALSE)</f>
        <v>100</v>
      </c>
      <c r="AD77" s="60">
        <f ca="1">100+HLOOKUP(AD$4,$D$7:$P$336,$R77,FALSE)-HLOOKUP(AD$3,$D$7:$P$336,$R77,FALSE)</f>
        <v>100</v>
      </c>
      <c r="AE77" s="60">
        <f ca="1">100+HLOOKUP(AE$4,$D$7:$P$336,$R77,FALSE)-HLOOKUP(AE$3,$D$7:$P$336,$R77,FALSE)</f>
        <v>100</v>
      </c>
      <c r="AF77" s="60">
        <f ca="1">100+HLOOKUP(AF$4,$D$7:$P$336,$R77,FALSE)-HLOOKUP(AF$3,$D$7:$P$336,$R77,FALSE)</f>
        <v>100</v>
      </c>
      <c r="AG77" s="60">
        <f ca="1">100+HLOOKUP(AG$4,$D$7:$P$336,$R77,FALSE)-HLOOKUP(AG$3,$D$7:$P$336,$R77,FALSE)</f>
        <v>100</v>
      </c>
      <c r="AH77" s="60" t="e">
        <f>100+HLOOKUP(AH$4,$D$7:$P$336,$R77,FALSE)-HLOOKUP(AH$3,$D$7:$P$336,$R77,FALSE)</f>
        <v>#N/A</v>
      </c>
      <c r="AI77" s="60" t="e">
        <f>100+HLOOKUP(AI$4,$D$7:$P$336,$R77,FALSE)-HLOOKUP(AI$3,$D$7:$P$336,$R77,FALSE)</f>
        <v>#N/A</v>
      </c>
      <c r="AJ77" s="60" t="e">
        <f>100+HLOOKUP(AJ$4,$D$7:$P$336,$R77,FALSE)-HLOOKUP(AJ$3,$D$7:$P$336,$R77,FALSE)</f>
        <v>#N/A</v>
      </c>
      <c r="AK77" s="60" t="e">
        <f>100+HLOOKUP(AK$4,$D$7:$P$336,$R77,FALSE)-HLOOKUP(AK$3,$D$7:$P$336,$R77,FALSE)</f>
        <v>#N/A</v>
      </c>
      <c r="AL77" s="60" t="e">
        <f>100+HLOOKUP(AL$4,$D$7:$P$336,$R77,FALSE)-HLOOKUP(AL$3,$D$7:$P$336,$R77,FALSE)</f>
        <v>#N/A</v>
      </c>
      <c r="AM77" s="60" t="e">
        <f>100+HLOOKUP(AM$4,$D$7:$P$336,$R77,FALSE)-HLOOKUP(AM$3,$D$7:$P$336,$R77,FALSE)</f>
        <v>#N/A</v>
      </c>
      <c r="AN77" s="60" t="e">
        <f>100+HLOOKUP(AN$4,$D$7:$P$336,$R77,FALSE)-HLOOKUP(AN$3,$D$7:$P$336,$R77,FALSE)</f>
        <v>#N/A</v>
      </c>
      <c r="AO77" s="60" t="e">
        <f>100+HLOOKUP(AO$4,$D$7:$P$336,$R77,FALSE)-HLOOKUP(AO$3,$D$7:$P$336,$R77,FALSE)</f>
        <v>#N/A</v>
      </c>
      <c r="AP77" s="60" t="e">
        <f>100+HLOOKUP(AP$4,$D$7:$P$336,$R77,FALSE)-HLOOKUP(AP$3,$D$7:$P$336,$R77,FALSE)</f>
        <v>#N/A</v>
      </c>
      <c r="AQ77" s="60" t="e">
        <f>100+HLOOKUP(AQ$4,$D$7:$P$336,$R77,FALSE)-HLOOKUP(AQ$3,$D$7:$P$336,$R77,FALSE)</f>
        <v>#N/A</v>
      </c>
      <c r="AV77" s="60">
        <f ca="1">AV$5-S77</f>
        <v>3.1903994267964322</v>
      </c>
      <c r="AW77" s="60">
        <f ca="1">AW$5-T77</f>
        <v>-5.7793494702422521</v>
      </c>
      <c r="AX77" s="60">
        <f ca="1">AX$5-U77</f>
        <v>1.7759154036680513</v>
      </c>
      <c r="AY77" s="60">
        <f ca="1">AY$5-V77</f>
        <v>-6.3969855984721988</v>
      </c>
      <c r="AZ77" s="60">
        <f ca="1">AZ$5-W77</f>
        <v>-2.5455178274039696</v>
      </c>
      <c r="BA77" s="60">
        <f ca="1">BA$5-X77</f>
        <v>-1.5349409410172967</v>
      </c>
      <c r="BB77" s="60">
        <f ca="1">BB$5-Y77</f>
        <v>-6.6494072726188733</v>
      </c>
      <c r="BC77" s="60">
        <f ca="1">BC$5-Z77</f>
        <v>7.4374659098821638</v>
      </c>
      <c r="BD77" s="60">
        <f ca="1">BD$5-AA77</f>
        <v>-2.063481335617638</v>
      </c>
      <c r="BE77" s="60">
        <f ca="1">BE$5-AB77</f>
        <v>-8.170609408007806</v>
      </c>
      <c r="BF77" s="60">
        <f ca="1">BF$5-AC77</f>
        <v>1.0173043164770803</v>
      </c>
      <c r="BG77" s="60">
        <f ca="1">BG$5-AD77</f>
        <v>3.9852587050185093</v>
      </c>
      <c r="BH77" s="60">
        <f ca="1">BH$5-AE77</f>
        <v>-1.0454077696324333</v>
      </c>
      <c r="BI77" s="60">
        <f ca="1">BI$5-AF77</f>
        <v>-9.3914944887451952</v>
      </c>
      <c r="BJ77" s="60">
        <f ca="1">BJ$5-AG77</f>
        <v>-8.56044894232123</v>
      </c>
      <c r="BK77" s="60" t="e">
        <f>BK$5-AH77</f>
        <v>#N/A</v>
      </c>
      <c r="BL77" s="60" t="e">
        <f>BL$5-AI77</f>
        <v>#N/A</v>
      </c>
      <c r="BM77" s="60" t="e">
        <f>BM$5-AJ77</f>
        <v>#N/A</v>
      </c>
      <c r="BN77" s="60" t="e">
        <f>BN$5-AK77</f>
        <v>#N/A</v>
      </c>
      <c r="BO77" s="60" t="e">
        <f>BO$5-AL77</f>
        <v>#N/A</v>
      </c>
      <c r="BP77" s="60" t="e">
        <f>BP$5-AM77</f>
        <v>#N/A</v>
      </c>
      <c r="BQ77" s="60" t="e">
        <f>BQ$5-AN77</f>
        <v>#N/A</v>
      </c>
      <c r="BR77" s="60" t="e">
        <f>BR$5-AO77</f>
        <v>#N/A</v>
      </c>
      <c r="BS77" s="60" t="e">
        <f>BS$5-AP77</f>
        <v>#N/A</v>
      </c>
      <c r="BT77" s="60" t="e">
        <f>BT$5-AQ77</f>
        <v>#N/A</v>
      </c>
      <c r="BV77" s="60" cm="1">
        <f t="array" aca="1" ref="BV77" ca="1">SQRT(SUMSQ(_xlfn._xlws.FILTER(AV77:BT77,ISNUMBER(AV77:BT77)))/COUNT(_xlfn._xlws.FILTER(AV77:BT77,ISNUMBER(AV77:BT77))))</f>
        <v>5.456063236312068</v>
      </c>
    </row>
    <row r="78" spans="3:74" x14ac:dyDescent="0.2">
      <c r="C78" s="60" t="s">
        <v>204</v>
      </c>
      <c r="D78" s="60">
        <v>0</v>
      </c>
      <c r="E78" s="60">
        <v>1</v>
      </c>
      <c r="F78" s="60">
        <v>3</v>
      </c>
      <c r="G78" s="60">
        <v>-2</v>
      </c>
      <c r="H78" s="60">
        <v>-7</v>
      </c>
      <c r="I78" s="60">
        <v>-6</v>
      </c>
      <c r="J78" s="60">
        <v>-4</v>
      </c>
      <c r="K78" s="60">
        <v>-3</v>
      </c>
      <c r="L78" s="60">
        <v>-2</v>
      </c>
      <c r="M78" s="60">
        <v>-2</v>
      </c>
      <c r="N78" s="60">
        <v>-1</v>
      </c>
      <c r="O78" s="60">
        <v>-1</v>
      </c>
      <c r="P78" s="60">
        <v>0</v>
      </c>
      <c r="R78" s="61">
        <f>(ROW(R78)-ROW($C$6))</f>
        <v>72</v>
      </c>
      <c r="S78" s="60">
        <f ca="1">100+HLOOKUP(S$4,$D$7:$P$336,$R78,FALSE)-HLOOKUP(S$3,$D$7:$P$336,$R78,FALSE)</f>
        <v>95</v>
      </c>
      <c r="T78" s="60">
        <f ca="1">100+HLOOKUP(T$4,$D$7:$P$336,$R78,FALSE)-HLOOKUP(T$3,$D$7:$P$336,$R78,FALSE)</f>
        <v>97</v>
      </c>
      <c r="U78" s="60">
        <f ca="1">100+HLOOKUP(U$4,$D$7:$P$336,$R78,FALSE)-HLOOKUP(U$3,$D$7:$P$336,$R78,FALSE)</f>
        <v>97</v>
      </c>
      <c r="V78" s="60">
        <f ca="1">100+HLOOKUP(V$4,$D$7:$P$336,$R78,FALSE)-HLOOKUP(V$3,$D$7:$P$336,$R78,FALSE)</f>
        <v>95</v>
      </c>
      <c r="W78" s="60">
        <f ca="1">100+HLOOKUP(W$4,$D$7:$P$336,$R78,FALSE)-HLOOKUP(W$3,$D$7:$P$336,$R78,FALSE)</f>
        <v>97</v>
      </c>
      <c r="X78" s="60">
        <f ca="1">100+HLOOKUP(X$4,$D$7:$P$336,$R78,FALSE)-HLOOKUP(X$3,$D$7:$P$336,$R78,FALSE)</f>
        <v>95</v>
      </c>
      <c r="Y78" s="60">
        <f ca="1">100+HLOOKUP(Y$4,$D$7:$P$336,$R78,FALSE)-HLOOKUP(Y$3,$D$7:$P$336,$R78,FALSE)</f>
        <v>97</v>
      </c>
      <c r="Z78" s="60">
        <f ca="1">100+HLOOKUP(Z$4,$D$7:$P$336,$R78,FALSE)-HLOOKUP(Z$3,$D$7:$P$336,$R78,FALSE)</f>
        <v>97</v>
      </c>
      <c r="AA78" s="60">
        <f ca="1">100+HLOOKUP(AA$4,$D$7:$P$336,$R78,FALSE)-HLOOKUP(AA$3,$D$7:$P$336,$R78,FALSE)</f>
        <v>95</v>
      </c>
      <c r="AB78" s="60">
        <f ca="1">100+HLOOKUP(AB$4,$D$7:$P$336,$R78,FALSE)-HLOOKUP(AB$3,$D$7:$P$336,$R78,FALSE)</f>
        <v>97</v>
      </c>
      <c r="AC78" s="60">
        <f ca="1">100+HLOOKUP(AC$4,$D$7:$P$336,$R78,FALSE)-HLOOKUP(AC$3,$D$7:$P$336,$R78,FALSE)</f>
        <v>95</v>
      </c>
      <c r="AD78" s="60">
        <f ca="1">100+HLOOKUP(AD$4,$D$7:$P$336,$R78,FALSE)-HLOOKUP(AD$3,$D$7:$P$336,$R78,FALSE)</f>
        <v>106</v>
      </c>
      <c r="AE78" s="60">
        <f ca="1">100+HLOOKUP(AE$4,$D$7:$P$336,$R78,FALSE)-HLOOKUP(AE$3,$D$7:$P$336,$R78,FALSE)</f>
        <v>105</v>
      </c>
      <c r="AF78" s="60">
        <f ca="1">100+HLOOKUP(AF$4,$D$7:$P$336,$R78,FALSE)-HLOOKUP(AF$3,$D$7:$P$336,$R78,FALSE)</f>
        <v>100</v>
      </c>
      <c r="AG78" s="60">
        <f ca="1">100+HLOOKUP(AG$4,$D$7:$P$336,$R78,FALSE)-HLOOKUP(AG$3,$D$7:$P$336,$R78,FALSE)</f>
        <v>95</v>
      </c>
      <c r="AH78" s="60" t="e">
        <f>100+HLOOKUP(AH$4,$D$7:$P$336,$R78,FALSE)-HLOOKUP(AH$3,$D$7:$P$336,$R78,FALSE)</f>
        <v>#N/A</v>
      </c>
      <c r="AI78" s="60" t="e">
        <f>100+HLOOKUP(AI$4,$D$7:$P$336,$R78,FALSE)-HLOOKUP(AI$3,$D$7:$P$336,$R78,FALSE)</f>
        <v>#N/A</v>
      </c>
      <c r="AJ78" s="60" t="e">
        <f>100+HLOOKUP(AJ$4,$D$7:$P$336,$R78,FALSE)-HLOOKUP(AJ$3,$D$7:$P$336,$R78,FALSE)</f>
        <v>#N/A</v>
      </c>
      <c r="AK78" s="60" t="e">
        <f>100+HLOOKUP(AK$4,$D$7:$P$336,$R78,FALSE)-HLOOKUP(AK$3,$D$7:$P$336,$R78,FALSE)</f>
        <v>#N/A</v>
      </c>
      <c r="AL78" s="60" t="e">
        <f>100+HLOOKUP(AL$4,$D$7:$P$336,$R78,FALSE)-HLOOKUP(AL$3,$D$7:$P$336,$R78,FALSE)</f>
        <v>#N/A</v>
      </c>
      <c r="AM78" s="60" t="e">
        <f>100+HLOOKUP(AM$4,$D$7:$P$336,$R78,FALSE)-HLOOKUP(AM$3,$D$7:$P$336,$R78,FALSE)</f>
        <v>#N/A</v>
      </c>
      <c r="AN78" s="60" t="e">
        <f>100+HLOOKUP(AN$4,$D$7:$P$336,$R78,FALSE)-HLOOKUP(AN$3,$D$7:$P$336,$R78,FALSE)</f>
        <v>#N/A</v>
      </c>
      <c r="AO78" s="60" t="e">
        <f>100+HLOOKUP(AO$4,$D$7:$P$336,$R78,FALSE)-HLOOKUP(AO$3,$D$7:$P$336,$R78,FALSE)</f>
        <v>#N/A</v>
      </c>
      <c r="AP78" s="60" t="e">
        <f>100+HLOOKUP(AP$4,$D$7:$P$336,$R78,FALSE)-HLOOKUP(AP$3,$D$7:$P$336,$R78,FALSE)</f>
        <v>#N/A</v>
      </c>
      <c r="AQ78" s="60" t="e">
        <f>100+HLOOKUP(AQ$4,$D$7:$P$336,$R78,FALSE)-HLOOKUP(AQ$3,$D$7:$P$336,$R78,FALSE)</f>
        <v>#N/A</v>
      </c>
      <c r="AV78" s="60">
        <f ca="1">AV$5-S78</f>
        <v>8.1903994267964322</v>
      </c>
      <c r="AW78" s="60">
        <f ca="1">AW$5-T78</f>
        <v>-2.7793494702422521</v>
      </c>
      <c r="AX78" s="60">
        <f ca="1">AX$5-U78</f>
        <v>4.7759154036680513</v>
      </c>
      <c r="AY78" s="60">
        <f ca="1">AY$5-V78</f>
        <v>-1.3969855984721988</v>
      </c>
      <c r="AZ78" s="60">
        <f ca="1">AZ$5-W78</f>
        <v>0.45448217259603041</v>
      </c>
      <c r="BA78" s="60">
        <f ca="1">BA$5-X78</f>
        <v>3.4650590589827033</v>
      </c>
      <c r="BB78" s="60">
        <f ca="1">BB$5-Y78</f>
        <v>-3.6494072726188733</v>
      </c>
      <c r="BC78" s="60">
        <f ca="1">BC$5-Z78</f>
        <v>10.437465909882164</v>
      </c>
      <c r="BD78" s="60">
        <f ca="1">BD$5-AA78</f>
        <v>2.936518664382362</v>
      </c>
      <c r="BE78" s="60">
        <f ca="1">BE$5-AB78</f>
        <v>-5.170609408007806</v>
      </c>
      <c r="BF78" s="60">
        <f ca="1">BF$5-AC78</f>
        <v>6.0173043164770803</v>
      </c>
      <c r="BG78" s="60">
        <f ca="1">BG$5-AD78</f>
        <v>-2.0147412949814907</v>
      </c>
      <c r="BH78" s="60">
        <f ca="1">BH$5-AE78</f>
        <v>-6.0454077696324333</v>
      </c>
      <c r="BI78" s="60">
        <f ca="1">BI$5-AF78</f>
        <v>-9.3914944887451952</v>
      </c>
      <c r="BJ78" s="60">
        <f ca="1">BJ$5-AG78</f>
        <v>-3.56044894232123</v>
      </c>
      <c r="BK78" s="60" t="e">
        <f>BK$5-AH78</f>
        <v>#N/A</v>
      </c>
      <c r="BL78" s="60" t="e">
        <f>BL$5-AI78</f>
        <v>#N/A</v>
      </c>
      <c r="BM78" s="60" t="e">
        <f>BM$5-AJ78</f>
        <v>#N/A</v>
      </c>
      <c r="BN78" s="60" t="e">
        <f>BN$5-AK78</f>
        <v>#N/A</v>
      </c>
      <c r="BO78" s="60" t="e">
        <f>BO$5-AL78</f>
        <v>#N/A</v>
      </c>
      <c r="BP78" s="60" t="e">
        <f>BP$5-AM78</f>
        <v>#N/A</v>
      </c>
      <c r="BQ78" s="60" t="e">
        <f>BQ$5-AN78</f>
        <v>#N/A</v>
      </c>
      <c r="BR78" s="60" t="e">
        <f>BR$5-AO78</f>
        <v>#N/A</v>
      </c>
      <c r="BS78" s="60" t="e">
        <f>BS$5-AP78</f>
        <v>#N/A</v>
      </c>
      <c r="BT78" s="60" t="e">
        <f>BT$5-AQ78</f>
        <v>#N/A</v>
      </c>
      <c r="BV78" s="60" cm="1">
        <f t="array" aca="1" ref="BV78" ca="1">SQRT(SUMSQ(_xlfn._xlws.FILTER(AV78:BT78,ISNUMBER(AV78:BT78)))/COUNT(_xlfn._xlws.FILTER(AV78:BT78,ISNUMBER(AV78:BT78))))</f>
        <v>5.459486038604485</v>
      </c>
    </row>
    <row r="79" spans="3:74" x14ac:dyDescent="0.2">
      <c r="C79" s="60" t="s">
        <v>452</v>
      </c>
      <c r="D79" s="60">
        <v>0</v>
      </c>
      <c r="E79" s="60">
        <v>-2</v>
      </c>
      <c r="F79" s="60">
        <v>-4</v>
      </c>
      <c r="G79" s="60">
        <v>-6</v>
      </c>
      <c r="H79" s="60">
        <v>-6</v>
      </c>
      <c r="I79" s="60">
        <v>-8</v>
      </c>
      <c r="J79" s="60">
        <v>-10</v>
      </c>
      <c r="K79" s="60">
        <v>-8</v>
      </c>
      <c r="L79" s="60">
        <v>-6</v>
      </c>
      <c r="M79" s="60">
        <v>-4</v>
      </c>
      <c r="N79" s="60">
        <v>-2</v>
      </c>
      <c r="O79" s="60">
        <v>0</v>
      </c>
      <c r="P79" s="60">
        <v>0</v>
      </c>
      <c r="R79" s="61">
        <f>(ROW(R79)-ROW($C$6))</f>
        <v>73</v>
      </c>
      <c r="S79" s="60">
        <f ca="1">100+HLOOKUP(S$4,$D$7:$P$336,$R79,FALSE)-HLOOKUP(S$3,$D$7:$P$336,$R79,FALSE)</f>
        <v>98</v>
      </c>
      <c r="T79" s="60">
        <f ca="1">100+HLOOKUP(T$4,$D$7:$P$336,$R79,FALSE)-HLOOKUP(T$3,$D$7:$P$336,$R79,FALSE)</f>
        <v>90</v>
      </c>
      <c r="U79" s="60">
        <f ca="1">100+HLOOKUP(U$4,$D$7:$P$336,$R79,FALSE)-HLOOKUP(U$3,$D$7:$P$336,$R79,FALSE)</f>
        <v>96</v>
      </c>
      <c r="V79" s="60">
        <f ca="1">100+HLOOKUP(V$4,$D$7:$P$336,$R79,FALSE)-HLOOKUP(V$3,$D$7:$P$336,$R79,FALSE)</f>
        <v>94</v>
      </c>
      <c r="W79" s="60">
        <f ca="1">100+HLOOKUP(W$4,$D$7:$P$336,$R79,FALSE)-HLOOKUP(W$3,$D$7:$P$336,$R79,FALSE)</f>
        <v>92</v>
      </c>
      <c r="X79" s="60">
        <f ca="1">100+HLOOKUP(X$4,$D$7:$P$336,$R79,FALSE)-HLOOKUP(X$3,$D$7:$P$336,$R79,FALSE)</f>
        <v>98</v>
      </c>
      <c r="Y79" s="60">
        <f ca="1">100+HLOOKUP(Y$4,$D$7:$P$336,$R79,FALSE)-HLOOKUP(Y$3,$D$7:$P$336,$R79,FALSE)</f>
        <v>90</v>
      </c>
      <c r="Z79" s="60">
        <f ca="1">100+HLOOKUP(Z$4,$D$7:$P$336,$R79,FALSE)-HLOOKUP(Z$3,$D$7:$P$336,$R79,FALSE)</f>
        <v>96</v>
      </c>
      <c r="AA79" s="60">
        <f ca="1">100+HLOOKUP(AA$4,$D$7:$P$336,$R79,FALSE)-HLOOKUP(AA$3,$D$7:$P$336,$R79,FALSE)</f>
        <v>94</v>
      </c>
      <c r="AB79" s="60">
        <f ca="1">100+HLOOKUP(AB$4,$D$7:$P$336,$R79,FALSE)-HLOOKUP(AB$3,$D$7:$P$336,$R79,FALSE)</f>
        <v>92</v>
      </c>
      <c r="AC79" s="60">
        <f ca="1">100+HLOOKUP(AC$4,$D$7:$P$336,$R79,FALSE)-HLOOKUP(AC$3,$D$7:$P$336,$R79,FALSE)</f>
        <v>100</v>
      </c>
      <c r="AD79" s="60">
        <f ca="1">100+HLOOKUP(AD$4,$D$7:$P$336,$R79,FALSE)-HLOOKUP(AD$3,$D$7:$P$336,$R79,FALSE)</f>
        <v>106</v>
      </c>
      <c r="AE79" s="60">
        <f ca="1">100+HLOOKUP(AE$4,$D$7:$P$336,$R79,FALSE)-HLOOKUP(AE$3,$D$7:$P$336,$R79,FALSE)</f>
        <v>108</v>
      </c>
      <c r="AF79" s="60">
        <f ca="1">100+HLOOKUP(AF$4,$D$7:$P$336,$R79,FALSE)-HLOOKUP(AF$3,$D$7:$P$336,$R79,FALSE)</f>
        <v>100</v>
      </c>
      <c r="AG79" s="60">
        <f ca="1">100+HLOOKUP(AG$4,$D$7:$P$336,$R79,FALSE)-HLOOKUP(AG$3,$D$7:$P$336,$R79,FALSE)</f>
        <v>94</v>
      </c>
      <c r="AH79" s="60" t="e">
        <f>100+HLOOKUP(AH$4,$D$7:$P$336,$R79,FALSE)-HLOOKUP(AH$3,$D$7:$P$336,$R79,FALSE)</f>
        <v>#N/A</v>
      </c>
      <c r="AI79" s="60" t="e">
        <f>100+HLOOKUP(AI$4,$D$7:$P$336,$R79,FALSE)-HLOOKUP(AI$3,$D$7:$P$336,$R79,FALSE)</f>
        <v>#N/A</v>
      </c>
      <c r="AJ79" s="60" t="e">
        <f>100+HLOOKUP(AJ$4,$D$7:$P$336,$R79,FALSE)-HLOOKUP(AJ$3,$D$7:$P$336,$R79,FALSE)</f>
        <v>#N/A</v>
      </c>
      <c r="AK79" s="60" t="e">
        <f>100+HLOOKUP(AK$4,$D$7:$P$336,$R79,FALSE)-HLOOKUP(AK$3,$D$7:$P$336,$R79,FALSE)</f>
        <v>#N/A</v>
      </c>
      <c r="AL79" s="60" t="e">
        <f>100+HLOOKUP(AL$4,$D$7:$P$336,$R79,FALSE)-HLOOKUP(AL$3,$D$7:$P$336,$R79,FALSE)</f>
        <v>#N/A</v>
      </c>
      <c r="AM79" s="60" t="e">
        <f>100+HLOOKUP(AM$4,$D$7:$P$336,$R79,FALSE)-HLOOKUP(AM$3,$D$7:$P$336,$R79,FALSE)</f>
        <v>#N/A</v>
      </c>
      <c r="AN79" s="60" t="e">
        <f>100+HLOOKUP(AN$4,$D$7:$P$336,$R79,FALSE)-HLOOKUP(AN$3,$D$7:$P$336,$R79,FALSE)</f>
        <v>#N/A</v>
      </c>
      <c r="AO79" s="60" t="e">
        <f>100+HLOOKUP(AO$4,$D$7:$P$336,$R79,FALSE)-HLOOKUP(AO$3,$D$7:$P$336,$R79,FALSE)</f>
        <v>#N/A</v>
      </c>
      <c r="AP79" s="60" t="e">
        <f>100+HLOOKUP(AP$4,$D$7:$P$336,$R79,FALSE)-HLOOKUP(AP$3,$D$7:$P$336,$R79,FALSE)</f>
        <v>#N/A</v>
      </c>
      <c r="AQ79" s="60" t="e">
        <f>100+HLOOKUP(AQ$4,$D$7:$P$336,$R79,FALSE)-HLOOKUP(AQ$3,$D$7:$P$336,$R79,FALSE)</f>
        <v>#N/A</v>
      </c>
      <c r="AV79" s="60">
        <f ca="1">AV$5-S79</f>
        <v>5.1903994267964322</v>
      </c>
      <c r="AW79" s="60">
        <f ca="1">AW$5-T79</f>
        <v>4.2206505297577479</v>
      </c>
      <c r="AX79" s="60">
        <f ca="1">AX$5-U79</f>
        <v>5.7759154036680513</v>
      </c>
      <c r="AY79" s="60">
        <f ca="1">AY$5-V79</f>
        <v>-0.39698559847219883</v>
      </c>
      <c r="AZ79" s="60">
        <f ca="1">AZ$5-W79</f>
        <v>5.4544821725960304</v>
      </c>
      <c r="BA79" s="60">
        <f ca="1">BA$5-X79</f>
        <v>0.46505905898270328</v>
      </c>
      <c r="BB79" s="60">
        <f ca="1">BB$5-Y79</f>
        <v>3.3505927273811267</v>
      </c>
      <c r="BC79" s="60">
        <f ca="1">BC$5-Z79</f>
        <v>11.437465909882164</v>
      </c>
      <c r="BD79" s="60">
        <f ca="1">BD$5-AA79</f>
        <v>3.936518664382362</v>
      </c>
      <c r="BE79" s="60">
        <f ca="1">BE$5-AB79</f>
        <v>-0.170609408007806</v>
      </c>
      <c r="BF79" s="60">
        <f ca="1">BF$5-AC79</f>
        <v>1.0173043164770803</v>
      </c>
      <c r="BG79" s="60">
        <f ca="1">BG$5-AD79</f>
        <v>-2.0147412949814907</v>
      </c>
      <c r="BH79" s="60">
        <f ca="1">BH$5-AE79</f>
        <v>-9.0454077696324333</v>
      </c>
      <c r="BI79" s="60">
        <f ca="1">BI$5-AF79</f>
        <v>-9.3914944887451952</v>
      </c>
      <c r="BJ79" s="60">
        <f ca="1">BJ$5-AG79</f>
        <v>-2.56044894232123</v>
      </c>
      <c r="BK79" s="60" t="e">
        <f>BK$5-AH79</f>
        <v>#N/A</v>
      </c>
      <c r="BL79" s="60" t="e">
        <f>BL$5-AI79</f>
        <v>#N/A</v>
      </c>
      <c r="BM79" s="60" t="e">
        <f>BM$5-AJ79</f>
        <v>#N/A</v>
      </c>
      <c r="BN79" s="60" t="e">
        <f>BN$5-AK79</f>
        <v>#N/A</v>
      </c>
      <c r="BO79" s="60" t="e">
        <f>BO$5-AL79</f>
        <v>#N/A</v>
      </c>
      <c r="BP79" s="60" t="e">
        <f>BP$5-AM79</f>
        <v>#N/A</v>
      </c>
      <c r="BQ79" s="60" t="e">
        <f>BQ$5-AN79</f>
        <v>#N/A</v>
      </c>
      <c r="BR79" s="60" t="e">
        <f>BR$5-AO79</f>
        <v>#N/A</v>
      </c>
      <c r="BS79" s="60" t="e">
        <f>BS$5-AP79</f>
        <v>#N/A</v>
      </c>
      <c r="BT79" s="60" t="e">
        <f>BT$5-AQ79</f>
        <v>#N/A</v>
      </c>
      <c r="BV79" s="60" cm="1">
        <f t="array" aca="1" ref="BV79" ca="1">SQRT(SUMSQ(_xlfn._xlws.FILTER(AV79:BT79,ISNUMBER(AV79:BT79)))/COUNT(_xlfn._xlws.FILTER(AV79:BT79,ISNUMBER(AV79:BT79))))</f>
        <v>5.4618527610095402</v>
      </c>
    </row>
    <row r="80" spans="3:74" x14ac:dyDescent="0.2">
      <c r="C80" s="60" t="s">
        <v>333</v>
      </c>
      <c r="D80" s="60">
        <v>0</v>
      </c>
      <c r="E80" s="60">
        <v>0</v>
      </c>
      <c r="F80" s="60">
        <v>0</v>
      </c>
      <c r="G80" s="60">
        <v>-1</v>
      </c>
      <c r="H80" s="60">
        <v>-1</v>
      </c>
      <c r="I80" s="60">
        <v>-1</v>
      </c>
      <c r="J80" s="60">
        <v>-1</v>
      </c>
      <c r="K80" s="60">
        <v>-1</v>
      </c>
      <c r="L80" s="60">
        <v>-2</v>
      </c>
      <c r="M80" s="60">
        <v>1</v>
      </c>
      <c r="N80" s="60">
        <v>0</v>
      </c>
      <c r="O80" s="60">
        <v>0</v>
      </c>
      <c r="P80" s="60">
        <v>0</v>
      </c>
      <c r="R80" s="61">
        <f>(ROW(R80)-ROW($C$6))</f>
        <v>74</v>
      </c>
      <c r="S80" s="60">
        <f ca="1">100+HLOOKUP(S$4,$D$7:$P$336,$R80,FALSE)-HLOOKUP(S$3,$D$7:$P$336,$R80,FALSE)</f>
        <v>98</v>
      </c>
      <c r="T80" s="60">
        <f ca="1">100+HLOOKUP(T$4,$D$7:$P$336,$R80,FALSE)-HLOOKUP(T$3,$D$7:$P$336,$R80,FALSE)</f>
        <v>99</v>
      </c>
      <c r="U80" s="60">
        <f ca="1">100+HLOOKUP(U$4,$D$7:$P$336,$R80,FALSE)-HLOOKUP(U$3,$D$7:$P$336,$R80,FALSE)</f>
        <v>98</v>
      </c>
      <c r="V80" s="60">
        <f ca="1">100+HLOOKUP(V$4,$D$7:$P$336,$R80,FALSE)-HLOOKUP(V$3,$D$7:$P$336,$R80,FALSE)</f>
        <v>99</v>
      </c>
      <c r="W80" s="60">
        <f ca="1">100+HLOOKUP(W$4,$D$7:$P$336,$R80,FALSE)-HLOOKUP(W$3,$D$7:$P$336,$R80,FALSE)</f>
        <v>99</v>
      </c>
      <c r="X80" s="60">
        <f ca="1">100+HLOOKUP(X$4,$D$7:$P$336,$R80,FALSE)-HLOOKUP(X$3,$D$7:$P$336,$R80,FALSE)</f>
        <v>98</v>
      </c>
      <c r="Y80" s="60">
        <f ca="1">100+HLOOKUP(Y$4,$D$7:$P$336,$R80,FALSE)-HLOOKUP(Y$3,$D$7:$P$336,$R80,FALSE)</f>
        <v>99</v>
      </c>
      <c r="Z80" s="60">
        <f ca="1">100+HLOOKUP(Z$4,$D$7:$P$336,$R80,FALSE)-HLOOKUP(Z$3,$D$7:$P$336,$R80,FALSE)</f>
        <v>98</v>
      </c>
      <c r="AA80" s="60">
        <f ca="1">100+HLOOKUP(AA$4,$D$7:$P$336,$R80,FALSE)-HLOOKUP(AA$3,$D$7:$P$336,$R80,FALSE)</f>
        <v>99</v>
      </c>
      <c r="AB80" s="60">
        <f ca="1">100+HLOOKUP(AB$4,$D$7:$P$336,$R80,FALSE)-HLOOKUP(AB$3,$D$7:$P$336,$R80,FALSE)</f>
        <v>99</v>
      </c>
      <c r="AC80" s="60">
        <f ca="1">100+HLOOKUP(AC$4,$D$7:$P$336,$R80,FALSE)-HLOOKUP(AC$3,$D$7:$P$336,$R80,FALSE)</f>
        <v>101</v>
      </c>
      <c r="AD80" s="60">
        <f ca="1">100+HLOOKUP(AD$4,$D$7:$P$336,$R80,FALSE)-HLOOKUP(AD$3,$D$7:$P$336,$R80,FALSE)</f>
        <v>101</v>
      </c>
      <c r="AE80" s="60">
        <f ca="1">100+HLOOKUP(AE$4,$D$7:$P$336,$R80,FALSE)-HLOOKUP(AE$3,$D$7:$P$336,$R80,FALSE)</f>
        <v>101</v>
      </c>
      <c r="AF80" s="60">
        <f ca="1">100+HLOOKUP(AF$4,$D$7:$P$336,$R80,FALSE)-HLOOKUP(AF$3,$D$7:$P$336,$R80,FALSE)</f>
        <v>101</v>
      </c>
      <c r="AG80" s="60">
        <f ca="1">100+HLOOKUP(AG$4,$D$7:$P$336,$R80,FALSE)-HLOOKUP(AG$3,$D$7:$P$336,$R80,FALSE)</f>
        <v>99</v>
      </c>
      <c r="AH80" s="60" t="e">
        <f>100+HLOOKUP(AH$4,$D$7:$P$336,$R80,FALSE)-HLOOKUP(AH$3,$D$7:$P$336,$R80,FALSE)</f>
        <v>#N/A</v>
      </c>
      <c r="AI80" s="60" t="e">
        <f>100+HLOOKUP(AI$4,$D$7:$P$336,$R80,FALSE)-HLOOKUP(AI$3,$D$7:$P$336,$R80,FALSE)</f>
        <v>#N/A</v>
      </c>
      <c r="AJ80" s="60" t="e">
        <f>100+HLOOKUP(AJ$4,$D$7:$P$336,$R80,FALSE)-HLOOKUP(AJ$3,$D$7:$P$336,$R80,FALSE)</f>
        <v>#N/A</v>
      </c>
      <c r="AK80" s="60" t="e">
        <f>100+HLOOKUP(AK$4,$D$7:$P$336,$R80,FALSE)-HLOOKUP(AK$3,$D$7:$P$336,$R80,FALSE)</f>
        <v>#N/A</v>
      </c>
      <c r="AL80" s="60" t="e">
        <f>100+HLOOKUP(AL$4,$D$7:$P$336,$R80,FALSE)-HLOOKUP(AL$3,$D$7:$P$336,$R80,FALSE)</f>
        <v>#N/A</v>
      </c>
      <c r="AM80" s="60" t="e">
        <f>100+HLOOKUP(AM$4,$D$7:$P$336,$R80,FALSE)-HLOOKUP(AM$3,$D$7:$P$336,$R80,FALSE)</f>
        <v>#N/A</v>
      </c>
      <c r="AN80" s="60" t="e">
        <f>100+HLOOKUP(AN$4,$D$7:$P$336,$R80,FALSE)-HLOOKUP(AN$3,$D$7:$P$336,$R80,FALSE)</f>
        <v>#N/A</v>
      </c>
      <c r="AO80" s="60" t="e">
        <f>100+HLOOKUP(AO$4,$D$7:$P$336,$R80,FALSE)-HLOOKUP(AO$3,$D$7:$P$336,$R80,FALSE)</f>
        <v>#N/A</v>
      </c>
      <c r="AP80" s="60" t="e">
        <f>100+HLOOKUP(AP$4,$D$7:$P$336,$R80,FALSE)-HLOOKUP(AP$3,$D$7:$P$336,$R80,FALSE)</f>
        <v>#N/A</v>
      </c>
      <c r="AQ80" s="60" t="e">
        <f>100+HLOOKUP(AQ$4,$D$7:$P$336,$R80,FALSE)-HLOOKUP(AQ$3,$D$7:$P$336,$R80,FALSE)</f>
        <v>#N/A</v>
      </c>
      <c r="AV80" s="60">
        <f ca="1">AV$5-S80</f>
        <v>5.1903994267964322</v>
      </c>
      <c r="AW80" s="60">
        <f ca="1">AW$5-T80</f>
        <v>-4.7793494702422521</v>
      </c>
      <c r="AX80" s="60">
        <f ca="1">AX$5-U80</f>
        <v>3.7759154036680513</v>
      </c>
      <c r="AY80" s="60">
        <f ca="1">AY$5-V80</f>
        <v>-5.3969855984721988</v>
      </c>
      <c r="AZ80" s="60">
        <f ca="1">AZ$5-W80</f>
        <v>-1.5455178274039696</v>
      </c>
      <c r="BA80" s="60">
        <f ca="1">BA$5-X80</f>
        <v>0.46505905898270328</v>
      </c>
      <c r="BB80" s="60">
        <f ca="1">BB$5-Y80</f>
        <v>-5.6494072726188733</v>
      </c>
      <c r="BC80" s="60">
        <f ca="1">BC$5-Z80</f>
        <v>9.4374659098821638</v>
      </c>
      <c r="BD80" s="60">
        <f ca="1">BD$5-AA80</f>
        <v>-1.063481335617638</v>
      </c>
      <c r="BE80" s="60">
        <f ca="1">BE$5-AB80</f>
        <v>-7.170609408007806</v>
      </c>
      <c r="BF80" s="60">
        <f ca="1">BF$5-AC80</f>
        <v>1.7304316477080306E-2</v>
      </c>
      <c r="BG80" s="60">
        <f ca="1">BG$5-AD80</f>
        <v>2.9852587050185093</v>
      </c>
      <c r="BH80" s="60">
        <f ca="1">BH$5-AE80</f>
        <v>-2.0454077696324333</v>
      </c>
      <c r="BI80" s="60">
        <f ca="1">BI$5-AF80</f>
        <v>-10.391494488745195</v>
      </c>
      <c r="BJ80" s="60">
        <f ca="1">BJ$5-AG80</f>
        <v>-7.56044894232123</v>
      </c>
      <c r="BK80" s="60" t="e">
        <f>BK$5-AH80</f>
        <v>#N/A</v>
      </c>
      <c r="BL80" s="60" t="e">
        <f>BL$5-AI80</f>
        <v>#N/A</v>
      </c>
      <c r="BM80" s="60" t="e">
        <f>BM$5-AJ80</f>
        <v>#N/A</v>
      </c>
      <c r="BN80" s="60" t="e">
        <f>BN$5-AK80</f>
        <v>#N/A</v>
      </c>
      <c r="BO80" s="60" t="e">
        <f>BO$5-AL80</f>
        <v>#N/A</v>
      </c>
      <c r="BP80" s="60" t="e">
        <f>BP$5-AM80</f>
        <v>#N/A</v>
      </c>
      <c r="BQ80" s="60" t="e">
        <f>BQ$5-AN80</f>
        <v>#N/A</v>
      </c>
      <c r="BR80" s="60" t="e">
        <f>BR$5-AO80</f>
        <v>#N/A</v>
      </c>
      <c r="BS80" s="60" t="e">
        <f>BS$5-AP80</f>
        <v>#N/A</v>
      </c>
      <c r="BT80" s="60" t="e">
        <f>BT$5-AQ80</f>
        <v>#N/A</v>
      </c>
      <c r="BV80" s="60" cm="1">
        <f t="array" aca="1" ref="BV80" ca="1">SQRT(SUMSQ(_xlfn._xlws.FILTER(AV80:BT80,ISNUMBER(AV80:BT80)))/COUNT(_xlfn._xlws.FILTER(AV80:BT80,ISNUMBER(AV80:BT80))))</f>
        <v>5.4622451338941529</v>
      </c>
    </row>
    <row r="81" spans="3:74" x14ac:dyDescent="0.2">
      <c r="C81" s="60" t="s">
        <v>442</v>
      </c>
      <c r="D81" s="60">
        <v>0</v>
      </c>
      <c r="E81" s="60">
        <v>-3.91</v>
      </c>
      <c r="F81" s="60">
        <v>-7.82</v>
      </c>
      <c r="G81" s="60">
        <v>-11.73</v>
      </c>
      <c r="H81" s="60">
        <v>-9.7750000000000004</v>
      </c>
      <c r="I81" s="60">
        <v>-7.82</v>
      </c>
      <c r="J81" s="60">
        <v>-11.73</v>
      </c>
      <c r="K81" s="60">
        <v>-9.7750000000000004</v>
      </c>
      <c r="L81" s="60">
        <v>-7.82</v>
      </c>
      <c r="M81" s="60">
        <v>-5.8650000000000002</v>
      </c>
      <c r="N81" s="60">
        <v>-3.91</v>
      </c>
      <c r="O81" s="60">
        <v>-1.9550000000000001</v>
      </c>
      <c r="P81" s="60">
        <v>0</v>
      </c>
      <c r="R81" s="61">
        <f>(ROW(R81)-ROW($C$6))</f>
        <v>75</v>
      </c>
      <c r="S81" s="60">
        <f ca="1">100+HLOOKUP(S$4,$D$7:$P$336,$R81,FALSE)-HLOOKUP(S$3,$D$7:$P$336,$R81,FALSE)</f>
        <v>96.089999999999989</v>
      </c>
      <c r="T81" s="60">
        <f ca="1">100+HLOOKUP(T$4,$D$7:$P$336,$R81,FALSE)-HLOOKUP(T$3,$D$7:$P$336,$R81,FALSE)</f>
        <v>90.224999999999994</v>
      </c>
      <c r="U81" s="60">
        <f ca="1">100+HLOOKUP(U$4,$D$7:$P$336,$R81,FALSE)-HLOOKUP(U$3,$D$7:$P$336,$R81,FALSE)</f>
        <v>96.09</v>
      </c>
      <c r="V81" s="60">
        <f ca="1">100+HLOOKUP(V$4,$D$7:$P$336,$R81,FALSE)-HLOOKUP(V$3,$D$7:$P$336,$R81,FALSE)</f>
        <v>96.09</v>
      </c>
      <c r="W81" s="60">
        <f ca="1">100+HLOOKUP(W$4,$D$7:$P$336,$R81,FALSE)-HLOOKUP(W$3,$D$7:$P$336,$R81,FALSE)</f>
        <v>90.224999999999994</v>
      </c>
      <c r="X81" s="60">
        <f ca="1">100+HLOOKUP(X$4,$D$7:$P$336,$R81,FALSE)-HLOOKUP(X$3,$D$7:$P$336,$R81,FALSE)</f>
        <v>96.089999999999989</v>
      </c>
      <c r="Y81" s="60">
        <f ca="1">100+HLOOKUP(Y$4,$D$7:$P$336,$R81,FALSE)-HLOOKUP(Y$3,$D$7:$P$336,$R81,FALSE)</f>
        <v>90.224999999999994</v>
      </c>
      <c r="Z81" s="60">
        <f ca="1">100+HLOOKUP(Z$4,$D$7:$P$336,$R81,FALSE)-HLOOKUP(Z$3,$D$7:$P$336,$R81,FALSE)</f>
        <v>96.09</v>
      </c>
      <c r="AA81" s="60">
        <f ca="1">100+HLOOKUP(AA$4,$D$7:$P$336,$R81,FALSE)-HLOOKUP(AA$3,$D$7:$P$336,$R81,FALSE)</f>
        <v>96.09</v>
      </c>
      <c r="AB81" s="60">
        <f ca="1">100+HLOOKUP(AB$4,$D$7:$P$336,$R81,FALSE)-HLOOKUP(AB$3,$D$7:$P$336,$R81,FALSE)</f>
        <v>90.224999999999994</v>
      </c>
      <c r="AC81" s="60">
        <f ca="1">100+HLOOKUP(AC$4,$D$7:$P$336,$R81,FALSE)-HLOOKUP(AC$3,$D$7:$P$336,$R81,FALSE)</f>
        <v>101.95500000000001</v>
      </c>
      <c r="AD81" s="60">
        <f ca="1">100+HLOOKUP(AD$4,$D$7:$P$336,$R81,FALSE)-HLOOKUP(AD$3,$D$7:$P$336,$R81,FALSE)</f>
        <v>107.82000000000001</v>
      </c>
      <c r="AE81" s="60">
        <f ca="1">100+HLOOKUP(AE$4,$D$7:$P$336,$R81,FALSE)-HLOOKUP(AE$3,$D$7:$P$336,$R81,FALSE)</f>
        <v>107.82000000000001</v>
      </c>
      <c r="AF81" s="60">
        <f ca="1">100+HLOOKUP(AF$4,$D$7:$P$336,$R81,FALSE)-HLOOKUP(AF$3,$D$7:$P$336,$R81,FALSE)</f>
        <v>96.09</v>
      </c>
      <c r="AG81" s="60">
        <f ca="1">100+HLOOKUP(AG$4,$D$7:$P$336,$R81,FALSE)-HLOOKUP(AG$3,$D$7:$P$336,$R81,FALSE)</f>
        <v>96.09</v>
      </c>
      <c r="AH81" s="60" t="e">
        <f>100+HLOOKUP(AH$4,$D$7:$P$336,$R81,FALSE)-HLOOKUP(AH$3,$D$7:$P$336,$R81,FALSE)</f>
        <v>#N/A</v>
      </c>
      <c r="AI81" s="60" t="e">
        <f>100+HLOOKUP(AI$4,$D$7:$P$336,$R81,FALSE)-HLOOKUP(AI$3,$D$7:$P$336,$R81,FALSE)</f>
        <v>#N/A</v>
      </c>
      <c r="AJ81" s="60" t="e">
        <f>100+HLOOKUP(AJ$4,$D$7:$P$336,$R81,FALSE)-HLOOKUP(AJ$3,$D$7:$P$336,$R81,FALSE)</f>
        <v>#N/A</v>
      </c>
      <c r="AK81" s="60" t="e">
        <f>100+HLOOKUP(AK$4,$D$7:$P$336,$R81,FALSE)-HLOOKUP(AK$3,$D$7:$P$336,$R81,FALSE)</f>
        <v>#N/A</v>
      </c>
      <c r="AL81" s="60" t="e">
        <f>100+HLOOKUP(AL$4,$D$7:$P$336,$R81,FALSE)-HLOOKUP(AL$3,$D$7:$P$336,$R81,FALSE)</f>
        <v>#N/A</v>
      </c>
      <c r="AM81" s="60" t="e">
        <f>100+HLOOKUP(AM$4,$D$7:$P$336,$R81,FALSE)-HLOOKUP(AM$3,$D$7:$P$336,$R81,FALSE)</f>
        <v>#N/A</v>
      </c>
      <c r="AN81" s="60" t="e">
        <f>100+HLOOKUP(AN$4,$D$7:$P$336,$R81,FALSE)-HLOOKUP(AN$3,$D$7:$P$336,$R81,FALSE)</f>
        <v>#N/A</v>
      </c>
      <c r="AO81" s="60" t="e">
        <f>100+HLOOKUP(AO$4,$D$7:$P$336,$R81,FALSE)-HLOOKUP(AO$3,$D$7:$P$336,$R81,FALSE)</f>
        <v>#N/A</v>
      </c>
      <c r="AP81" s="60" t="e">
        <f>100+HLOOKUP(AP$4,$D$7:$P$336,$R81,FALSE)-HLOOKUP(AP$3,$D$7:$P$336,$R81,FALSE)</f>
        <v>#N/A</v>
      </c>
      <c r="AQ81" s="60" t="e">
        <f>100+HLOOKUP(AQ$4,$D$7:$P$336,$R81,FALSE)-HLOOKUP(AQ$3,$D$7:$P$336,$R81,FALSE)</f>
        <v>#N/A</v>
      </c>
      <c r="AV81" s="60">
        <f ca="1">AV$5-S81</f>
        <v>7.100399426796443</v>
      </c>
      <c r="AW81" s="60">
        <f ca="1">AW$5-T81</f>
        <v>3.9956505297577536</v>
      </c>
      <c r="AX81" s="60">
        <f ca="1">AX$5-U81</f>
        <v>5.6859154036680479</v>
      </c>
      <c r="AY81" s="60">
        <f ca="1">AY$5-V81</f>
        <v>-2.4869855984722022</v>
      </c>
      <c r="AZ81" s="60">
        <f ca="1">AZ$5-W81</f>
        <v>7.2294821725960361</v>
      </c>
      <c r="BA81" s="60">
        <f ca="1">BA$5-X81</f>
        <v>2.3750590589827141</v>
      </c>
      <c r="BB81" s="60">
        <f ca="1">BB$5-Y81</f>
        <v>3.1255927273811324</v>
      </c>
      <c r="BC81" s="60">
        <f ca="1">BC$5-Z81</f>
        <v>11.34746590988216</v>
      </c>
      <c r="BD81" s="60">
        <f ca="1">BD$5-AA81</f>
        <v>1.8465186643823586</v>
      </c>
      <c r="BE81" s="60">
        <f ca="1">BE$5-AB81</f>
        <v>1.6043905919921997</v>
      </c>
      <c r="BF81" s="60">
        <f ca="1">BF$5-AC81</f>
        <v>-0.9376956835229322</v>
      </c>
      <c r="BG81" s="60">
        <f ca="1">BG$5-AD81</f>
        <v>-3.8347412949814981</v>
      </c>
      <c r="BH81" s="60">
        <f ca="1">BH$5-AE81</f>
        <v>-8.8654077696324407</v>
      </c>
      <c r="BI81" s="60">
        <f ca="1">BI$5-AF81</f>
        <v>-5.4814944887451986</v>
      </c>
      <c r="BJ81" s="60">
        <f ca="1">BJ$5-AG81</f>
        <v>-4.6504489423212334</v>
      </c>
      <c r="BK81" s="60" t="e">
        <f>BK$5-AH81</f>
        <v>#N/A</v>
      </c>
      <c r="BL81" s="60" t="e">
        <f>BL$5-AI81</f>
        <v>#N/A</v>
      </c>
      <c r="BM81" s="60" t="e">
        <f>BM$5-AJ81</f>
        <v>#N/A</v>
      </c>
      <c r="BN81" s="60" t="e">
        <f>BN$5-AK81</f>
        <v>#N/A</v>
      </c>
      <c r="BO81" s="60" t="e">
        <f>BO$5-AL81</f>
        <v>#N/A</v>
      </c>
      <c r="BP81" s="60" t="e">
        <f>BP$5-AM81</f>
        <v>#N/A</v>
      </c>
      <c r="BQ81" s="60" t="e">
        <f>BQ$5-AN81</f>
        <v>#N/A</v>
      </c>
      <c r="BR81" s="60" t="e">
        <f>BR$5-AO81</f>
        <v>#N/A</v>
      </c>
      <c r="BS81" s="60" t="e">
        <f>BS$5-AP81</f>
        <v>#N/A</v>
      </c>
      <c r="BT81" s="60" t="e">
        <f>BT$5-AQ81</f>
        <v>#N/A</v>
      </c>
      <c r="BV81" s="60" cm="1">
        <f t="array" aca="1" ref="BV81" ca="1">SQRT(SUMSQ(_xlfn._xlws.FILTER(AV81:BT81,ISNUMBER(AV81:BT81)))/COUNT(_xlfn._xlws.FILTER(AV81:BT81,ISNUMBER(AV81:BT81))))</f>
        <v>5.4965042434422324</v>
      </c>
    </row>
    <row r="82" spans="3:74" x14ac:dyDescent="0.2">
      <c r="C82" s="60" t="s">
        <v>423</v>
      </c>
      <c r="D82" s="60">
        <v>0</v>
      </c>
      <c r="E82" s="60">
        <v>-1.9550000000000001</v>
      </c>
      <c r="F82" s="60">
        <v>-3.91</v>
      </c>
      <c r="G82" s="60">
        <v>-5.8650000000000002</v>
      </c>
      <c r="H82" s="60">
        <v>-7.82</v>
      </c>
      <c r="I82" s="60">
        <v>-9.7750000000000004</v>
      </c>
      <c r="J82" s="60">
        <v>-7.82</v>
      </c>
      <c r="K82" s="60">
        <v>-5.8650000000000002</v>
      </c>
      <c r="L82" s="60">
        <v>-3.91</v>
      </c>
      <c r="M82" s="60">
        <v>-1.9550000000000001</v>
      </c>
      <c r="N82" s="60">
        <v>0</v>
      </c>
      <c r="O82" s="60">
        <v>1.9550000000000001</v>
      </c>
      <c r="P82" s="60">
        <v>0</v>
      </c>
      <c r="R82" s="61">
        <f>(ROW(R82)-ROW($C$6))</f>
        <v>76</v>
      </c>
      <c r="S82" s="60">
        <f ca="1">100+HLOOKUP(S$4,$D$7:$P$336,$R82,FALSE)-HLOOKUP(S$3,$D$7:$P$336,$R82,FALSE)</f>
        <v>94.135000000000005</v>
      </c>
      <c r="T82" s="60">
        <f ca="1">100+HLOOKUP(T$4,$D$7:$P$336,$R82,FALSE)-HLOOKUP(T$3,$D$7:$P$336,$R82,FALSE)</f>
        <v>90.225000000000009</v>
      </c>
      <c r="U82" s="60">
        <f ca="1">100+HLOOKUP(U$4,$D$7:$P$336,$R82,FALSE)-HLOOKUP(U$3,$D$7:$P$336,$R82,FALSE)</f>
        <v>98.045000000000002</v>
      </c>
      <c r="V82" s="60">
        <f ca="1">100+HLOOKUP(V$4,$D$7:$P$336,$R82,FALSE)-HLOOKUP(V$3,$D$7:$P$336,$R82,FALSE)</f>
        <v>90.224999999999994</v>
      </c>
      <c r="W82" s="60">
        <f ca="1">100+HLOOKUP(W$4,$D$7:$P$336,$R82,FALSE)-HLOOKUP(W$3,$D$7:$P$336,$R82,FALSE)</f>
        <v>94.135000000000005</v>
      </c>
      <c r="X82" s="60">
        <f ca="1">100+HLOOKUP(X$4,$D$7:$P$336,$R82,FALSE)-HLOOKUP(X$3,$D$7:$P$336,$R82,FALSE)</f>
        <v>94.135000000000005</v>
      </c>
      <c r="Y82" s="60">
        <f ca="1">100+HLOOKUP(Y$4,$D$7:$P$336,$R82,FALSE)-HLOOKUP(Y$3,$D$7:$P$336,$R82,FALSE)</f>
        <v>90.225000000000009</v>
      </c>
      <c r="Z82" s="60">
        <f ca="1">100+HLOOKUP(Z$4,$D$7:$P$336,$R82,FALSE)-HLOOKUP(Z$3,$D$7:$P$336,$R82,FALSE)</f>
        <v>98.045000000000002</v>
      </c>
      <c r="AA82" s="60">
        <f ca="1">100+HLOOKUP(AA$4,$D$7:$P$336,$R82,FALSE)-HLOOKUP(AA$3,$D$7:$P$336,$R82,FALSE)</f>
        <v>90.224999999999994</v>
      </c>
      <c r="AB82" s="60">
        <f ca="1">100+HLOOKUP(AB$4,$D$7:$P$336,$R82,FALSE)-HLOOKUP(AB$3,$D$7:$P$336,$R82,FALSE)</f>
        <v>94.135000000000005</v>
      </c>
      <c r="AC82" s="60">
        <f ca="1">100+HLOOKUP(AC$4,$D$7:$P$336,$R82,FALSE)-HLOOKUP(AC$3,$D$7:$P$336,$R82,FALSE)</f>
        <v>101.955</v>
      </c>
      <c r="AD82" s="60">
        <f ca="1">100+HLOOKUP(AD$4,$D$7:$P$336,$R82,FALSE)-HLOOKUP(AD$3,$D$7:$P$336,$R82,FALSE)</f>
        <v>109.77500000000001</v>
      </c>
      <c r="AE82" s="60">
        <f ca="1">100+HLOOKUP(AE$4,$D$7:$P$336,$R82,FALSE)-HLOOKUP(AE$3,$D$7:$P$336,$R82,FALSE)</f>
        <v>105.86500000000001</v>
      </c>
      <c r="AF82" s="60">
        <f ca="1">100+HLOOKUP(AF$4,$D$7:$P$336,$R82,FALSE)-HLOOKUP(AF$3,$D$7:$P$336,$R82,FALSE)</f>
        <v>98.045000000000002</v>
      </c>
      <c r="AG82" s="60">
        <f ca="1">100+HLOOKUP(AG$4,$D$7:$P$336,$R82,FALSE)-HLOOKUP(AG$3,$D$7:$P$336,$R82,FALSE)</f>
        <v>90.224999999999994</v>
      </c>
      <c r="AH82" s="60" t="e">
        <f>100+HLOOKUP(AH$4,$D$7:$P$336,$R82,FALSE)-HLOOKUP(AH$3,$D$7:$P$336,$R82,FALSE)</f>
        <v>#N/A</v>
      </c>
      <c r="AI82" s="60" t="e">
        <f>100+HLOOKUP(AI$4,$D$7:$P$336,$R82,FALSE)-HLOOKUP(AI$3,$D$7:$P$336,$R82,FALSE)</f>
        <v>#N/A</v>
      </c>
      <c r="AJ82" s="60" t="e">
        <f>100+HLOOKUP(AJ$4,$D$7:$P$336,$R82,FALSE)-HLOOKUP(AJ$3,$D$7:$P$336,$R82,FALSE)</f>
        <v>#N/A</v>
      </c>
      <c r="AK82" s="60" t="e">
        <f>100+HLOOKUP(AK$4,$D$7:$P$336,$R82,FALSE)-HLOOKUP(AK$3,$D$7:$P$336,$R82,FALSE)</f>
        <v>#N/A</v>
      </c>
      <c r="AL82" s="60" t="e">
        <f>100+HLOOKUP(AL$4,$D$7:$P$336,$R82,FALSE)-HLOOKUP(AL$3,$D$7:$P$336,$R82,FALSE)</f>
        <v>#N/A</v>
      </c>
      <c r="AM82" s="60" t="e">
        <f>100+HLOOKUP(AM$4,$D$7:$P$336,$R82,FALSE)-HLOOKUP(AM$3,$D$7:$P$336,$R82,FALSE)</f>
        <v>#N/A</v>
      </c>
      <c r="AN82" s="60" t="e">
        <f>100+HLOOKUP(AN$4,$D$7:$P$336,$R82,FALSE)-HLOOKUP(AN$3,$D$7:$P$336,$R82,FALSE)</f>
        <v>#N/A</v>
      </c>
      <c r="AO82" s="60" t="e">
        <f>100+HLOOKUP(AO$4,$D$7:$P$336,$R82,FALSE)-HLOOKUP(AO$3,$D$7:$P$336,$R82,FALSE)</f>
        <v>#N/A</v>
      </c>
      <c r="AP82" s="60" t="e">
        <f>100+HLOOKUP(AP$4,$D$7:$P$336,$R82,FALSE)-HLOOKUP(AP$3,$D$7:$P$336,$R82,FALSE)</f>
        <v>#N/A</v>
      </c>
      <c r="AQ82" s="60" t="e">
        <f>100+HLOOKUP(AQ$4,$D$7:$P$336,$R82,FALSE)-HLOOKUP(AQ$3,$D$7:$P$336,$R82,FALSE)</f>
        <v>#N/A</v>
      </c>
      <c r="AV82" s="60">
        <f ca="1">AV$5-S82</f>
        <v>9.0553994267964271</v>
      </c>
      <c r="AW82" s="60">
        <f ca="1">AW$5-T82</f>
        <v>3.9956505297577394</v>
      </c>
      <c r="AX82" s="60">
        <f ca="1">AX$5-U82</f>
        <v>3.7309154036680496</v>
      </c>
      <c r="AY82" s="60">
        <f ca="1">AY$5-V82</f>
        <v>3.3780144015278069</v>
      </c>
      <c r="AZ82" s="60">
        <f ca="1">AZ$5-W82</f>
        <v>3.3194821725960253</v>
      </c>
      <c r="BA82" s="60">
        <f ca="1">BA$5-X82</f>
        <v>4.3300590589826982</v>
      </c>
      <c r="BB82" s="60">
        <f ca="1">BB$5-Y82</f>
        <v>3.1255927273811182</v>
      </c>
      <c r="BC82" s="60">
        <f ca="1">BC$5-Z82</f>
        <v>9.3924659098821621</v>
      </c>
      <c r="BD82" s="60">
        <f ca="1">BD$5-AA82</f>
        <v>7.7115186643823677</v>
      </c>
      <c r="BE82" s="60">
        <f ca="1">BE$5-AB82</f>
        <v>-2.3056094080078111</v>
      </c>
      <c r="BF82" s="60">
        <f ca="1">BF$5-AC82</f>
        <v>-0.93769568352291799</v>
      </c>
      <c r="BG82" s="60">
        <f ca="1">BG$5-AD82</f>
        <v>-5.7897412949814964</v>
      </c>
      <c r="BH82" s="60">
        <f ca="1">BH$5-AE82</f>
        <v>-6.9104077696324424</v>
      </c>
      <c r="BI82" s="60">
        <f ca="1">BI$5-AF82</f>
        <v>-7.4364944887451969</v>
      </c>
      <c r="BJ82" s="60">
        <f ca="1">BJ$5-AG82</f>
        <v>1.2145510576787757</v>
      </c>
      <c r="BK82" s="60" t="e">
        <f>BK$5-AH82</f>
        <v>#N/A</v>
      </c>
      <c r="BL82" s="60" t="e">
        <f>BL$5-AI82</f>
        <v>#N/A</v>
      </c>
      <c r="BM82" s="60" t="e">
        <f>BM$5-AJ82</f>
        <v>#N/A</v>
      </c>
      <c r="BN82" s="60" t="e">
        <f>BN$5-AK82</f>
        <v>#N/A</v>
      </c>
      <c r="BO82" s="60" t="e">
        <f>BO$5-AL82</f>
        <v>#N/A</v>
      </c>
      <c r="BP82" s="60" t="e">
        <f>BP$5-AM82</f>
        <v>#N/A</v>
      </c>
      <c r="BQ82" s="60" t="e">
        <f>BQ$5-AN82</f>
        <v>#N/A</v>
      </c>
      <c r="BR82" s="60" t="e">
        <f>BR$5-AO82</f>
        <v>#N/A</v>
      </c>
      <c r="BS82" s="60" t="e">
        <f>BS$5-AP82</f>
        <v>#N/A</v>
      </c>
      <c r="BT82" s="60" t="e">
        <f>BT$5-AQ82</f>
        <v>#N/A</v>
      </c>
      <c r="BV82" s="60" cm="1">
        <f t="array" aca="1" ref="BV82" ca="1">SQRT(SUMSQ(_xlfn._xlws.FILTER(AV82:BT82,ISNUMBER(AV82:BT82)))/COUNT(_xlfn._xlws.FILTER(AV82:BT82,ISNUMBER(AV82:BT82))))</f>
        <v>5.5061563393582054</v>
      </c>
    </row>
    <row r="83" spans="3:74" x14ac:dyDescent="0.2">
      <c r="C83" s="60" t="s">
        <v>441</v>
      </c>
      <c r="D83" s="60">
        <v>0</v>
      </c>
      <c r="E83" s="60">
        <v>-4</v>
      </c>
      <c r="F83" s="60">
        <v>-8</v>
      </c>
      <c r="G83" s="60">
        <v>-12</v>
      </c>
      <c r="H83" s="60">
        <v>-10</v>
      </c>
      <c r="I83" s="60">
        <v>-8</v>
      </c>
      <c r="J83" s="60">
        <v>-12</v>
      </c>
      <c r="K83" s="60">
        <v>-10</v>
      </c>
      <c r="L83" s="60">
        <v>-8</v>
      </c>
      <c r="M83" s="60">
        <v>-6</v>
      </c>
      <c r="N83" s="60">
        <v>-4</v>
      </c>
      <c r="O83" s="60">
        <v>-2</v>
      </c>
      <c r="P83" s="60">
        <v>0</v>
      </c>
      <c r="R83" s="61">
        <f>(ROW(R83)-ROW($C$6))</f>
        <v>77</v>
      </c>
      <c r="S83" s="60">
        <f ca="1">100+HLOOKUP(S$4,$D$7:$P$336,$R83,FALSE)-HLOOKUP(S$3,$D$7:$P$336,$R83,FALSE)</f>
        <v>96</v>
      </c>
      <c r="T83" s="60">
        <f ca="1">100+HLOOKUP(T$4,$D$7:$P$336,$R83,FALSE)-HLOOKUP(T$3,$D$7:$P$336,$R83,FALSE)</f>
        <v>90</v>
      </c>
      <c r="U83" s="60">
        <f ca="1">100+HLOOKUP(U$4,$D$7:$P$336,$R83,FALSE)-HLOOKUP(U$3,$D$7:$P$336,$R83,FALSE)</f>
        <v>96</v>
      </c>
      <c r="V83" s="60">
        <f ca="1">100+HLOOKUP(V$4,$D$7:$P$336,$R83,FALSE)-HLOOKUP(V$3,$D$7:$P$336,$R83,FALSE)</f>
        <v>96</v>
      </c>
      <c r="W83" s="60">
        <f ca="1">100+HLOOKUP(W$4,$D$7:$P$336,$R83,FALSE)-HLOOKUP(W$3,$D$7:$P$336,$R83,FALSE)</f>
        <v>90</v>
      </c>
      <c r="X83" s="60">
        <f ca="1">100+HLOOKUP(X$4,$D$7:$P$336,$R83,FALSE)-HLOOKUP(X$3,$D$7:$P$336,$R83,FALSE)</f>
        <v>96</v>
      </c>
      <c r="Y83" s="60">
        <f ca="1">100+HLOOKUP(Y$4,$D$7:$P$336,$R83,FALSE)-HLOOKUP(Y$3,$D$7:$P$336,$R83,FALSE)</f>
        <v>90</v>
      </c>
      <c r="Z83" s="60">
        <f ca="1">100+HLOOKUP(Z$4,$D$7:$P$336,$R83,FALSE)-HLOOKUP(Z$3,$D$7:$P$336,$R83,FALSE)</f>
        <v>96</v>
      </c>
      <c r="AA83" s="60">
        <f ca="1">100+HLOOKUP(AA$4,$D$7:$P$336,$R83,FALSE)-HLOOKUP(AA$3,$D$7:$P$336,$R83,FALSE)</f>
        <v>96</v>
      </c>
      <c r="AB83" s="60">
        <f ca="1">100+HLOOKUP(AB$4,$D$7:$P$336,$R83,FALSE)-HLOOKUP(AB$3,$D$7:$P$336,$R83,FALSE)</f>
        <v>90</v>
      </c>
      <c r="AC83" s="60">
        <f ca="1">100+HLOOKUP(AC$4,$D$7:$P$336,$R83,FALSE)-HLOOKUP(AC$3,$D$7:$P$336,$R83,FALSE)</f>
        <v>102</v>
      </c>
      <c r="AD83" s="60">
        <f ca="1">100+HLOOKUP(AD$4,$D$7:$P$336,$R83,FALSE)-HLOOKUP(AD$3,$D$7:$P$336,$R83,FALSE)</f>
        <v>108</v>
      </c>
      <c r="AE83" s="60">
        <f ca="1">100+HLOOKUP(AE$4,$D$7:$P$336,$R83,FALSE)-HLOOKUP(AE$3,$D$7:$P$336,$R83,FALSE)</f>
        <v>108</v>
      </c>
      <c r="AF83" s="60">
        <f ca="1">100+HLOOKUP(AF$4,$D$7:$P$336,$R83,FALSE)-HLOOKUP(AF$3,$D$7:$P$336,$R83,FALSE)</f>
        <v>96</v>
      </c>
      <c r="AG83" s="60">
        <f ca="1">100+HLOOKUP(AG$4,$D$7:$P$336,$R83,FALSE)-HLOOKUP(AG$3,$D$7:$P$336,$R83,FALSE)</f>
        <v>96</v>
      </c>
      <c r="AH83" s="60" t="e">
        <f>100+HLOOKUP(AH$4,$D$7:$P$336,$R83,FALSE)-HLOOKUP(AH$3,$D$7:$P$336,$R83,FALSE)</f>
        <v>#N/A</v>
      </c>
      <c r="AI83" s="60" t="e">
        <f>100+HLOOKUP(AI$4,$D$7:$P$336,$R83,FALSE)-HLOOKUP(AI$3,$D$7:$P$336,$R83,FALSE)</f>
        <v>#N/A</v>
      </c>
      <c r="AJ83" s="60" t="e">
        <f>100+HLOOKUP(AJ$4,$D$7:$P$336,$R83,FALSE)-HLOOKUP(AJ$3,$D$7:$P$336,$R83,FALSE)</f>
        <v>#N/A</v>
      </c>
      <c r="AK83" s="60" t="e">
        <f>100+HLOOKUP(AK$4,$D$7:$P$336,$R83,FALSE)-HLOOKUP(AK$3,$D$7:$P$336,$R83,FALSE)</f>
        <v>#N/A</v>
      </c>
      <c r="AL83" s="60" t="e">
        <f>100+HLOOKUP(AL$4,$D$7:$P$336,$R83,FALSE)-HLOOKUP(AL$3,$D$7:$P$336,$R83,FALSE)</f>
        <v>#N/A</v>
      </c>
      <c r="AM83" s="60" t="e">
        <f>100+HLOOKUP(AM$4,$D$7:$P$336,$R83,FALSE)-HLOOKUP(AM$3,$D$7:$P$336,$R83,FALSE)</f>
        <v>#N/A</v>
      </c>
      <c r="AN83" s="60" t="e">
        <f>100+HLOOKUP(AN$4,$D$7:$P$336,$R83,FALSE)-HLOOKUP(AN$3,$D$7:$P$336,$R83,FALSE)</f>
        <v>#N/A</v>
      </c>
      <c r="AO83" s="60" t="e">
        <f>100+HLOOKUP(AO$4,$D$7:$P$336,$R83,FALSE)-HLOOKUP(AO$3,$D$7:$P$336,$R83,FALSE)</f>
        <v>#N/A</v>
      </c>
      <c r="AP83" s="60" t="e">
        <f>100+HLOOKUP(AP$4,$D$7:$P$336,$R83,FALSE)-HLOOKUP(AP$3,$D$7:$P$336,$R83,FALSE)</f>
        <v>#N/A</v>
      </c>
      <c r="AQ83" s="60" t="e">
        <f>100+HLOOKUP(AQ$4,$D$7:$P$336,$R83,FALSE)-HLOOKUP(AQ$3,$D$7:$P$336,$R83,FALSE)</f>
        <v>#N/A</v>
      </c>
      <c r="AV83" s="60">
        <f ca="1">AV$5-S83</f>
        <v>7.1903994267964322</v>
      </c>
      <c r="AW83" s="60">
        <f ca="1">AW$5-T83</f>
        <v>4.2206505297577479</v>
      </c>
      <c r="AX83" s="60">
        <f ca="1">AX$5-U83</f>
        <v>5.7759154036680513</v>
      </c>
      <c r="AY83" s="60">
        <f ca="1">AY$5-V83</f>
        <v>-2.3969855984721988</v>
      </c>
      <c r="AZ83" s="60">
        <f ca="1">AZ$5-W83</f>
        <v>7.4544821725960304</v>
      </c>
      <c r="BA83" s="60">
        <f ca="1">BA$5-X83</f>
        <v>2.4650590589827033</v>
      </c>
      <c r="BB83" s="60">
        <f ca="1">BB$5-Y83</f>
        <v>3.3505927273811267</v>
      </c>
      <c r="BC83" s="60">
        <f ca="1">BC$5-Z83</f>
        <v>11.437465909882164</v>
      </c>
      <c r="BD83" s="60">
        <f ca="1">BD$5-AA83</f>
        <v>1.936518664382362</v>
      </c>
      <c r="BE83" s="60">
        <f ca="1">BE$5-AB83</f>
        <v>1.829390591992194</v>
      </c>
      <c r="BF83" s="60">
        <f ca="1">BF$5-AC83</f>
        <v>-0.98269568352291969</v>
      </c>
      <c r="BG83" s="60">
        <f ca="1">BG$5-AD83</f>
        <v>-4.0147412949814907</v>
      </c>
      <c r="BH83" s="60">
        <f ca="1">BH$5-AE83</f>
        <v>-9.0454077696324333</v>
      </c>
      <c r="BI83" s="60">
        <f ca="1">BI$5-AF83</f>
        <v>-5.3914944887451952</v>
      </c>
      <c r="BJ83" s="60">
        <f ca="1">BJ$5-AG83</f>
        <v>-4.56044894232123</v>
      </c>
      <c r="BK83" s="60" t="e">
        <f>BK$5-AH83</f>
        <v>#N/A</v>
      </c>
      <c r="BL83" s="60" t="e">
        <f>BL$5-AI83</f>
        <v>#N/A</v>
      </c>
      <c r="BM83" s="60" t="e">
        <f>BM$5-AJ83</f>
        <v>#N/A</v>
      </c>
      <c r="BN83" s="60" t="e">
        <f>BN$5-AK83</f>
        <v>#N/A</v>
      </c>
      <c r="BO83" s="60" t="e">
        <f>BO$5-AL83</f>
        <v>#N/A</v>
      </c>
      <c r="BP83" s="60" t="e">
        <f>BP$5-AM83</f>
        <v>#N/A</v>
      </c>
      <c r="BQ83" s="60" t="e">
        <f>BQ$5-AN83</f>
        <v>#N/A</v>
      </c>
      <c r="BR83" s="60" t="e">
        <f>BR$5-AO83</f>
        <v>#N/A</v>
      </c>
      <c r="BS83" s="60" t="e">
        <f>BS$5-AP83</f>
        <v>#N/A</v>
      </c>
      <c r="BT83" s="60" t="e">
        <f>BT$5-AQ83</f>
        <v>#N/A</v>
      </c>
      <c r="BV83" s="60" cm="1">
        <f t="array" aca="1" ref="BV83" ca="1">SQRT(SUMSQ(_xlfn._xlws.FILTER(AV83:BT83,ISNUMBER(AV83:BT83)))/COUNT(_xlfn._xlws.FILTER(AV83:BT83,ISNUMBER(AV83:BT83))))</f>
        <v>5.5867480956001758</v>
      </c>
    </row>
    <row r="84" spans="3:74" x14ac:dyDescent="0.2">
      <c r="C84" s="60" t="s">
        <v>422</v>
      </c>
      <c r="D84" s="60">
        <v>0</v>
      </c>
      <c r="E84" s="60">
        <v>-2</v>
      </c>
      <c r="F84" s="60">
        <v>-4</v>
      </c>
      <c r="G84" s="60">
        <v>-6</v>
      </c>
      <c r="H84" s="60">
        <v>-8</v>
      </c>
      <c r="I84" s="60">
        <v>-10</v>
      </c>
      <c r="J84" s="60">
        <v>-8</v>
      </c>
      <c r="K84" s="60">
        <v>-6</v>
      </c>
      <c r="L84" s="60">
        <v>-4</v>
      </c>
      <c r="M84" s="60">
        <v>-2</v>
      </c>
      <c r="N84" s="60">
        <v>0</v>
      </c>
      <c r="O84" s="60">
        <v>2</v>
      </c>
      <c r="P84" s="60">
        <v>0</v>
      </c>
      <c r="R84" s="61">
        <f>(ROW(R84)-ROW($C$6))</f>
        <v>78</v>
      </c>
      <c r="S84" s="60">
        <f ca="1">100+HLOOKUP(S$4,$D$7:$P$336,$R84,FALSE)-HLOOKUP(S$3,$D$7:$P$336,$R84,FALSE)</f>
        <v>94</v>
      </c>
      <c r="T84" s="60">
        <f ca="1">100+HLOOKUP(T$4,$D$7:$P$336,$R84,FALSE)-HLOOKUP(T$3,$D$7:$P$336,$R84,FALSE)</f>
        <v>90</v>
      </c>
      <c r="U84" s="60">
        <f ca="1">100+HLOOKUP(U$4,$D$7:$P$336,$R84,FALSE)-HLOOKUP(U$3,$D$7:$P$336,$R84,FALSE)</f>
        <v>98</v>
      </c>
      <c r="V84" s="60">
        <f ca="1">100+HLOOKUP(V$4,$D$7:$P$336,$R84,FALSE)-HLOOKUP(V$3,$D$7:$P$336,$R84,FALSE)</f>
        <v>90</v>
      </c>
      <c r="W84" s="60">
        <f ca="1">100+HLOOKUP(W$4,$D$7:$P$336,$R84,FALSE)-HLOOKUP(W$3,$D$7:$P$336,$R84,FALSE)</f>
        <v>94</v>
      </c>
      <c r="X84" s="60">
        <f ca="1">100+HLOOKUP(X$4,$D$7:$P$336,$R84,FALSE)-HLOOKUP(X$3,$D$7:$P$336,$R84,FALSE)</f>
        <v>94</v>
      </c>
      <c r="Y84" s="60">
        <f ca="1">100+HLOOKUP(Y$4,$D$7:$P$336,$R84,FALSE)-HLOOKUP(Y$3,$D$7:$P$336,$R84,FALSE)</f>
        <v>90</v>
      </c>
      <c r="Z84" s="60">
        <f ca="1">100+HLOOKUP(Z$4,$D$7:$P$336,$R84,FALSE)-HLOOKUP(Z$3,$D$7:$P$336,$R84,FALSE)</f>
        <v>98</v>
      </c>
      <c r="AA84" s="60">
        <f ca="1">100+HLOOKUP(AA$4,$D$7:$P$336,$R84,FALSE)-HLOOKUP(AA$3,$D$7:$P$336,$R84,FALSE)</f>
        <v>90</v>
      </c>
      <c r="AB84" s="60">
        <f ca="1">100+HLOOKUP(AB$4,$D$7:$P$336,$R84,FALSE)-HLOOKUP(AB$3,$D$7:$P$336,$R84,FALSE)</f>
        <v>94</v>
      </c>
      <c r="AC84" s="60">
        <f ca="1">100+HLOOKUP(AC$4,$D$7:$P$336,$R84,FALSE)-HLOOKUP(AC$3,$D$7:$P$336,$R84,FALSE)</f>
        <v>102</v>
      </c>
      <c r="AD84" s="60">
        <f ca="1">100+HLOOKUP(AD$4,$D$7:$P$336,$R84,FALSE)-HLOOKUP(AD$3,$D$7:$P$336,$R84,FALSE)</f>
        <v>110</v>
      </c>
      <c r="AE84" s="60">
        <f ca="1">100+HLOOKUP(AE$4,$D$7:$P$336,$R84,FALSE)-HLOOKUP(AE$3,$D$7:$P$336,$R84,FALSE)</f>
        <v>106</v>
      </c>
      <c r="AF84" s="60">
        <f ca="1">100+HLOOKUP(AF$4,$D$7:$P$336,$R84,FALSE)-HLOOKUP(AF$3,$D$7:$P$336,$R84,FALSE)</f>
        <v>98</v>
      </c>
      <c r="AG84" s="60">
        <f ca="1">100+HLOOKUP(AG$4,$D$7:$P$336,$R84,FALSE)-HLOOKUP(AG$3,$D$7:$P$336,$R84,FALSE)</f>
        <v>90</v>
      </c>
      <c r="AH84" s="60" t="e">
        <f>100+HLOOKUP(AH$4,$D$7:$P$336,$R84,FALSE)-HLOOKUP(AH$3,$D$7:$P$336,$R84,FALSE)</f>
        <v>#N/A</v>
      </c>
      <c r="AI84" s="60" t="e">
        <f>100+HLOOKUP(AI$4,$D$7:$P$336,$R84,FALSE)-HLOOKUP(AI$3,$D$7:$P$336,$R84,FALSE)</f>
        <v>#N/A</v>
      </c>
      <c r="AJ84" s="60" t="e">
        <f>100+HLOOKUP(AJ$4,$D$7:$P$336,$R84,FALSE)-HLOOKUP(AJ$3,$D$7:$P$336,$R84,FALSE)</f>
        <v>#N/A</v>
      </c>
      <c r="AK84" s="60" t="e">
        <f>100+HLOOKUP(AK$4,$D$7:$P$336,$R84,FALSE)-HLOOKUP(AK$3,$D$7:$P$336,$R84,FALSE)</f>
        <v>#N/A</v>
      </c>
      <c r="AL84" s="60" t="e">
        <f>100+HLOOKUP(AL$4,$D$7:$P$336,$R84,FALSE)-HLOOKUP(AL$3,$D$7:$P$336,$R84,FALSE)</f>
        <v>#N/A</v>
      </c>
      <c r="AM84" s="60" t="e">
        <f>100+HLOOKUP(AM$4,$D$7:$P$336,$R84,FALSE)-HLOOKUP(AM$3,$D$7:$P$336,$R84,FALSE)</f>
        <v>#N/A</v>
      </c>
      <c r="AN84" s="60" t="e">
        <f>100+HLOOKUP(AN$4,$D$7:$P$336,$R84,FALSE)-HLOOKUP(AN$3,$D$7:$P$336,$R84,FALSE)</f>
        <v>#N/A</v>
      </c>
      <c r="AO84" s="60" t="e">
        <f>100+HLOOKUP(AO$4,$D$7:$P$336,$R84,FALSE)-HLOOKUP(AO$3,$D$7:$P$336,$R84,FALSE)</f>
        <v>#N/A</v>
      </c>
      <c r="AP84" s="60" t="e">
        <f>100+HLOOKUP(AP$4,$D$7:$P$336,$R84,FALSE)-HLOOKUP(AP$3,$D$7:$P$336,$R84,FALSE)</f>
        <v>#N/A</v>
      </c>
      <c r="AQ84" s="60" t="e">
        <f>100+HLOOKUP(AQ$4,$D$7:$P$336,$R84,FALSE)-HLOOKUP(AQ$3,$D$7:$P$336,$R84,FALSE)</f>
        <v>#N/A</v>
      </c>
      <c r="AV84" s="60">
        <f ca="1">AV$5-S84</f>
        <v>9.1903994267964322</v>
      </c>
      <c r="AW84" s="60">
        <f ca="1">AW$5-T84</f>
        <v>4.2206505297577479</v>
      </c>
      <c r="AX84" s="60">
        <f ca="1">AX$5-U84</f>
        <v>3.7759154036680513</v>
      </c>
      <c r="AY84" s="60">
        <f ca="1">AY$5-V84</f>
        <v>3.6030144015278012</v>
      </c>
      <c r="AZ84" s="60">
        <f ca="1">AZ$5-W84</f>
        <v>3.4544821725960304</v>
      </c>
      <c r="BA84" s="60">
        <f ca="1">BA$5-X84</f>
        <v>4.4650590589827033</v>
      </c>
      <c r="BB84" s="60">
        <f ca="1">BB$5-Y84</f>
        <v>3.3505927273811267</v>
      </c>
      <c r="BC84" s="60">
        <f ca="1">BC$5-Z84</f>
        <v>9.4374659098821638</v>
      </c>
      <c r="BD84" s="60">
        <f ca="1">BD$5-AA84</f>
        <v>7.936518664382362</v>
      </c>
      <c r="BE84" s="60">
        <f ca="1">BE$5-AB84</f>
        <v>-2.170609408007806</v>
      </c>
      <c r="BF84" s="60">
        <f ca="1">BF$5-AC84</f>
        <v>-0.98269568352291969</v>
      </c>
      <c r="BG84" s="60">
        <f ca="1">BG$5-AD84</f>
        <v>-6.0147412949814907</v>
      </c>
      <c r="BH84" s="60">
        <f ca="1">BH$5-AE84</f>
        <v>-7.0454077696324333</v>
      </c>
      <c r="BI84" s="60">
        <f ca="1">BI$5-AF84</f>
        <v>-7.3914944887451952</v>
      </c>
      <c r="BJ84" s="60">
        <f ca="1">BJ$5-AG84</f>
        <v>1.43955105767877</v>
      </c>
      <c r="BK84" s="60" t="e">
        <f>BK$5-AH84</f>
        <v>#N/A</v>
      </c>
      <c r="BL84" s="60" t="e">
        <f>BL$5-AI84</f>
        <v>#N/A</v>
      </c>
      <c r="BM84" s="60" t="e">
        <f>BM$5-AJ84</f>
        <v>#N/A</v>
      </c>
      <c r="BN84" s="60" t="e">
        <f>BN$5-AK84</f>
        <v>#N/A</v>
      </c>
      <c r="BO84" s="60" t="e">
        <f>BO$5-AL84</f>
        <v>#N/A</v>
      </c>
      <c r="BP84" s="60" t="e">
        <f>BP$5-AM84</f>
        <v>#N/A</v>
      </c>
      <c r="BQ84" s="60" t="e">
        <f>BQ$5-AN84</f>
        <v>#N/A</v>
      </c>
      <c r="BR84" s="60" t="e">
        <f>BR$5-AO84</f>
        <v>#N/A</v>
      </c>
      <c r="BS84" s="60" t="e">
        <f>BS$5-AP84</f>
        <v>#N/A</v>
      </c>
      <c r="BT84" s="60" t="e">
        <f>BT$5-AQ84</f>
        <v>#N/A</v>
      </c>
      <c r="BV84" s="60" cm="1">
        <f t="array" aca="1" ref="BV84" ca="1">SQRT(SUMSQ(_xlfn._xlws.FILTER(AV84:BT84,ISNUMBER(AV84:BT84)))/COUNT(_xlfn._xlws.FILTER(AV84:BT84,ISNUMBER(AV84:BT84))))</f>
        <v>5.6146591607270162</v>
      </c>
    </row>
    <row r="85" spans="3:74" x14ac:dyDescent="0.2">
      <c r="C85" s="60" t="s">
        <v>190</v>
      </c>
      <c r="D85" s="60">
        <v>0</v>
      </c>
      <c r="E85" s="60">
        <v>-3</v>
      </c>
      <c r="F85" s="60">
        <v>-7</v>
      </c>
      <c r="G85" s="60">
        <v>-10</v>
      </c>
      <c r="H85" s="60">
        <v>-14</v>
      </c>
      <c r="I85" s="60">
        <v>-17</v>
      </c>
      <c r="J85" s="60">
        <v>0</v>
      </c>
      <c r="K85" s="60">
        <v>-3</v>
      </c>
      <c r="L85" s="60">
        <v>-6</v>
      </c>
      <c r="M85" s="60">
        <v>-10</v>
      </c>
      <c r="N85" s="60">
        <v>-13</v>
      </c>
      <c r="O85" s="60">
        <v>3</v>
      </c>
      <c r="P85" s="60">
        <v>0</v>
      </c>
      <c r="R85" s="61">
        <f>(ROW(R85)-ROW($C$6))</f>
        <v>79</v>
      </c>
      <c r="S85" s="60">
        <f ca="1">100+HLOOKUP(S$4,$D$7:$P$336,$R85,FALSE)-HLOOKUP(S$3,$D$7:$P$336,$R85,FALSE)</f>
        <v>96</v>
      </c>
      <c r="T85" s="60">
        <f ca="1">100+HLOOKUP(T$4,$D$7:$P$336,$R85,FALSE)-HLOOKUP(T$3,$D$7:$P$336,$R85,FALSE)</f>
        <v>97</v>
      </c>
      <c r="U85" s="60">
        <f ca="1">100+HLOOKUP(U$4,$D$7:$P$336,$R85,FALSE)-HLOOKUP(U$3,$D$7:$P$336,$R85,FALSE)</f>
        <v>97</v>
      </c>
      <c r="V85" s="60">
        <f ca="1">100+HLOOKUP(V$4,$D$7:$P$336,$R85,FALSE)-HLOOKUP(V$3,$D$7:$P$336,$R85,FALSE)</f>
        <v>96</v>
      </c>
      <c r="W85" s="60">
        <f ca="1">100+HLOOKUP(W$4,$D$7:$P$336,$R85,FALSE)-HLOOKUP(W$3,$D$7:$P$336,$R85,FALSE)</f>
        <v>97</v>
      </c>
      <c r="X85" s="60">
        <f ca="1">100+HLOOKUP(X$4,$D$7:$P$336,$R85,FALSE)-HLOOKUP(X$3,$D$7:$P$336,$R85,FALSE)</f>
        <v>96</v>
      </c>
      <c r="Y85" s="60">
        <f ca="1">100+HLOOKUP(Y$4,$D$7:$P$336,$R85,FALSE)-HLOOKUP(Y$3,$D$7:$P$336,$R85,FALSE)</f>
        <v>97</v>
      </c>
      <c r="Z85" s="60">
        <f ca="1">100+HLOOKUP(Z$4,$D$7:$P$336,$R85,FALSE)-HLOOKUP(Z$3,$D$7:$P$336,$R85,FALSE)</f>
        <v>97</v>
      </c>
      <c r="AA85" s="60">
        <f ca="1">100+HLOOKUP(AA$4,$D$7:$P$336,$R85,FALSE)-HLOOKUP(AA$3,$D$7:$P$336,$R85,FALSE)</f>
        <v>96</v>
      </c>
      <c r="AB85" s="60">
        <f ca="1">100+HLOOKUP(AB$4,$D$7:$P$336,$R85,FALSE)-HLOOKUP(AB$3,$D$7:$P$336,$R85,FALSE)</f>
        <v>97</v>
      </c>
      <c r="AC85" s="60">
        <f ca="1">100+HLOOKUP(AC$4,$D$7:$P$336,$R85,FALSE)-HLOOKUP(AC$3,$D$7:$P$336,$R85,FALSE)</f>
        <v>97</v>
      </c>
      <c r="AD85" s="60">
        <f ca="1">100+HLOOKUP(AD$4,$D$7:$P$336,$R85,FALSE)-HLOOKUP(AD$3,$D$7:$P$336,$R85,FALSE)</f>
        <v>117</v>
      </c>
      <c r="AE85" s="60">
        <f ca="1">100+HLOOKUP(AE$4,$D$7:$P$336,$R85,FALSE)-HLOOKUP(AE$3,$D$7:$P$336,$R85,FALSE)</f>
        <v>97</v>
      </c>
      <c r="AF85" s="60">
        <f ca="1">100+HLOOKUP(AF$4,$D$7:$P$336,$R85,FALSE)-HLOOKUP(AF$3,$D$7:$P$336,$R85,FALSE)</f>
        <v>96</v>
      </c>
      <c r="AG85" s="60">
        <f ca="1">100+HLOOKUP(AG$4,$D$7:$P$336,$R85,FALSE)-HLOOKUP(AG$3,$D$7:$P$336,$R85,FALSE)</f>
        <v>96</v>
      </c>
      <c r="AH85" s="60" t="e">
        <f>100+HLOOKUP(AH$4,$D$7:$P$336,$R85,FALSE)-HLOOKUP(AH$3,$D$7:$P$336,$R85,FALSE)</f>
        <v>#N/A</v>
      </c>
      <c r="AI85" s="60" t="e">
        <f>100+HLOOKUP(AI$4,$D$7:$P$336,$R85,FALSE)-HLOOKUP(AI$3,$D$7:$P$336,$R85,FALSE)</f>
        <v>#N/A</v>
      </c>
      <c r="AJ85" s="60" t="e">
        <f>100+HLOOKUP(AJ$4,$D$7:$P$336,$R85,FALSE)-HLOOKUP(AJ$3,$D$7:$P$336,$R85,FALSE)</f>
        <v>#N/A</v>
      </c>
      <c r="AK85" s="60" t="e">
        <f>100+HLOOKUP(AK$4,$D$7:$P$336,$R85,FALSE)-HLOOKUP(AK$3,$D$7:$P$336,$R85,FALSE)</f>
        <v>#N/A</v>
      </c>
      <c r="AL85" s="60" t="e">
        <f>100+HLOOKUP(AL$4,$D$7:$P$336,$R85,FALSE)-HLOOKUP(AL$3,$D$7:$P$336,$R85,FALSE)</f>
        <v>#N/A</v>
      </c>
      <c r="AM85" s="60" t="e">
        <f>100+HLOOKUP(AM$4,$D$7:$P$336,$R85,FALSE)-HLOOKUP(AM$3,$D$7:$P$336,$R85,FALSE)</f>
        <v>#N/A</v>
      </c>
      <c r="AN85" s="60" t="e">
        <f>100+HLOOKUP(AN$4,$D$7:$P$336,$R85,FALSE)-HLOOKUP(AN$3,$D$7:$P$336,$R85,FALSE)</f>
        <v>#N/A</v>
      </c>
      <c r="AO85" s="60" t="e">
        <f>100+HLOOKUP(AO$4,$D$7:$P$336,$R85,FALSE)-HLOOKUP(AO$3,$D$7:$P$336,$R85,FALSE)</f>
        <v>#N/A</v>
      </c>
      <c r="AP85" s="60" t="e">
        <f>100+HLOOKUP(AP$4,$D$7:$P$336,$R85,FALSE)-HLOOKUP(AP$3,$D$7:$P$336,$R85,FALSE)</f>
        <v>#N/A</v>
      </c>
      <c r="AQ85" s="60" t="e">
        <f>100+HLOOKUP(AQ$4,$D$7:$P$336,$R85,FALSE)-HLOOKUP(AQ$3,$D$7:$P$336,$R85,FALSE)</f>
        <v>#N/A</v>
      </c>
      <c r="AV85" s="60">
        <f ca="1">AV$5-S85</f>
        <v>7.1903994267964322</v>
      </c>
      <c r="AW85" s="60">
        <f ca="1">AW$5-T85</f>
        <v>-2.7793494702422521</v>
      </c>
      <c r="AX85" s="60">
        <f ca="1">AX$5-U85</f>
        <v>4.7759154036680513</v>
      </c>
      <c r="AY85" s="60">
        <f ca="1">AY$5-V85</f>
        <v>-2.3969855984721988</v>
      </c>
      <c r="AZ85" s="60">
        <f ca="1">AZ$5-W85</f>
        <v>0.45448217259603041</v>
      </c>
      <c r="BA85" s="60">
        <f ca="1">BA$5-X85</f>
        <v>2.4650590589827033</v>
      </c>
      <c r="BB85" s="60">
        <f ca="1">BB$5-Y85</f>
        <v>-3.6494072726188733</v>
      </c>
      <c r="BC85" s="60">
        <f ca="1">BC$5-Z85</f>
        <v>10.437465909882164</v>
      </c>
      <c r="BD85" s="60">
        <f ca="1">BD$5-AA85</f>
        <v>1.936518664382362</v>
      </c>
      <c r="BE85" s="60">
        <f ca="1">BE$5-AB85</f>
        <v>-5.170609408007806</v>
      </c>
      <c r="BF85" s="60">
        <f ca="1">BF$5-AC85</f>
        <v>4.0173043164770803</v>
      </c>
      <c r="BG85" s="60">
        <f ca="1">BG$5-AD85</f>
        <v>-13.014741294981491</v>
      </c>
      <c r="BH85" s="60">
        <f ca="1">BH$5-AE85</f>
        <v>1.9545922303675667</v>
      </c>
      <c r="BI85" s="60">
        <f ca="1">BI$5-AF85</f>
        <v>-5.3914944887451952</v>
      </c>
      <c r="BJ85" s="60">
        <f ca="1">BJ$5-AG85</f>
        <v>-4.56044894232123</v>
      </c>
      <c r="BK85" s="60" t="e">
        <f>BK$5-AH85</f>
        <v>#N/A</v>
      </c>
      <c r="BL85" s="60" t="e">
        <f>BL$5-AI85</f>
        <v>#N/A</v>
      </c>
      <c r="BM85" s="60" t="e">
        <f>BM$5-AJ85</f>
        <v>#N/A</v>
      </c>
      <c r="BN85" s="60" t="e">
        <f>BN$5-AK85</f>
        <v>#N/A</v>
      </c>
      <c r="BO85" s="60" t="e">
        <f>BO$5-AL85</f>
        <v>#N/A</v>
      </c>
      <c r="BP85" s="60" t="e">
        <f>BP$5-AM85</f>
        <v>#N/A</v>
      </c>
      <c r="BQ85" s="60" t="e">
        <f>BQ$5-AN85</f>
        <v>#N/A</v>
      </c>
      <c r="BR85" s="60" t="e">
        <f>BR$5-AO85</f>
        <v>#N/A</v>
      </c>
      <c r="BS85" s="60" t="e">
        <f>BS$5-AP85</f>
        <v>#N/A</v>
      </c>
      <c r="BT85" s="60" t="e">
        <f>BT$5-AQ85</f>
        <v>#N/A</v>
      </c>
      <c r="BV85" s="60" cm="1">
        <f t="array" aca="1" ref="BV85" ca="1">SQRT(SUMSQ(_xlfn._xlws.FILTER(AV85:BT85,ISNUMBER(AV85:BT85)))/COUNT(_xlfn._xlws.FILTER(AV85:BT85,ISNUMBER(AV85:BT85))))</f>
        <v>5.6933724210209373</v>
      </c>
    </row>
    <row r="86" spans="3:74" x14ac:dyDescent="0.2">
      <c r="C86" s="60" t="s">
        <v>227</v>
      </c>
      <c r="D86" s="60">
        <v>0</v>
      </c>
      <c r="E86" s="60">
        <v>-1</v>
      </c>
      <c r="F86" s="60">
        <v>-3</v>
      </c>
      <c r="G86" s="60">
        <v>-5</v>
      </c>
      <c r="H86" s="60">
        <v>-7</v>
      </c>
      <c r="I86" s="60">
        <v>-8</v>
      </c>
      <c r="J86" s="60">
        <v>-9</v>
      </c>
      <c r="K86" s="60">
        <v>-7</v>
      </c>
      <c r="L86" s="60">
        <v>-5</v>
      </c>
      <c r="M86" s="60">
        <v>-3</v>
      </c>
      <c r="N86" s="60">
        <v>-1</v>
      </c>
      <c r="O86" s="60">
        <v>1</v>
      </c>
      <c r="P86" s="60">
        <v>0</v>
      </c>
      <c r="R86" s="61">
        <f>(ROW(R86)-ROW($C$6))</f>
        <v>80</v>
      </c>
      <c r="S86" s="60">
        <f ca="1">100+HLOOKUP(S$4,$D$7:$P$336,$R86,FALSE)-HLOOKUP(S$3,$D$7:$P$336,$R86,FALSE)</f>
        <v>96</v>
      </c>
      <c r="T86" s="60">
        <f ca="1">100+HLOOKUP(T$4,$D$7:$P$336,$R86,FALSE)-HLOOKUP(T$3,$D$7:$P$336,$R86,FALSE)</f>
        <v>90</v>
      </c>
      <c r="U86" s="60">
        <f ca="1">100+HLOOKUP(U$4,$D$7:$P$336,$R86,FALSE)-HLOOKUP(U$3,$D$7:$P$336,$R86,FALSE)</f>
        <v>96</v>
      </c>
      <c r="V86" s="60">
        <f ca="1">100+HLOOKUP(V$4,$D$7:$P$336,$R86,FALSE)-HLOOKUP(V$3,$D$7:$P$336,$R86,FALSE)</f>
        <v>93</v>
      </c>
      <c r="W86" s="60">
        <f ca="1">100+HLOOKUP(W$4,$D$7:$P$336,$R86,FALSE)-HLOOKUP(W$3,$D$7:$P$336,$R86,FALSE)</f>
        <v>93</v>
      </c>
      <c r="X86" s="60">
        <f ca="1">100+HLOOKUP(X$4,$D$7:$P$336,$R86,FALSE)-HLOOKUP(X$3,$D$7:$P$336,$R86,FALSE)</f>
        <v>96</v>
      </c>
      <c r="Y86" s="60">
        <f ca="1">100+HLOOKUP(Y$4,$D$7:$P$336,$R86,FALSE)-HLOOKUP(Y$3,$D$7:$P$336,$R86,FALSE)</f>
        <v>90</v>
      </c>
      <c r="Z86" s="60">
        <f ca="1">100+HLOOKUP(Z$4,$D$7:$P$336,$R86,FALSE)-HLOOKUP(Z$3,$D$7:$P$336,$R86,FALSE)</f>
        <v>96</v>
      </c>
      <c r="AA86" s="60">
        <f ca="1">100+HLOOKUP(AA$4,$D$7:$P$336,$R86,FALSE)-HLOOKUP(AA$3,$D$7:$P$336,$R86,FALSE)</f>
        <v>93</v>
      </c>
      <c r="AB86" s="60">
        <f ca="1">100+HLOOKUP(AB$4,$D$7:$P$336,$R86,FALSE)-HLOOKUP(AB$3,$D$7:$P$336,$R86,FALSE)</f>
        <v>93</v>
      </c>
      <c r="AC86" s="60">
        <f ca="1">100+HLOOKUP(AC$4,$D$7:$P$336,$R86,FALSE)-HLOOKUP(AC$3,$D$7:$P$336,$R86,FALSE)</f>
        <v>100</v>
      </c>
      <c r="AD86" s="60">
        <f ca="1">100+HLOOKUP(AD$4,$D$7:$P$336,$R86,FALSE)-HLOOKUP(AD$3,$D$7:$P$336,$R86,FALSE)</f>
        <v>108</v>
      </c>
      <c r="AE86" s="60">
        <f ca="1">100+HLOOKUP(AE$4,$D$7:$P$336,$R86,FALSE)-HLOOKUP(AE$3,$D$7:$P$336,$R86,FALSE)</f>
        <v>108</v>
      </c>
      <c r="AF86" s="60">
        <f ca="1">100+HLOOKUP(AF$4,$D$7:$P$336,$R86,FALSE)-HLOOKUP(AF$3,$D$7:$P$336,$R86,FALSE)</f>
        <v>100</v>
      </c>
      <c r="AG86" s="60">
        <f ca="1">100+HLOOKUP(AG$4,$D$7:$P$336,$R86,FALSE)-HLOOKUP(AG$3,$D$7:$P$336,$R86,FALSE)</f>
        <v>93</v>
      </c>
      <c r="AH86" s="60" t="e">
        <f>100+HLOOKUP(AH$4,$D$7:$P$336,$R86,FALSE)-HLOOKUP(AH$3,$D$7:$P$336,$R86,FALSE)</f>
        <v>#N/A</v>
      </c>
      <c r="AI86" s="60" t="e">
        <f>100+HLOOKUP(AI$4,$D$7:$P$336,$R86,FALSE)-HLOOKUP(AI$3,$D$7:$P$336,$R86,FALSE)</f>
        <v>#N/A</v>
      </c>
      <c r="AJ86" s="60" t="e">
        <f>100+HLOOKUP(AJ$4,$D$7:$P$336,$R86,FALSE)-HLOOKUP(AJ$3,$D$7:$P$336,$R86,FALSE)</f>
        <v>#N/A</v>
      </c>
      <c r="AK86" s="60" t="e">
        <f>100+HLOOKUP(AK$4,$D$7:$P$336,$R86,FALSE)-HLOOKUP(AK$3,$D$7:$P$336,$R86,FALSE)</f>
        <v>#N/A</v>
      </c>
      <c r="AL86" s="60" t="e">
        <f>100+HLOOKUP(AL$4,$D$7:$P$336,$R86,FALSE)-HLOOKUP(AL$3,$D$7:$P$336,$R86,FALSE)</f>
        <v>#N/A</v>
      </c>
      <c r="AM86" s="60" t="e">
        <f>100+HLOOKUP(AM$4,$D$7:$P$336,$R86,FALSE)-HLOOKUP(AM$3,$D$7:$P$336,$R86,FALSE)</f>
        <v>#N/A</v>
      </c>
      <c r="AN86" s="60" t="e">
        <f>100+HLOOKUP(AN$4,$D$7:$P$336,$R86,FALSE)-HLOOKUP(AN$3,$D$7:$P$336,$R86,FALSE)</f>
        <v>#N/A</v>
      </c>
      <c r="AO86" s="60" t="e">
        <f>100+HLOOKUP(AO$4,$D$7:$P$336,$R86,FALSE)-HLOOKUP(AO$3,$D$7:$P$336,$R86,FALSE)</f>
        <v>#N/A</v>
      </c>
      <c r="AP86" s="60" t="e">
        <f>100+HLOOKUP(AP$4,$D$7:$P$336,$R86,FALSE)-HLOOKUP(AP$3,$D$7:$P$336,$R86,FALSE)</f>
        <v>#N/A</v>
      </c>
      <c r="AQ86" s="60" t="e">
        <f>100+HLOOKUP(AQ$4,$D$7:$P$336,$R86,FALSE)-HLOOKUP(AQ$3,$D$7:$P$336,$R86,FALSE)</f>
        <v>#N/A</v>
      </c>
      <c r="AV86" s="60">
        <f ca="1">AV$5-S86</f>
        <v>7.1903994267964322</v>
      </c>
      <c r="AW86" s="60">
        <f ca="1">AW$5-T86</f>
        <v>4.2206505297577479</v>
      </c>
      <c r="AX86" s="60">
        <f ca="1">AX$5-U86</f>
        <v>5.7759154036680513</v>
      </c>
      <c r="AY86" s="60">
        <f ca="1">AY$5-V86</f>
        <v>0.60301440152780117</v>
      </c>
      <c r="AZ86" s="60">
        <f ca="1">AZ$5-W86</f>
        <v>4.4544821725960304</v>
      </c>
      <c r="BA86" s="60">
        <f ca="1">BA$5-X86</f>
        <v>2.4650590589827033</v>
      </c>
      <c r="BB86" s="60">
        <f ca="1">BB$5-Y86</f>
        <v>3.3505927273811267</v>
      </c>
      <c r="BC86" s="60">
        <f ca="1">BC$5-Z86</f>
        <v>11.437465909882164</v>
      </c>
      <c r="BD86" s="60">
        <f ca="1">BD$5-AA86</f>
        <v>4.936518664382362</v>
      </c>
      <c r="BE86" s="60">
        <f ca="1">BE$5-AB86</f>
        <v>-1.170609408007806</v>
      </c>
      <c r="BF86" s="60">
        <f ca="1">BF$5-AC86</f>
        <v>1.0173043164770803</v>
      </c>
      <c r="BG86" s="60">
        <f ca="1">BG$5-AD86</f>
        <v>-4.0147412949814907</v>
      </c>
      <c r="BH86" s="60">
        <f ca="1">BH$5-AE86</f>
        <v>-9.0454077696324333</v>
      </c>
      <c r="BI86" s="60">
        <f ca="1">BI$5-AF86</f>
        <v>-9.3914944887451952</v>
      </c>
      <c r="BJ86" s="60">
        <f ca="1">BJ$5-AG86</f>
        <v>-1.56044894232123</v>
      </c>
      <c r="BK86" s="60" t="e">
        <f>BK$5-AH86</f>
        <v>#N/A</v>
      </c>
      <c r="BL86" s="60" t="e">
        <f>BL$5-AI86</f>
        <v>#N/A</v>
      </c>
      <c r="BM86" s="60" t="e">
        <f>BM$5-AJ86</f>
        <v>#N/A</v>
      </c>
      <c r="BN86" s="60" t="e">
        <f>BN$5-AK86</f>
        <v>#N/A</v>
      </c>
      <c r="BO86" s="60" t="e">
        <f>BO$5-AL86</f>
        <v>#N/A</v>
      </c>
      <c r="BP86" s="60" t="e">
        <f>BP$5-AM86</f>
        <v>#N/A</v>
      </c>
      <c r="BQ86" s="60" t="e">
        <f>BQ$5-AN86</f>
        <v>#N/A</v>
      </c>
      <c r="BR86" s="60" t="e">
        <f>BR$5-AO86</f>
        <v>#N/A</v>
      </c>
      <c r="BS86" s="60" t="e">
        <f>BS$5-AP86</f>
        <v>#N/A</v>
      </c>
      <c r="BT86" s="60" t="e">
        <f>BT$5-AQ86</f>
        <v>#N/A</v>
      </c>
      <c r="BV86" s="60" cm="1">
        <f t="array" aca="1" ref="BV86" ca="1">SQRT(SUMSQ(_xlfn._xlws.FILTER(AV86:BT86,ISNUMBER(AV86:BT86)))/COUNT(_xlfn._xlws.FILTER(AV86:BT86,ISNUMBER(AV86:BT86))))</f>
        <v>5.6953124326663422</v>
      </c>
    </row>
    <row r="87" spans="3:74" x14ac:dyDescent="0.2">
      <c r="C87" s="60" t="s">
        <v>275</v>
      </c>
      <c r="D87" s="60">
        <v>0</v>
      </c>
      <c r="E87" s="60">
        <v>-4</v>
      </c>
      <c r="F87" s="60">
        <v>-6</v>
      </c>
      <c r="G87" s="60">
        <v>-8</v>
      </c>
      <c r="H87" s="60">
        <v>0</v>
      </c>
      <c r="I87" s="60">
        <v>-2</v>
      </c>
      <c r="J87" s="60">
        <v>-4</v>
      </c>
      <c r="K87" s="60">
        <v>-6</v>
      </c>
      <c r="L87" s="60">
        <v>0</v>
      </c>
      <c r="M87" s="60">
        <v>-2</v>
      </c>
      <c r="N87" s="60">
        <v>-4</v>
      </c>
      <c r="O87" s="60">
        <v>-6</v>
      </c>
      <c r="P87" s="60">
        <v>0</v>
      </c>
      <c r="R87" s="61">
        <f>(ROW(R87)-ROW($C$6))</f>
        <v>81</v>
      </c>
      <c r="S87" s="60">
        <f ca="1">100+HLOOKUP(S$4,$D$7:$P$336,$R87,FALSE)-HLOOKUP(S$3,$D$7:$P$336,$R87,FALSE)</f>
        <v>102</v>
      </c>
      <c r="T87" s="60">
        <f ca="1">100+HLOOKUP(T$4,$D$7:$P$336,$R87,FALSE)-HLOOKUP(T$3,$D$7:$P$336,$R87,FALSE)</f>
        <v>102</v>
      </c>
      <c r="U87" s="60">
        <f ca="1">100+HLOOKUP(U$4,$D$7:$P$336,$R87,FALSE)-HLOOKUP(U$3,$D$7:$P$336,$R87,FALSE)</f>
        <v>104</v>
      </c>
      <c r="V87" s="60">
        <f ca="1">100+HLOOKUP(V$4,$D$7:$P$336,$R87,FALSE)-HLOOKUP(V$3,$D$7:$P$336,$R87,FALSE)</f>
        <v>102</v>
      </c>
      <c r="W87" s="60">
        <f ca="1">100+HLOOKUP(W$4,$D$7:$P$336,$R87,FALSE)-HLOOKUP(W$3,$D$7:$P$336,$R87,FALSE)</f>
        <v>94</v>
      </c>
      <c r="X87" s="60">
        <f ca="1">100+HLOOKUP(X$4,$D$7:$P$336,$R87,FALSE)-HLOOKUP(X$3,$D$7:$P$336,$R87,FALSE)</f>
        <v>102</v>
      </c>
      <c r="Y87" s="60">
        <f ca="1">100+HLOOKUP(Y$4,$D$7:$P$336,$R87,FALSE)-HLOOKUP(Y$3,$D$7:$P$336,$R87,FALSE)</f>
        <v>102</v>
      </c>
      <c r="Z87" s="60">
        <f ca="1">100+HLOOKUP(Z$4,$D$7:$P$336,$R87,FALSE)-HLOOKUP(Z$3,$D$7:$P$336,$R87,FALSE)</f>
        <v>104</v>
      </c>
      <c r="AA87" s="60">
        <f ca="1">100+HLOOKUP(AA$4,$D$7:$P$336,$R87,FALSE)-HLOOKUP(AA$3,$D$7:$P$336,$R87,FALSE)</f>
        <v>102</v>
      </c>
      <c r="AB87" s="60">
        <f ca="1">100+HLOOKUP(AB$4,$D$7:$P$336,$R87,FALSE)-HLOOKUP(AB$3,$D$7:$P$336,$R87,FALSE)</f>
        <v>94</v>
      </c>
      <c r="AC87" s="60">
        <f ca="1">100+HLOOKUP(AC$4,$D$7:$P$336,$R87,FALSE)-HLOOKUP(AC$3,$D$7:$P$336,$R87,FALSE)</f>
        <v>104</v>
      </c>
      <c r="AD87" s="60">
        <f ca="1">100+HLOOKUP(AD$4,$D$7:$P$336,$R87,FALSE)-HLOOKUP(AD$3,$D$7:$P$336,$R87,FALSE)</f>
        <v>94</v>
      </c>
      <c r="AE87" s="60">
        <f ca="1">100+HLOOKUP(AE$4,$D$7:$P$336,$R87,FALSE)-HLOOKUP(AE$3,$D$7:$P$336,$R87,FALSE)</f>
        <v>100</v>
      </c>
      <c r="AF87" s="60">
        <f ca="1">100+HLOOKUP(AF$4,$D$7:$P$336,$R87,FALSE)-HLOOKUP(AF$3,$D$7:$P$336,$R87,FALSE)</f>
        <v>92</v>
      </c>
      <c r="AG87" s="60">
        <f ca="1">100+HLOOKUP(AG$4,$D$7:$P$336,$R87,FALSE)-HLOOKUP(AG$3,$D$7:$P$336,$R87,FALSE)</f>
        <v>102</v>
      </c>
      <c r="AH87" s="60" t="e">
        <f>100+HLOOKUP(AH$4,$D$7:$P$336,$R87,FALSE)-HLOOKUP(AH$3,$D$7:$P$336,$R87,FALSE)</f>
        <v>#N/A</v>
      </c>
      <c r="AI87" s="60" t="e">
        <f>100+HLOOKUP(AI$4,$D$7:$P$336,$R87,FALSE)-HLOOKUP(AI$3,$D$7:$P$336,$R87,FALSE)</f>
        <v>#N/A</v>
      </c>
      <c r="AJ87" s="60" t="e">
        <f>100+HLOOKUP(AJ$4,$D$7:$P$336,$R87,FALSE)-HLOOKUP(AJ$3,$D$7:$P$336,$R87,FALSE)</f>
        <v>#N/A</v>
      </c>
      <c r="AK87" s="60" t="e">
        <f>100+HLOOKUP(AK$4,$D$7:$P$336,$R87,FALSE)-HLOOKUP(AK$3,$D$7:$P$336,$R87,FALSE)</f>
        <v>#N/A</v>
      </c>
      <c r="AL87" s="60" t="e">
        <f>100+HLOOKUP(AL$4,$D$7:$P$336,$R87,FALSE)-HLOOKUP(AL$3,$D$7:$P$336,$R87,FALSE)</f>
        <v>#N/A</v>
      </c>
      <c r="AM87" s="60" t="e">
        <f>100+HLOOKUP(AM$4,$D$7:$P$336,$R87,FALSE)-HLOOKUP(AM$3,$D$7:$P$336,$R87,FALSE)</f>
        <v>#N/A</v>
      </c>
      <c r="AN87" s="60" t="e">
        <f>100+HLOOKUP(AN$4,$D$7:$P$336,$R87,FALSE)-HLOOKUP(AN$3,$D$7:$P$336,$R87,FALSE)</f>
        <v>#N/A</v>
      </c>
      <c r="AO87" s="60" t="e">
        <f>100+HLOOKUP(AO$4,$D$7:$P$336,$R87,FALSE)-HLOOKUP(AO$3,$D$7:$P$336,$R87,FALSE)</f>
        <v>#N/A</v>
      </c>
      <c r="AP87" s="60" t="e">
        <f>100+HLOOKUP(AP$4,$D$7:$P$336,$R87,FALSE)-HLOOKUP(AP$3,$D$7:$P$336,$R87,FALSE)</f>
        <v>#N/A</v>
      </c>
      <c r="AQ87" s="60" t="e">
        <f>100+HLOOKUP(AQ$4,$D$7:$P$336,$R87,FALSE)-HLOOKUP(AQ$3,$D$7:$P$336,$R87,FALSE)</f>
        <v>#N/A</v>
      </c>
      <c r="AV87" s="60">
        <f ca="1">AV$5-S87</f>
        <v>1.1903994267964322</v>
      </c>
      <c r="AW87" s="60">
        <f ca="1">AW$5-T87</f>
        <v>-7.7793494702422521</v>
      </c>
      <c r="AX87" s="60">
        <f ca="1">AX$5-U87</f>
        <v>-2.2240845963319487</v>
      </c>
      <c r="AY87" s="60">
        <f ca="1">AY$5-V87</f>
        <v>-8.3969855984721988</v>
      </c>
      <c r="AZ87" s="60">
        <f ca="1">AZ$5-W87</f>
        <v>3.4544821725960304</v>
      </c>
      <c r="BA87" s="60">
        <f ca="1">BA$5-X87</f>
        <v>-3.5349409410172967</v>
      </c>
      <c r="BB87" s="60">
        <f ca="1">BB$5-Y87</f>
        <v>-8.6494072726188733</v>
      </c>
      <c r="BC87" s="60">
        <f ca="1">BC$5-Z87</f>
        <v>3.4374659098821638</v>
      </c>
      <c r="BD87" s="60">
        <f ca="1">BD$5-AA87</f>
        <v>-4.063481335617638</v>
      </c>
      <c r="BE87" s="60">
        <f ca="1">BE$5-AB87</f>
        <v>-2.170609408007806</v>
      </c>
      <c r="BF87" s="60">
        <f ca="1">BF$5-AC87</f>
        <v>-2.9826956835229197</v>
      </c>
      <c r="BG87" s="60">
        <f ca="1">BG$5-AD87</f>
        <v>9.9852587050185093</v>
      </c>
      <c r="BH87" s="60">
        <f ca="1">BH$5-AE87</f>
        <v>-1.0454077696324333</v>
      </c>
      <c r="BI87" s="60">
        <f ca="1">BI$5-AF87</f>
        <v>-1.3914944887451952</v>
      </c>
      <c r="BJ87" s="60">
        <f ca="1">BJ$5-AG87</f>
        <v>-10.56044894232123</v>
      </c>
      <c r="BK87" s="60" t="e">
        <f>BK$5-AH87</f>
        <v>#N/A</v>
      </c>
      <c r="BL87" s="60" t="e">
        <f>BL$5-AI87</f>
        <v>#N/A</v>
      </c>
      <c r="BM87" s="60" t="e">
        <f>BM$5-AJ87</f>
        <v>#N/A</v>
      </c>
      <c r="BN87" s="60" t="e">
        <f>BN$5-AK87</f>
        <v>#N/A</v>
      </c>
      <c r="BO87" s="60" t="e">
        <f>BO$5-AL87</f>
        <v>#N/A</v>
      </c>
      <c r="BP87" s="60" t="e">
        <f>BP$5-AM87</f>
        <v>#N/A</v>
      </c>
      <c r="BQ87" s="60" t="e">
        <f>BQ$5-AN87</f>
        <v>#N/A</v>
      </c>
      <c r="BR87" s="60" t="e">
        <f>BR$5-AO87</f>
        <v>#N/A</v>
      </c>
      <c r="BS87" s="60" t="e">
        <f>BS$5-AP87</f>
        <v>#N/A</v>
      </c>
      <c r="BT87" s="60" t="e">
        <f>BT$5-AQ87</f>
        <v>#N/A</v>
      </c>
      <c r="BV87" s="60" cm="1">
        <f t="array" aca="1" ref="BV87" ca="1">SQRT(SUMSQ(_xlfn._xlws.FILTER(AV87:BT87,ISNUMBER(AV87:BT87)))/COUNT(_xlfn._xlws.FILTER(AV87:BT87,ISNUMBER(AV87:BT87))))</f>
        <v>5.7319364260759986</v>
      </c>
    </row>
    <row r="88" spans="3:74" x14ac:dyDescent="0.2">
      <c r="C88" s="60" t="s">
        <v>520</v>
      </c>
      <c r="D88" s="60">
        <v>0</v>
      </c>
      <c r="E88" s="60">
        <v>-2</v>
      </c>
      <c r="F88" s="60">
        <v>-5</v>
      </c>
      <c r="G88" s="60">
        <v>-7</v>
      </c>
      <c r="H88" s="60">
        <v>-10</v>
      </c>
      <c r="I88" s="60">
        <v>-8</v>
      </c>
      <c r="J88" s="60">
        <v>-10</v>
      </c>
      <c r="K88" s="60">
        <v>-8</v>
      </c>
      <c r="L88" s="60">
        <v>-6</v>
      </c>
      <c r="M88" s="60">
        <v>-4</v>
      </c>
      <c r="N88" s="60">
        <v>-4</v>
      </c>
      <c r="O88" s="60">
        <v>-2</v>
      </c>
      <c r="P88" s="60">
        <v>0</v>
      </c>
      <c r="R88" s="61">
        <f>(ROW(R88)-ROW($C$6))</f>
        <v>82</v>
      </c>
      <c r="S88" s="60">
        <f ca="1">100+HLOOKUP(S$4,$D$7:$P$336,$R88,FALSE)-HLOOKUP(S$3,$D$7:$P$336,$R88,FALSE)</f>
        <v>94</v>
      </c>
      <c r="T88" s="60">
        <f ca="1">100+HLOOKUP(T$4,$D$7:$P$336,$R88,FALSE)-HLOOKUP(T$3,$D$7:$P$336,$R88,FALSE)</f>
        <v>92</v>
      </c>
      <c r="U88" s="60">
        <f ca="1">100+HLOOKUP(U$4,$D$7:$P$336,$R88,FALSE)-HLOOKUP(U$3,$D$7:$P$336,$R88,FALSE)</f>
        <v>96</v>
      </c>
      <c r="V88" s="60">
        <f ca="1">100+HLOOKUP(V$4,$D$7:$P$336,$R88,FALSE)-HLOOKUP(V$3,$D$7:$P$336,$R88,FALSE)</f>
        <v>96</v>
      </c>
      <c r="W88" s="60">
        <f ca="1">100+HLOOKUP(W$4,$D$7:$P$336,$R88,FALSE)-HLOOKUP(W$3,$D$7:$P$336,$R88,FALSE)</f>
        <v>92</v>
      </c>
      <c r="X88" s="60">
        <f ca="1">100+HLOOKUP(X$4,$D$7:$P$336,$R88,FALSE)-HLOOKUP(X$3,$D$7:$P$336,$R88,FALSE)</f>
        <v>94</v>
      </c>
      <c r="Y88" s="60">
        <f ca="1">100+HLOOKUP(Y$4,$D$7:$P$336,$R88,FALSE)-HLOOKUP(Y$3,$D$7:$P$336,$R88,FALSE)</f>
        <v>92</v>
      </c>
      <c r="Z88" s="60">
        <f ca="1">100+HLOOKUP(Z$4,$D$7:$P$336,$R88,FALSE)-HLOOKUP(Z$3,$D$7:$P$336,$R88,FALSE)</f>
        <v>96</v>
      </c>
      <c r="AA88" s="60">
        <f ca="1">100+HLOOKUP(AA$4,$D$7:$P$336,$R88,FALSE)-HLOOKUP(AA$3,$D$7:$P$336,$R88,FALSE)</f>
        <v>96</v>
      </c>
      <c r="AB88" s="60">
        <f ca="1">100+HLOOKUP(AB$4,$D$7:$P$336,$R88,FALSE)-HLOOKUP(AB$3,$D$7:$P$336,$R88,FALSE)</f>
        <v>92</v>
      </c>
      <c r="AC88" s="60">
        <f ca="1">100+HLOOKUP(AC$4,$D$7:$P$336,$R88,FALSE)-HLOOKUP(AC$3,$D$7:$P$336,$R88,FALSE)</f>
        <v>101</v>
      </c>
      <c r="AD88" s="60">
        <f ca="1">100+HLOOKUP(AD$4,$D$7:$P$336,$R88,FALSE)-HLOOKUP(AD$3,$D$7:$P$336,$R88,FALSE)</f>
        <v>108</v>
      </c>
      <c r="AE88" s="60">
        <f ca="1">100+HLOOKUP(AE$4,$D$7:$P$336,$R88,FALSE)-HLOOKUP(AE$3,$D$7:$P$336,$R88,FALSE)</f>
        <v>108</v>
      </c>
      <c r="AF88" s="60">
        <f ca="1">100+HLOOKUP(AF$4,$D$7:$P$336,$R88,FALSE)-HLOOKUP(AF$3,$D$7:$P$336,$R88,FALSE)</f>
        <v>99</v>
      </c>
      <c r="AG88" s="60">
        <f ca="1">100+HLOOKUP(AG$4,$D$7:$P$336,$R88,FALSE)-HLOOKUP(AG$3,$D$7:$P$336,$R88,FALSE)</f>
        <v>96</v>
      </c>
      <c r="AH88" s="60" t="e">
        <f>100+HLOOKUP(AH$4,$D$7:$P$336,$R88,FALSE)-HLOOKUP(AH$3,$D$7:$P$336,$R88,FALSE)</f>
        <v>#N/A</v>
      </c>
      <c r="AI88" s="60" t="e">
        <f>100+HLOOKUP(AI$4,$D$7:$P$336,$R88,FALSE)-HLOOKUP(AI$3,$D$7:$P$336,$R88,FALSE)</f>
        <v>#N/A</v>
      </c>
      <c r="AJ88" s="60" t="e">
        <f>100+HLOOKUP(AJ$4,$D$7:$P$336,$R88,FALSE)-HLOOKUP(AJ$3,$D$7:$P$336,$R88,FALSE)</f>
        <v>#N/A</v>
      </c>
      <c r="AK88" s="60" t="e">
        <f>100+HLOOKUP(AK$4,$D$7:$P$336,$R88,FALSE)-HLOOKUP(AK$3,$D$7:$P$336,$R88,FALSE)</f>
        <v>#N/A</v>
      </c>
      <c r="AL88" s="60" t="e">
        <f>100+HLOOKUP(AL$4,$D$7:$P$336,$R88,FALSE)-HLOOKUP(AL$3,$D$7:$P$336,$R88,FALSE)</f>
        <v>#N/A</v>
      </c>
      <c r="AM88" s="60" t="e">
        <f>100+HLOOKUP(AM$4,$D$7:$P$336,$R88,FALSE)-HLOOKUP(AM$3,$D$7:$P$336,$R88,FALSE)</f>
        <v>#N/A</v>
      </c>
      <c r="AN88" s="60" t="e">
        <f>100+HLOOKUP(AN$4,$D$7:$P$336,$R88,FALSE)-HLOOKUP(AN$3,$D$7:$P$336,$R88,FALSE)</f>
        <v>#N/A</v>
      </c>
      <c r="AO88" s="60" t="e">
        <f>100+HLOOKUP(AO$4,$D$7:$P$336,$R88,FALSE)-HLOOKUP(AO$3,$D$7:$P$336,$R88,FALSE)</f>
        <v>#N/A</v>
      </c>
      <c r="AP88" s="60" t="e">
        <f>100+HLOOKUP(AP$4,$D$7:$P$336,$R88,FALSE)-HLOOKUP(AP$3,$D$7:$P$336,$R88,FALSE)</f>
        <v>#N/A</v>
      </c>
      <c r="AQ88" s="60" t="e">
        <f>100+HLOOKUP(AQ$4,$D$7:$P$336,$R88,FALSE)-HLOOKUP(AQ$3,$D$7:$P$336,$R88,FALSE)</f>
        <v>#N/A</v>
      </c>
      <c r="AV88" s="60">
        <f ca="1">AV$5-S88</f>
        <v>9.1903994267964322</v>
      </c>
      <c r="AW88" s="60">
        <f ca="1">AW$5-T88</f>
        <v>2.2206505297577479</v>
      </c>
      <c r="AX88" s="60">
        <f ca="1">AX$5-U88</f>
        <v>5.7759154036680513</v>
      </c>
      <c r="AY88" s="60">
        <f ca="1">AY$5-V88</f>
        <v>-2.3969855984721988</v>
      </c>
      <c r="AZ88" s="60">
        <f ca="1">AZ$5-W88</f>
        <v>5.4544821725960304</v>
      </c>
      <c r="BA88" s="60">
        <f ca="1">BA$5-X88</f>
        <v>4.4650590589827033</v>
      </c>
      <c r="BB88" s="60">
        <f ca="1">BB$5-Y88</f>
        <v>1.3505927273811267</v>
      </c>
      <c r="BC88" s="60">
        <f ca="1">BC$5-Z88</f>
        <v>11.437465909882164</v>
      </c>
      <c r="BD88" s="60">
        <f ca="1">BD$5-AA88</f>
        <v>1.936518664382362</v>
      </c>
      <c r="BE88" s="60">
        <f ca="1">BE$5-AB88</f>
        <v>-0.170609408007806</v>
      </c>
      <c r="BF88" s="60">
        <f ca="1">BF$5-AC88</f>
        <v>1.7304316477080306E-2</v>
      </c>
      <c r="BG88" s="60">
        <f ca="1">BG$5-AD88</f>
        <v>-4.0147412949814907</v>
      </c>
      <c r="BH88" s="60">
        <f ca="1">BH$5-AE88</f>
        <v>-9.0454077696324333</v>
      </c>
      <c r="BI88" s="60">
        <f ca="1">BI$5-AF88</f>
        <v>-8.3914944887451952</v>
      </c>
      <c r="BJ88" s="60">
        <f ca="1">BJ$5-AG88</f>
        <v>-4.56044894232123</v>
      </c>
      <c r="BK88" s="60" t="e">
        <f>BK$5-AH88</f>
        <v>#N/A</v>
      </c>
      <c r="BL88" s="60" t="e">
        <f>BL$5-AI88</f>
        <v>#N/A</v>
      </c>
      <c r="BM88" s="60" t="e">
        <f>BM$5-AJ88</f>
        <v>#N/A</v>
      </c>
      <c r="BN88" s="60" t="e">
        <f>BN$5-AK88</f>
        <v>#N/A</v>
      </c>
      <c r="BO88" s="60" t="e">
        <f>BO$5-AL88</f>
        <v>#N/A</v>
      </c>
      <c r="BP88" s="60" t="e">
        <f>BP$5-AM88</f>
        <v>#N/A</v>
      </c>
      <c r="BQ88" s="60" t="e">
        <f>BQ$5-AN88</f>
        <v>#N/A</v>
      </c>
      <c r="BR88" s="60" t="e">
        <f>BR$5-AO88</f>
        <v>#N/A</v>
      </c>
      <c r="BS88" s="60" t="e">
        <f>BS$5-AP88</f>
        <v>#N/A</v>
      </c>
      <c r="BT88" s="60" t="e">
        <f>BT$5-AQ88</f>
        <v>#N/A</v>
      </c>
      <c r="BV88" s="60" cm="1">
        <f t="array" aca="1" ref="BV88" ca="1">SQRT(SUMSQ(_xlfn._xlws.FILTER(AV88:BT88,ISNUMBER(AV88:BT88)))/COUNT(_xlfn._xlws.FILTER(AV88:BT88,ISNUMBER(AV88:BT88))))</f>
        <v>5.7951776485684858</v>
      </c>
    </row>
    <row r="89" spans="3:74" x14ac:dyDescent="0.2">
      <c r="C89" s="60" t="s">
        <v>458</v>
      </c>
      <c r="D89" s="60">
        <v>0</v>
      </c>
      <c r="E89" s="60">
        <v>-2</v>
      </c>
      <c r="F89" s="60">
        <v>-5</v>
      </c>
      <c r="G89" s="60">
        <v>-7</v>
      </c>
      <c r="H89" s="60">
        <v>-10</v>
      </c>
      <c r="I89" s="60">
        <v>-8</v>
      </c>
      <c r="J89" s="60">
        <v>-10</v>
      </c>
      <c r="K89" s="60">
        <v>-8</v>
      </c>
      <c r="L89" s="60">
        <v>-6</v>
      </c>
      <c r="M89" s="60">
        <v>-4</v>
      </c>
      <c r="N89" s="60">
        <v>-4</v>
      </c>
      <c r="O89" s="60">
        <v>-2</v>
      </c>
      <c r="P89" s="60">
        <v>0</v>
      </c>
      <c r="R89" s="61">
        <f>(ROW(R89)-ROW($C$6))</f>
        <v>83</v>
      </c>
      <c r="S89" s="60">
        <f ca="1">100+HLOOKUP(S$4,$D$7:$P$336,$R89,FALSE)-HLOOKUP(S$3,$D$7:$P$336,$R89,FALSE)</f>
        <v>94</v>
      </c>
      <c r="T89" s="60">
        <f ca="1">100+HLOOKUP(T$4,$D$7:$P$336,$R89,FALSE)-HLOOKUP(T$3,$D$7:$P$336,$R89,FALSE)</f>
        <v>92</v>
      </c>
      <c r="U89" s="60">
        <f ca="1">100+HLOOKUP(U$4,$D$7:$P$336,$R89,FALSE)-HLOOKUP(U$3,$D$7:$P$336,$R89,FALSE)</f>
        <v>96</v>
      </c>
      <c r="V89" s="60">
        <f ca="1">100+HLOOKUP(V$4,$D$7:$P$336,$R89,FALSE)-HLOOKUP(V$3,$D$7:$P$336,$R89,FALSE)</f>
        <v>96</v>
      </c>
      <c r="W89" s="60">
        <f ca="1">100+HLOOKUP(W$4,$D$7:$P$336,$R89,FALSE)-HLOOKUP(W$3,$D$7:$P$336,$R89,FALSE)</f>
        <v>92</v>
      </c>
      <c r="X89" s="60">
        <f ca="1">100+HLOOKUP(X$4,$D$7:$P$336,$R89,FALSE)-HLOOKUP(X$3,$D$7:$P$336,$R89,FALSE)</f>
        <v>94</v>
      </c>
      <c r="Y89" s="60">
        <f ca="1">100+HLOOKUP(Y$4,$D$7:$P$336,$R89,FALSE)-HLOOKUP(Y$3,$D$7:$P$336,$R89,FALSE)</f>
        <v>92</v>
      </c>
      <c r="Z89" s="60">
        <f ca="1">100+HLOOKUP(Z$4,$D$7:$P$336,$R89,FALSE)-HLOOKUP(Z$3,$D$7:$P$336,$R89,FALSE)</f>
        <v>96</v>
      </c>
      <c r="AA89" s="60">
        <f ca="1">100+HLOOKUP(AA$4,$D$7:$P$336,$R89,FALSE)-HLOOKUP(AA$3,$D$7:$P$336,$R89,FALSE)</f>
        <v>96</v>
      </c>
      <c r="AB89" s="60">
        <f ca="1">100+HLOOKUP(AB$4,$D$7:$P$336,$R89,FALSE)-HLOOKUP(AB$3,$D$7:$P$336,$R89,FALSE)</f>
        <v>92</v>
      </c>
      <c r="AC89" s="60">
        <f ca="1">100+HLOOKUP(AC$4,$D$7:$P$336,$R89,FALSE)-HLOOKUP(AC$3,$D$7:$P$336,$R89,FALSE)</f>
        <v>101</v>
      </c>
      <c r="AD89" s="60">
        <f ca="1">100+HLOOKUP(AD$4,$D$7:$P$336,$R89,FALSE)-HLOOKUP(AD$3,$D$7:$P$336,$R89,FALSE)</f>
        <v>108</v>
      </c>
      <c r="AE89" s="60">
        <f ca="1">100+HLOOKUP(AE$4,$D$7:$P$336,$R89,FALSE)-HLOOKUP(AE$3,$D$7:$P$336,$R89,FALSE)</f>
        <v>108</v>
      </c>
      <c r="AF89" s="60">
        <f ca="1">100+HLOOKUP(AF$4,$D$7:$P$336,$R89,FALSE)-HLOOKUP(AF$3,$D$7:$P$336,$R89,FALSE)</f>
        <v>99</v>
      </c>
      <c r="AG89" s="60">
        <f ca="1">100+HLOOKUP(AG$4,$D$7:$P$336,$R89,FALSE)-HLOOKUP(AG$3,$D$7:$P$336,$R89,FALSE)</f>
        <v>96</v>
      </c>
      <c r="AH89" s="60" t="e">
        <f>100+HLOOKUP(AH$4,$D$7:$P$336,$R89,FALSE)-HLOOKUP(AH$3,$D$7:$P$336,$R89,FALSE)</f>
        <v>#N/A</v>
      </c>
      <c r="AI89" s="60" t="e">
        <f>100+HLOOKUP(AI$4,$D$7:$P$336,$R89,FALSE)-HLOOKUP(AI$3,$D$7:$P$336,$R89,FALSE)</f>
        <v>#N/A</v>
      </c>
      <c r="AJ89" s="60" t="e">
        <f>100+HLOOKUP(AJ$4,$D$7:$P$336,$R89,FALSE)-HLOOKUP(AJ$3,$D$7:$P$336,$R89,FALSE)</f>
        <v>#N/A</v>
      </c>
      <c r="AK89" s="60" t="e">
        <f>100+HLOOKUP(AK$4,$D$7:$P$336,$R89,FALSE)-HLOOKUP(AK$3,$D$7:$P$336,$R89,FALSE)</f>
        <v>#N/A</v>
      </c>
      <c r="AL89" s="60" t="e">
        <f>100+HLOOKUP(AL$4,$D$7:$P$336,$R89,FALSE)-HLOOKUP(AL$3,$D$7:$P$336,$R89,FALSE)</f>
        <v>#N/A</v>
      </c>
      <c r="AM89" s="60" t="e">
        <f>100+HLOOKUP(AM$4,$D$7:$P$336,$R89,FALSE)-HLOOKUP(AM$3,$D$7:$P$336,$R89,FALSE)</f>
        <v>#N/A</v>
      </c>
      <c r="AN89" s="60" t="e">
        <f>100+HLOOKUP(AN$4,$D$7:$P$336,$R89,FALSE)-HLOOKUP(AN$3,$D$7:$P$336,$R89,FALSE)</f>
        <v>#N/A</v>
      </c>
      <c r="AO89" s="60" t="e">
        <f>100+HLOOKUP(AO$4,$D$7:$P$336,$R89,FALSE)-HLOOKUP(AO$3,$D$7:$P$336,$R89,FALSE)</f>
        <v>#N/A</v>
      </c>
      <c r="AP89" s="60" t="e">
        <f>100+HLOOKUP(AP$4,$D$7:$P$336,$R89,FALSE)-HLOOKUP(AP$3,$D$7:$P$336,$R89,FALSE)</f>
        <v>#N/A</v>
      </c>
      <c r="AQ89" s="60" t="e">
        <f>100+HLOOKUP(AQ$4,$D$7:$P$336,$R89,FALSE)-HLOOKUP(AQ$3,$D$7:$P$336,$R89,FALSE)</f>
        <v>#N/A</v>
      </c>
      <c r="AV89" s="60">
        <f ca="1">AV$5-S89</f>
        <v>9.1903994267964322</v>
      </c>
      <c r="AW89" s="60">
        <f ca="1">AW$5-T89</f>
        <v>2.2206505297577479</v>
      </c>
      <c r="AX89" s="60">
        <f ca="1">AX$5-U89</f>
        <v>5.7759154036680513</v>
      </c>
      <c r="AY89" s="60">
        <f ca="1">AY$5-V89</f>
        <v>-2.3969855984721988</v>
      </c>
      <c r="AZ89" s="60">
        <f ca="1">AZ$5-W89</f>
        <v>5.4544821725960304</v>
      </c>
      <c r="BA89" s="60">
        <f ca="1">BA$5-X89</f>
        <v>4.4650590589827033</v>
      </c>
      <c r="BB89" s="60">
        <f ca="1">BB$5-Y89</f>
        <v>1.3505927273811267</v>
      </c>
      <c r="BC89" s="60">
        <f ca="1">BC$5-Z89</f>
        <v>11.437465909882164</v>
      </c>
      <c r="BD89" s="60">
        <f ca="1">BD$5-AA89</f>
        <v>1.936518664382362</v>
      </c>
      <c r="BE89" s="60">
        <f ca="1">BE$5-AB89</f>
        <v>-0.170609408007806</v>
      </c>
      <c r="BF89" s="60">
        <f ca="1">BF$5-AC89</f>
        <v>1.7304316477080306E-2</v>
      </c>
      <c r="BG89" s="60">
        <f ca="1">BG$5-AD89</f>
        <v>-4.0147412949814907</v>
      </c>
      <c r="BH89" s="60">
        <f ca="1">BH$5-AE89</f>
        <v>-9.0454077696324333</v>
      </c>
      <c r="BI89" s="60">
        <f ca="1">BI$5-AF89</f>
        <v>-8.3914944887451952</v>
      </c>
      <c r="BJ89" s="60">
        <f ca="1">BJ$5-AG89</f>
        <v>-4.56044894232123</v>
      </c>
      <c r="BK89" s="60" t="e">
        <f>BK$5-AH89</f>
        <v>#N/A</v>
      </c>
      <c r="BL89" s="60" t="e">
        <f>BL$5-AI89</f>
        <v>#N/A</v>
      </c>
      <c r="BM89" s="60" t="e">
        <f>BM$5-AJ89</f>
        <v>#N/A</v>
      </c>
      <c r="BN89" s="60" t="e">
        <f>BN$5-AK89</f>
        <v>#N/A</v>
      </c>
      <c r="BO89" s="60" t="e">
        <f>BO$5-AL89</f>
        <v>#N/A</v>
      </c>
      <c r="BP89" s="60" t="e">
        <f>BP$5-AM89</f>
        <v>#N/A</v>
      </c>
      <c r="BQ89" s="60" t="e">
        <f>BQ$5-AN89</f>
        <v>#N/A</v>
      </c>
      <c r="BR89" s="60" t="e">
        <f>BR$5-AO89</f>
        <v>#N/A</v>
      </c>
      <c r="BS89" s="60" t="e">
        <f>BS$5-AP89</f>
        <v>#N/A</v>
      </c>
      <c r="BT89" s="60" t="e">
        <f>BT$5-AQ89</f>
        <v>#N/A</v>
      </c>
      <c r="BV89" s="60" cm="1">
        <f t="array" aca="1" ref="BV89" ca="1">SQRT(SUMSQ(_xlfn._xlws.FILTER(AV89:BT89,ISNUMBER(AV89:BT89)))/COUNT(_xlfn._xlws.FILTER(AV89:BT89,ISNUMBER(AV89:BT89))))</f>
        <v>5.7951776485684858</v>
      </c>
    </row>
    <row r="90" spans="3:74" x14ac:dyDescent="0.2">
      <c r="C90" s="60" t="s">
        <v>329</v>
      </c>
      <c r="D90" s="60">
        <v>0</v>
      </c>
      <c r="E90" s="60">
        <v>-1</v>
      </c>
      <c r="F90" s="60">
        <v>-1</v>
      </c>
      <c r="G90" s="60">
        <v>-2</v>
      </c>
      <c r="H90" s="60">
        <v>-3</v>
      </c>
      <c r="I90" s="60">
        <v>-4</v>
      </c>
      <c r="J90" s="60">
        <v>-4</v>
      </c>
      <c r="K90" s="60">
        <v>-5</v>
      </c>
      <c r="L90" s="60">
        <v>-6</v>
      </c>
      <c r="M90" s="60">
        <v>2</v>
      </c>
      <c r="N90" s="60">
        <v>1</v>
      </c>
      <c r="O90" s="60">
        <v>1</v>
      </c>
      <c r="P90" s="60">
        <v>0</v>
      </c>
      <c r="R90" s="61">
        <f>(ROW(R90)-ROW($C$6))</f>
        <v>84</v>
      </c>
      <c r="S90" s="60">
        <f ca="1">100+HLOOKUP(S$4,$D$7:$P$336,$R90,FALSE)-HLOOKUP(S$3,$D$7:$P$336,$R90,FALSE)</f>
        <v>95</v>
      </c>
      <c r="T90" s="60">
        <f ca="1">100+HLOOKUP(T$4,$D$7:$P$336,$R90,FALSE)-HLOOKUP(T$3,$D$7:$P$336,$R90,FALSE)</f>
        <v>95</v>
      </c>
      <c r="U90" s="60">
        <f ca="1">100+HLOOKUP(U$4,$D$7:$P$336,$R90,FALSE)-HLOOKUP(U$3,$D$7:$P$336,$R90,FALSE)</f>
        <v>95</v>
      </c>
      <c r="V90" s="60">
        <f ca="1">100+HLOOKUP(V$4,$D$7:$P$336,$R90,FALSE)-HLOOKUP(V$3,$D$7:$P$336,$R90,FALSE)</f>
        <v>95</v>
      </c>
      <c r="W90" s="60">
        <f ca="1">100+HLOOKUP(W$4,$D$7:$P$336,$R90,FALSE)-HLOOKUP(W$3,$D$7:$P$336,$R90,FALSE)</f>
        <v>95</v>
      </c>
      <c r="X90" s="60">
        <f ca="1">100+HLOOKUP(X$4,$D$7:$P$336,$R90,FALSE)-HLOOKUP(X$3,$D$7:$P$336,$R90,FALSE)</f>
        <v>95</v>
      </c>
      <c r="Y90" s="60">
        <f ca="1">100+HLOOKUP(Y$4,$D$7:$P$336,$R90,FALSE)-HLOOKUP(Y$3,$D$7:$P$336,$R90,FALSE)</f>
        <v>95</v>
      </c>
      <c r="Z90" s="60">
        <f ca="1">100+HLOOKUP(Z$4,$D$7:$P$336,$R90,FALSE)-HLOOKUP(Z$3,$D$7:$P$336,$R90,FALSE)</f>
        <v>95</v>
      </c>
      <c r="AA90" s="60">
        <f ca="1">100+HLOOKUP(AA$4,$D$7:$P$336,$R90,FALSE)-HLOOKUP(AA$3,$D$7:$P$336,$R90,FALSE)</f>
        <v>95</v>
      </c>
      <c r="AB90" s="60">
        <f ca="1">100+HLOOKUP(AB$4,$D$7:$P$336,$R90,FALSE)-HLOOKUP(AB$3,$D$7:$P$336,$R90,FALSE)</f>
        <v>95</v>
      </c>
      <c r="AC90" s="60">
        <f ca="1">100+HLOOKUP(AC$4,$D$7:$P$336,$R90,FALSE)-HLOOKUP(AC$3,$D$7:$P$336,$R90,FALSE)</f>
        <v>103</v>
      </c>
      <c r="AD90" s="60">
        <f ca="1">100+HLOOKUP(AD$4,$D$7:$P$336,$R90,FALSE)-HLOOKUP(AD$3,$D$7:$P$336,$R90,FALSE)</f>
        <v>104</v>
      </c>
      <c r="AE90" s="60">
        <f ca="1">100+HLOOKUP(AE$4,$D$7:$P$336,$R90,FALSE)-HLOOKUP(AE$3,$D$7:$P$336,$R90,FALSE)</f>
        <v>103</v>
      </c>
      <c r="AF90" s="60">
        <f ca="1">100+HLOOKUP(AF$4,$D$7:$P$336,$R90,FALSE)-HLOOKUP(AF$3,$D$7:$P$336,$R90,FALSE)</f>
        <v>104</v>
      </c>
      <c r="AG90" s="60">
        <f ca="1">100+HLOOKUP(AG$4,$D$7:$P$336,$R90,FALSE)-HLOOKUP(AG$3,$D$7:$P$336,$R90,FALSE)</f>
        <v>95</v>
      </c>
      <c r="AH90" s="60" t="e">
        <f>100+HLOOKUP(AH$4,$D$7:$P$336,$R90,FALSE)-HLOOKUP(AH$3,$D$7:$P$336,$R90,FALSE)</f>
        <v>#N/A</v>
      </c>
      <c r="AI90" s="60" t="e">
        <f>100+HLOOKUP(AI$4,$D$7:$P$336,$R90,FALSE)-HLOOKUP(AI$3,$D$7:$P$336,$R90,FALSE)</f>
        <v>#N/A</v>
      </c>
      <c r="AJ90" s="60" t="e">
        <f>100+HLOOKUP(AJ$4,$D$7:$P$336,$R90,FALSE)-HLOOKUP(AJ$3,$D$7:$P$336,$R90,FALSE)</f>
        <v>#N/A</v>
      </c>
      <c r="AK90" s="60" t="e">
        <f>100+HLOOKUP(AK$4,$D$7:$P$336,$R90,FALSE)-HLOOKUP(AK$3,$D$7:$P$336,$R90,FALSE)</f>
        <v>#N/A</v>
      </c>
      <c r="AL90" s="60" t="e">
        <f>100+HLOOKUP(AL$4,$D$7:$P$336,$R90,FALSE)-HLOOKUP(AL$3,$D$7:$P$336,$R90,FALSE)</f>
        <v>#N/A</v>
      </c>
      <c r="AM90" s="60" t="e">
        <f>100+HLOOKUP(AM$4,$D$7:$P$336,$R90,FALSE)-HLOOKUP(AM$3,$D$7:$P$336,$R90,FALSE)</f>
        <v>#N/A</v>
      </c>
      <c r="AN90" s="60" t="e">
        <f>100+HLOOKUP(AN$4,$D$7:$P$336,$R90,FALSE)-HLOOKUP(AN$3,$D$7:$P$336,$R90,FALSE)</f>
        <v>#N/A</v>
      </c>
      <c r="AO90" s="60" t="e">
        <f>100+HLOOKUP(AO$4,$D$7:$P$336,$R90,FALSE)-HLOOKUP(AO$3,$D$7:$P$336,$R90,FALSE)</f>
        <v>#N/A</v>
      </c>
      <c r="AP90" s="60" t="e">
        <f>100+HLOOKUP(AP$4,$D$7:$P$336,$R90,FALSE)-HLOOKUP(AP$3,$D$7:$P$336,$R90,FALSE)</f>
        <v>#N/A</v>
      </c>
      <c r="AQ90" s="60" t="e">
        <f>100+HLOOKUP(AQ$4,$D$7:$P$336,$R90,FALSE)-HLOOKUP(AQ$3,$D$7:$P$336,$R90,FALSE)</f>
        <v>#N/A</v>
      </c>
      <c r="AV90" s="60">
        <f ca="1">AV$5-S90</f>
        <v>8.1903994267964322</v>
      </c>
      <c r="AW90" s="60">
        <f ca="1">AW$5-T90</f>
        <v>-0.7793494702422521</v>
      </c>
      <c r="AX90" s="60">
        <f ca="1">AX$5-U90</f>
        <v>6.7759154036680513</v>
      </c>
      <c r="AY90" s="60">
        <f ca="1">AY$5-V90</f>
        <v>-1.3969855984721988</v>
      </c>
      <c r="AZ90" s="60">
        <f ca="1">AZ$5-W90</f>
        <v>2.4544821725960304</v>
      </c>
      <c r="BA90" s="60">
        <f ca="1">BA$5-X90</f>
        <v>3.4650590589827033</v>
      </c>
      <c r="BB90" s="60">
        <f ca="1">BB$5-Y90</f>
        <v>-1.6494072726188733</v>
      </c>
      <c r="BC90" s="60">
        <f ca="1">BC$5-Z90</f>
        <v>12.437465909882164</v>
      </c>
      <c r="BD90" s="60">
        <f ca="1">BD$5-AA90</f>
        <v>2.936518664382362</v>
      </c>
      <c r="BE90" s="60">
        <f ca="1">BE$5-AB90</f>
        <v>-3.170609408007806</v>
      </c>
      <c r="BF90" s="60">
        <f ca="1">BF$5-AC90</f>
        <v>-1.9826956835229197</v>
      </c>
      <c r="BG90" s="60">
        <f ca="1">BG$5-AD90</f>
        <v>-1.4741294981490682E-2</v>
      </c>
      <c r="BH90" s="60">
        <f ca="1">BH$5-AE90</f>
        <v>-4.0454077696324333</v>
      </c>
      <c r="BI90" s="60">
        <f ca="1">BI$5-AF90</f>
        <v>-13.391494488745195</v>
      </c>
      <c r="BJ90" s="60">
        <f ca="1">BJ$5-AG90</f>
        <v>-3.56044894232123</v>
      </c>
      <c r="BK90" s="60" t="e">
        <f>BK$5-AH90</f>
        <v>#N/A</v>
      </c>
      <c r="BL90" s="60" t="e">
        <f>BL$5-AI90</f>
        <v>#N/A</v>
      </c>
      <c r="BM90" s="60" t="e">
        <f>BM$5-AJ90</f>
        <v>#N/A</v>
      </c>
      <c r="BN90" s="60" t="e">
        <f>BN$5-AK90</f>
        <v>#N/A</v>
      </c>
      <c r="BO90" s="60" t="e">
        <f>BO$5-AL90</f>
        <v>#N/A</v>
      </c>
      <c r="BP90" s="60" t="e">
        <f>BP$5-AM90</f>
        <v>#N/A</v>
      </c>
      <c r="BQ90" s="60" t="e">
        <f>BQ$5-AN90</f>
        <v>#N/A</v>
      </c>
      <c r="BR90" s="60" t="e">
        <f>BR$5-AO90</f>
        <v>#N/A</v>
      </c>
      <c r="BS90" s="60" t="e">
        <f>BS$5-AP90</f>
        <v>#N/A</v>
      </c>
      <c r="BT90" s="60" t="e">
        <f>BT$5-AQ90</f>
        <v>#N/A</v>
      </c>
      <c r="BV90" s="60" cm="1">
        <f t="array" aca="1" ref="BV90" ca="1">SQRT(SUMSQ(_xlfn._xlws.FILTER(AV90:BT90,ISNUMBER(AV90:BT90)))/COUNT(_xlfn._xlws.FILTER(AV90:BT90,ISNUMBER(AV90:BT90))))</f>
        <v>5.8990298468744911</v>
      </c>
    </row>
    <row r="91" spans="3:74" x14ac:dyDescent="0.2">
      <c r="C91" s="60" t="s">
        <v>519</v>
      </c>
      <c r="D91" s="60">
        <v>0</v>
      </c>
      <c r="E91" s="60">
        <v>-1</v>
      </c>
      <c r="F91" s="60">
        <v>2</v>
      </c>
      <c r="G91" s="60">
        <v>-3</v>
      </c>
      <c r="H91" s="60">
        <v>1</v>
      </c>
      <c r="I91" s="60">
        <v>-1</v>
      </c>
      <c r="J91" s="60">
        <v>0</v>
      </c>
      <c r="K91" s="60">
        <v>1</v>
      </c>
      <c r="L91" s="60">
        <v>-2</v>
      </c>
      <c r="M91" s="60">
        <v>2</v>
      </c>
      <c r="N91" s="60">
        <v>-2</v>
      </c>
      <c r="O91" s="60">
        <v>0</v>
      </c>
      <c r="P91" s="60">
        <v>0</v>
      </c>
      <c r="R91" s="61">
        <f>(ROW(R91)-ROW($C$6))</f>
        <v>85</v>
      </c>
      <c r="S91" s="60">
        <f ca="1">100+HLOOKUP(S$4,$D$7:$P$336,$R91,FALSE)-HLOOKUP(S$3,$D$7:$P$336,$R91,FALSE)</f>
        <v>99</v>
      </c>
      <c r="T91" s="60">
        <f ca="1">100+HLOOKUP(T$4,$D$7:$P$336,$R91,FALSE)-HLOOKUP(T$3,$D$7:$P$336,$R91,FALSE)</f>
        <v>100</v>
      </c>
      <c r="U91" s="60">
        <f ca="1">100+HLOOKUP(U$4,$D$7:$P$336,$R91,FALSE)-HLOOKUP(U$3,$D$7:$P$336,$R91,FALSE)</f>
        <v>99</v>
      </c>
      <c r="V91" s="60">
        <f ca="1">100+HLOOKUP(V$4,$D$7:$P$336,$R91,FALSE)-HLOOKUP(V$3,$D$7:$P$336,$R91,FALSE)</f>
        <v>101</v>
      </c>
      <c r="W91" s="60">
        <f ca="1">100+HLOOKUP(W$4,$D$7:$P$336,$R91,FALSE)-HLOOKUP(W$3,$D$7:$P$336,$R91,FALSE)</f>
        <v>101</v>
      </c>
      <c r="X91" s="60">
        <f ca="1">100+HLOOKUP(X$4,$D$7:$P$336,$R91,FALSE)-HLOOKUP(X$3,$D$7:$P$336,$R91,FALSE)</f>
        <v>99</v>
      </c>
      <c r="Y91" s="60">
        <f ca="1">100+HLOOKUP(Y$4,$D$7:$P$336,$R91,FALSE)-HLOOKUP(Y$3,$D$7:$P$336,$R91,FALSE)</f>
        <v>100</v>
      </c>
      <c r="Z91" s="60">
        <f ca="1">100+HLOOKUP(Z$4,$D$7:$P$336,$R91,FALSE)-HLOOKUP(Z$3,$D$7:$P$336,$R91,FALSE)</f>
        <v>99</v>
      </c>
      <c r="AA91" s="60">
        <f ca="1">100+HLOOKUP(AA$4,$D$7:$P$336,$R91,FALSE)-HLOOKUP(AA$3,$D$7:$P$336,$R91,FALSE)</f>
        <v>101</v>
      </c>
      <c r="AB91" s="60">
        <f ca="1">100+HLOOKUP(AB$4,$D$7:$P$336,$R91,FALSE)-HLOOKUP(AB$3,$D$7:$P$336,$R91,FALSE)</f>
        <v>101</v>
      </c>
      <c r="AC91" s="60">
        <f ca="1">100+HLOOKUP(AC$4,$D$7:$P$336,$R91,FALSE)-HLOOKUP(AC$3,$D$7:$P$336,$R91,FALSE)</f>
        <v>100</v>
      </c>
      <c r="AD91" s="60">
        <f ca="1">100+HLOOKUP(AD$4,$D$7:$P$336,$R91,FALSE)-HLOOKUP(AD$3,$D$7:$P$336,$R91,FALSE)</f>
        <v>99</v>
      </c>
      <c r="AE91" s="60">
        <f ca="1">100+HLOOKUP(AE$4,$D$7:$P$336,$R91,FALSE)-HLOOKUP(AE$3,$D$7:$P$336,$R91,FALSE)</f>
        <v>99</v>
      </c>
      <c r="AF91" s="60">
        <f ca="1">100+HLOOKUP(AF$4,$D$7:$P$336,$R91,FALSE)-HLOOKUP(AF$3,$D$7:$P$336,$R91,FALSE)</f>
        <v>99</v>
      </c>
      <c r="AG91" s="60">
        <f ca="1">100+HLOOKUP(AG$4,$D$7:$P$336,$R91,FALSE)-HLOOKUP(AG$3,$D$7:$P$336,$R91,FALSE)</f>
        <v>101</v>
      </c>
      <c r="AH91" s="60" t="e">
        <f>100+HLOOKUP(AH$4,$D$7:$P$336,$R91,FALSE)-HLOOKUP(AH$3,$D$7:$P$336,$R91,FALSE)</f>
        <v>#N/A</v>
      </c>
      <c r="AI91" s="60" t="e">
        <f>100+HLOOKUP(AI$4,$D$7:$P$336,$R91,FALSE)-HLOOKUP(AI$3,$D$7:$P$336,$R91,FALSE)</f>
        <v>#N/A</v>
      </c>
      <c r="AJ91" s="60" t="e">
        <f>100+HLOOKUP(AJ$4,$D$7:$P$336,$R91,FALSE)-HLOOKUP(AJ$3,$D$7:$P$336,$R91,FALSE)</f>
        <v>#N/A</v>
      </c>
      <c r="AK91" s="60" t="e">
        <f>100+HLOOKUP(AK$4,$D$7:$P$336,$R91,FALSE)-HLOOKUP(AK$3,$D$7:$P$336,$R91,FALSE)</f>
        <v>#N/A</v>
      </c>
      <c r="AL91" s="60" t="e">
        <f>100+HLOOKUP(AL$4,$D$7:$P$336,$R91,FALSE)-HLOOKUP(AL$3,$D$7:$P$336,$R91,FALSE)</f>
        <v>#N/A</v>
      </c>
      <c r="AM91" s="60" t="e">
        <f>100+HLOOKUP(AM$4,$D$7:$P$336,$R91,FALSE)-HLOOKUP(AM$3,$D$7:$P$336,$R91,FALSE)</f>
        <v>#N/A</v>
      </c>
      <c r="AN91" s="60" t="e">
        <f>100+HLOOKUP(AN$4,$D$7:$P$336,$R91,FALSE)-HLOOKUP(AN$3,$D$7:$P$336,$R91,FALSE)</f>
        <v>#N/A</v>
      </c>
      <c r="AO91" s="60" t="e">
        <f>100+HLOOKUP(AO$4,$D$7:$P$336,$R91,FALSE)-HLOOKUP(AO$3,$D$7:$P$336,$R91,FALSE)</f>
        <v>#N/A</v>
      </c>
      <c r="AP91" s="60" t="e">
        <f>100+HLOOKUP(AP$4,$D$7:$P$336,$R91,FALSE)-HLOOKUP(AP$3,$D$7:$P$336,$R91,FALSE)</f>
        <v>#N/A</v>
      </c>
      <c r="AQ91" s="60" t="e">
        <f>100+HLOOKUP(AQ$4,$D$7:$P$336,$R91,FALSE)-HLOOKUP(AQ$3,$D$7:$P$336,$R91,FALSE)</f>
        <v>#N/A</v>
      </c>
      <c r="AV91" s="60">
        <f ca="1">AV$5-S91</f>
        <v>4.1903994267964322</v>
      </c>
      <c r="AW91" s="60">
        <f ca="1">AW$5-T91</f>
        <v>-5.7793494702422521</v>
      </c>
      <c r="AX91" s="60">
        <f ca="1">AX$5-U91</f>
        <v>2.7759154036680513</v>
      </c>
      <c r="AY91" s="60">
        <f ca="1">AY$5-V91</f>
        <v>-7.3969855984721988</v>
      </c>
      <c r="AZ91" s="60">
        <f ca="1">AZ$5-W91</f>
        <v>-3.5455178274039696</v>
      </c>
      <c r="BA91" s="60">
        <f ca="1">BA$5-X91</f>
        <v>-0.53494094101729672</v>
      </c>
      <c r="BB91" s="60">
        <f ca="1">BB$5-Y91</f>
        <v>-6.6494072726188733</v>
      </c>
      <c r="BC91" s="60">
        <f ca="1">BC$5-Z91</f>
        <v>8.4374659098821638</v>
      </c>
      <c r="BD91" s="60">
        <f ca="1">BD$5-AA91</f>
        <v>-3.063481335617638</v>
      </c>
      <c r="BE91" s="60">
        <f ca="1">BE$5-AB91</f>
        <v>-9.170609408007806</v>
      </c>
      <c r="BF91" s="60">
        <f ca="1">BF$5-AC91</f>
        <v>1.0173043164770803</v>
      </c>
      <c r="BG91" s="60">
        <f ca="1">BG$5-AD91</f>
        <v>4.9852587050185093</v>
      </c>
      <c r="BH91" s="60">
        <f ca="1">BH$5-AE91</f>
        <v>-4.5407769632433315E-2</v>
      </c>
      <c r="BI91" s="60">
        <f ca="1">BI$5-AF91</f>
        <v>-8.3914944887451952</v>
      </c>
      <c r="BJ91" s="60">
        <f ca="1">BJ$5-AG91</f>
        <v>-9.56044894232123</v>
      </c>
      <c r="BK91" s="60" t="e">
        <f>BK$5-AH91</f>
        <v>#N/A</v>
      </c>
      <c r="BL91" s="60" t="e">
        <f>BL$5-AI91</f>
        <v>#N/A</v>
      </c>
      <c r="BM91" s="60" t="e">
        <f>BM$5-AJ91</f>
        <v>#N/A</v>
      </c>
      <c r="BN91" s="60" t="e">
        <f>BN$5-AK91</f>
        <v>#N/A</v>
      </c>
      <c r="BO91" s="60" t="e">
        <f>BO$5-AL91</f>
        <v>#N/A</v>
      </c>
      <c r="BP91" s="60" t="e">
        <f>BP$5-AM91</f>
        <v>#N/A</v>
      </c>
      <c r="BQ91" s="60" t="e">
        <f>BQ$5-AN91</f>
        <v>#N/A</v>
      </c>
      <c r="BR91" s="60" t="e">
        <f>BR$5-AO91</f>
        <v>#N/A</v>
      </c>
      <c r="BS91" s="60" t="e">
        <f>BS$5-AP91</f>
        <v>#N/A</v>
      </c>
      <c r="BT91" s="60" t="e">
        <f>BT$5-AQ91</f>
        <v>#N/A</v>
      </c>
      <c r="BV91" s="60" cm="1">
        <f t="array" aca="1" ref="BV91" ca="1">SQRT(SUMSQ(_xlfn._xlws.FILTER(AV91:BT91,ISNUMBER(AV91:BT91)))/COUNT(_xlfn._xlws.FILTER(AV91:BT91,ISNUMBER(AV91:BT91))))</f>
        <v>5.9038849881250677</v>
      </c>
    </row>
    <row r="92" spans="3:74" x14ac:dyDescent="0.2">
      <c r="C92" s="60" t="s">
        <v>301</v>
      </c>
      <c r="D92" s="60">
        <v>0</v>
      </c>
      <c r="E92" s="60">
        <v>-2</v>
      </c>
      <c r="F92" s="60">
        <v>-4</v>
      </c>
      <c r="G92" s="60">
        <v>-8</v>
      </c>
      <c r="H92" s="60">
        <v>-12</v>
      </c>
      <c r="I92" s="60">
        <v>-10</v>
      </c>
      <c r="J92" s="60">
        <v>-8</v>
      </c>
      <c r="K92" s="60">
        <v>-8</v>
      </c>
      <c r="L92" s="60">
        <v>-6</v>
      </c>
      <c r="M92" s="60">
        <v>-4</v>
      </c>
      <c r="N92" s="60">
        <v>-4</v>
      </c>
      <c r="O92" s="60">
        <v>-2</v>
      </c>
      <c r="P92" s="60">
        <v>0</v>
      </c>
      <c r="R92" s="61">
        <f>(ROW(R92)-ROW($C$6))</f>
        <v>86</v>
      </c>
      <c r="S92" s="60">
        <f ca="1">100+HLOOKUP(S$4,$D$7:$P$336,$R92,FALSE)-HLOOKUP(S$3,$D$7:$P$336,$R92,FALSE)</f>
        <v>92</v>
      </c>
      <c r="T92" s="60">
        <f ca="1">100+HLOOKUP(T$4,$D$7:$P$336,$R92,FALSE)-HLOOKUP(T$3,$D$7:$P$336,$R92,FALSE)</f>
        <v>94</v>
      </c>
      <c r="U92" s="60">
        <f ca="1">100+HLOOKUP(U$4,$D$7:$P$336,$R92,FALSE)-HLOOKUP(U$3,$D$7:$P$336,$R92,FALSE)</f>
        <v>96</v>
      </c>
      <c r="V92" s="60">
        <f ca="1">100+HLOOKUP(V$4,$D$7:$P$336,$R92,FALSE)-HLOOKUP(V$3,$D$7:$P$336,$R92,FALSE)</f>
        <v>94</v>
      </c>
      <c r="W92" s="60">
        <f ca="1">100+HLOOKUP(W$4,$D$7:$P$336,$R92,FALSE)-HLOOKUP(W$3,$D$7:$P$336,$R92,FALSE)</f>
        <v>92</v>
      </c>
      <c r="X92" s="60">
        <f ca="1">100+HLOOKUP(X$4,$D$7:$P$336,$R92,FALSE)-HLOOKUP(X$3,$D$7:$P$336,$R92,FALSE)</f>
        <v>92</v>
      </c>
      <c r="Y92" s="60">
        <f ca="1">100+HLOOKUP(Y$4,$D$7:$P$336,$R92,FALSE)-HLOOKUP(Y$3,$D$7:$P$336,$R92,FALSE)</f>
        <v>94</v>
      </c>
      <c r="Z92" s="60">
        <f ca="1">100+HLOOKUP(Z$4,$D$7:$P$336,$R92,FALSE)-HLOOKUP(Z$3,$D$7:$P$336,$R92,FALSE)</f>
        <v>96</v>
      </c>
      <c r="AA92" s="60">
        <f ca="1">100+HLOOKUP(AA$4,$D$7:$P$336,$R92,FALSE)-HLOOKUP(AA$3,$D$7:$P$336,$R92,FALSE)</f>
        <v>94</v>
      </c>
      <c r="AB92" s="60">
        <f ca="1">100+HLOOKUP(AB$4,$D$7:$P$336,$R92,FALSE)-HLOOKUP(AB$3,$D$7:$P$336,$R92,FALSE)</f>
        <v>92</v>
      </c>
      <c r="AC92" s="60">
        <f ca="1">100+HLOOKUP(AC$4,$D$7:$P$336,$R92,FALSE)-HLOOKUP(AC$3,$D$7:$P$336,$R92,FALSE)</f>
        <v>100</v>
      </c>
      <c r="AD92" s="60">
        <f ca="1">100+HLOOKUP(AD$4,$D$7:$P$336,$R92,FALSE)-HLOOKUP(AD$3,$D$7:$P$336,$R92,FALSE)</f>
        <v>110</v>
      </c>
      <c r="AE92" s="60">
        <f ca="1">100+HLOOKUP(AE$4,$D$7:$P$336,$R92,FALSE)-HLOOKUP(AE$3,$D$7:$P$336,$R92,FALSE)</f>
        <v>106</v>
      </c>
      <c r="AF92" s="60">
        <f ca="1">100+HLOOKUP(AF$4,$D$7:$P$336,$R92,FALSE)-HLOOKUP(AF$3,$D$7:$P$336,$R92,FALSE)</f>
        <v>98</v>
      </c>
      <c r="AG92" s="60">
        <f ca="1">100+HLOOKUP(AG$4,$D$7:$P$336,$R92,FALSE)-HLOOKUP(AG$3,$D$7:$P$336,$R92,FALSE)</f>
        <v>94</v>
      </c>
      <c r="AH92" s="60" t="e">
        <f>100+HLOOKUP(AH$4,$D$7:$P$336,$R92,FALSE)-HLOOKUP(AH$3,$D$7:$P$336,$R92,FALSE)</f>
        <v>#N/A</v>
      </c>
      <c r="AI92" s="60" t="e">
        <f>100+HLOOKUP(AI$4,$D$7:$P$336,$R92,FALSE)-HLOOKUP(AI$3,$D$7:$P$336,$R92,FALSE)</f>
        <v>#N/A</v>
      </c>
      <c r="AJ92" s="60" t="e">
        <f>100+HLOOKUP(AJ$4,$D$7:$P$336,$R92,FALSE)-HLOOKUP(AJ$3,$D$7:$P$336,$R92,FALSE)</f>
        <v>#N/A</v>
      </c>
      <c r="AK92" s="60" t="e">
        <f>100+HLOOKUP(AK$4,$D$7:$P$336,$R92,FALSE)-HLOOKUP(AK$3,$D$7:$P$336,$R92,FALSE)</f>
        <v>#N/A</v>
      </c>
      <c r="AL92" s="60" t="e">
        <f>100+HLOOKUP(AL$4,$D$7:$P$336,$R92,FALSE)-HLOOKUP(AL$3,$D$7:$P$336,$R92,FALSE)</f>
        <v>#N/A</v>
      </c>
      <c r="AM92" s="60" t="e">
        <f>100+HLOOKUP(AM$4,$D$7:$P$336,$R92,FALSE)-HLOOKUP(AM$3,$D$7:$P$336,$R92,FALSE)</f>
        <v>#N/A</v>
      </c>
      <c r="AN92" s="60" t="e">
        <f>100+HLOOKUP(AN$4,$D$7:$P$336,$R92,FALSE)-HLOOKUP(AN$3,$D$7:$P$336,$R92,FALSE)</f>
        <v>#N/A</v>
      </c>
      <c r="AO92" s="60" t="e">
        <f>100+HLOOKUP(AO$4,$D$7:$P$336,$R92,FALSE)-HLOOKUP(AO$3,$D$7:$P$336,$R92,FALSE)</f>
        <v>#N/A</v>
      </c>
      <c r="AP92" s="60" t="e">
        <f>100+HLOOKUP(AP$4,$D$7:$P$336,$R92,FALSE)-HLOOKUP(AP$3,$D$7:$P$336,$R92,FALSE)</f>
        <v>#N/A</v>
      </c>
      <c r="AQ92" s="60" t="e">
        <f>100+HLOOKUP(AQ$4,$D$7:$P$336,$R92,FALSE)-HLOOKUP(AQ$3,$D$7:$P$336,$R92,FALSE)</f>
        <v>#N/A</v>
      </c>
      <c r="AV92" s="60">
        <f ca="1">AV$5-S92</f>
        <v>11.190399426796432</v>
      </c>
      <c r="AW92" s="60">
        <f ca="1">AW$5-T92</f>
        <v>0.2206505297577479</v>
      </c>
      <c r="AX92" s="60">
        <f ca="1">AX$5-U92</f>
        <v>5.7759154036680513</v>
      </c>
      <c r="AY92" s="60">
        <f ca="1">AY$5-V92</f>
        <v>-0.39698559847219883</v>
      </c>
      <c r="AZ92" s="60">
        <f ca="1">AZ$5-W92</f>
        <v>5.4544821725960304</v>
      </c>
      <c r="BA92" s="60">
        <f ca="1">BA$5-X92</f>
        <v>6.4650590589827033</v>
      </c>
      <c r="BB92" s="60">
        <f ca="1">BB$5-Y92</f>
        <v>-0.64940727261887332</v>
      </c>
      <c r="BC92" s="60">
        <f ca="1">BC$5-Z92</f>
        <v>11.437465909882164</v>
      </c>
      <c r="BD92" s="60">
        <f ca="1">BD$5-AA92</f>
        <v>3.936518664382362</v>
      </c>
      <c r="BE92" s="60">
        <f ca="1">BE$5-AB92</f>
        <v>-0.170609408007806</v>
      </c>
      <c r="BF92" s="60">
        <f ca="1">BF$5-AC92</f>
        <v>1.0173043164770803</v>
      </c>
      <c r="BG92" s="60">
        <f ca="1">BG$5-AD92</f>
        <v>-6.0147412949814907</v>
      </c>
      <c r="BH92" s="60">
        <f ca="1">BH$5-AE92</f>
        <v>-7.0454077696324333</v>
      </c>
      <c r="BI92" s="60">
        <f ca="1">BI$5-AF92</f>
        <v>-7.3914944887451952</v>
      </c>
      <c r="BJ92" s="60">
        <f ca="1">BJ$5-AG92</f>
        <v>-2.56044894232123</v>
      </c>
      <c r="BK92" s="60" t="e">
        <f>BK$5-AH92</f>
        <v>#N/A</v>
      </c>
      <c r="BL92" s="60" t="e">
        <f>BL$5-AI92</f>
        <v>#N/A</v>
      </c>
      <c r="BM92" s="60" t="e">
        <f>BM$5-AJ92</f>
        <v>#N/A</v>
      </c>
      <c r="BN92" s="60" t="e">
        <f>BN$5-AK92</f>
        <v>#N/A</v>
      </c>
      <c r="BO92" s="60" t="e">
        <f>BO$5-AL92</f>
        <v>#N/A</v>
      </c>
      <c r="BP92" s="60" t="e">
        <f>BP$5-AM92</f>
        <v>#N/A</v>
      </c>
      <c r="BQ92" s="60" t="e">
        <f>BQ$5-AN92</f>
        <v>#N/A</v>
      </c>
      <c r="BR92" s="60" t="e">
        <f>BR$5-AO92</f>
        <v>#N/A</v>
      </c>
      <c r="BS92" s="60" t="e">
        <f>BS$5-AP92</f>
        <v>#N/A</v>
      </c>
      <c r="BT92" s="60" t="e">
        <f>BT$5-AQ92</f>
        <v>#N/A</v>
      </c>
      <c r="BV92" s="60" cm="1">
        <f t="array" aca="1" ref="BV92" ca="1">SQRT(SUMSQ(_xlfn._xlws.FILTER(AV92:BT92,ISNUMBER(AV92:BT92)))/COUNT(_xlfn._xlws.FILTER(AV92:BT92,ISNUMBER(AV92:BT92))))</f>
        <v>5.9168877564859104</v>
      </c>
    </row>
    <row r="93" spans="3:74" x14ac:dyDescent="0.2">
      <c r="C93" s="60" t="s">
        <v>330</v>
      </c>
      <c r="D93" s="60">
        <v>0</v>
      </c>
      <c r="E93" s="60">
        <v>-0.73299999999999998</v>
      </c>
      <c r="F93" s="60">
        <v>-1.4670000000000001</v>
      </c>
      <c r="G93" s="60">
        <v>-2.2000000000000002</v>
      </c>
      <c r="H93" s="60">
        <v>-2.9329999999999998</v>
      </c>
      <c r="I93" s="60">
        <v>-3.6659999999999999</v>
      </c>
      <c r="J93" s="60">
        <v>-4.4000000000000004</v>
      </c>
      <c r="K93" s="60">
        <v>-5.133</v>
      </c>
      <c r="L93" s="60">
        <v>-5.8659999999999997</v>
      </c>
      <c r="M93" s="60">
        <v>2.2000000000000002</v>
      </c>
      <c r="N93" s="60">
        <v>1.4670000000000001</v>
      </c>
      <c r="O93" s="60">
        <v>0.73299999999999998</v>
      </c>
      <c r="P93" s="60">
        <v>0</v>
      </c>
      <c r="R93" s="61">
        <f>(ROW(R93)-ROW($C$6))</f>
        <v>87</v>
      </c>
      <c r="S93" s="60">
        <f ca="1">100+HLOOKUP(S$4,$D$7:$P$336,$R93,FALSE)-HLOOKUP(S$3,$D$7:$P$336,$R93,FALSE)</f>
        <v>94.867000000000004</v>
      </c>
      <c r="T93" s="60">
        <f ca="1">100+HLOOKUP(T$4,$D$7:$P$336,$R93,FALSE)-HLOOKUP(T$3,$D$7:$P$336,$R93,FALSE)</f>
        <v>94.86699999999999</v>
      </c>
      <c r="U93" s="60">
        <f ca="1">100+HLOOKUP(U$4,$D$7:$P$336,$R93,FALSE)-HLOOKUP(U$3,$D$7:$P$336,$R93,FALSE)</f>
        <v>94.867000000000004</v>
      </c>
      <c r="V93" s="60">
        <f ca="1">100+HLOOKUP(V$4,$D$7:$P$336,$R93,FALSE)-HLOOKUP(V$3,$D$7:$P$336,$R93,FALSE)</f>
        <v>94.867000000000004</v>
      </c>
      <c r="W93" s="60">
        <f ca="1">100+HLOOKUP(W$4,$D$7:$P$336,$R93,FALSE)-HLOOKUP(W$3,$D$7:$P$336,$R93,FALSE)</f>
        <v>94.867000000000004</v>
      </c>
      <c r="X93" s="60">
        <f ca="1">100+HLOOKUP(X$4,$D$7:$P$336,$R93,FALSE)-HLOOKUP(X$3,$D$7:$P$336,$R93,FALSE)</f>
        <v>94.867000000000004</v>
      </c>
      <c r="Y93" s="60">
        <f ca="1">100+HLOOKUP(Y$4,$D$7:$P$336,$R93,FALSE)-HLOOKUP(Y$3,$D$7:$P$336,$R93,FALSE)</f>
        <v>94.86699999999999</v>
      </c>
      <c r="Z93" s="60">
        <f ca="1">100+HLOOKUP(Z$4,$D$7:$P$336,$R93,FALSE)-HLOOKUP(Z$3,$D$7:$P$336,$R93,FALSE)</f>
        <v>94.867000000000004</v>
      </c>
      <c r="AA93" s="60">
        <f ca="1">100+HLOOKUP(AA$4,$D$7:$P$336,$R93,FALSE)-HLOOKUP(AA$3,$D$7:$P$336,$R93,FALSE)</f>
        <v>94.867000000000004</v>
      </c>
      <c r="AB93" s="60">
        <f ca="1">100+HLOOKUP(AB$4,$D$7:$P$336,$R93,FALSE)-HLOOKUP(AB$3,$D$7:$P$336,$R93,FALSE)</f>
        <v>94.867000000000004</v>
      </c>
      <c r="AC93" s="60">
        <f ca="1">100+HLOOKUP(AC$4,$D$7:$P$336,$R93,FALSE)-HLOOKUP(AC$3,$D$7:$P$336,$R93,FALSE)</f>
        <v>103.667</v>
      </c>
      <c r="AD93" s="60">
        <f ca="1">100+HLOOKUP(AD$4,$D$7:$P$336,$R93,FALSE)-HLOOKUP(AD$3,$D$7:$P$336,$R93,FALSE)</f>
        <v>103.666</v>
      </c>
      <c r="AE93" s="60">
        <f ca="1">100+HLOOKUP(AE$4,$D$7:$P$336,$R93,FALSE)-HLOOKUP(AE$3,$D$7:$P$336,$R93,FALSE)</f>
        <v>103.667</v>
      </c>
      <c r="AF93" s="60">
        <f ca="1">100+HLOOKUP(AF$4,$D$7:$P$336,$R93,FALSE)-HLOOKUP(AF$3,$D$7:$P$336,$R93,FALSE)</f>
        <v>103.666</v>
      </c>
      <c r="AG93" s="60">
        <f ca="1">100+HLOOKUP(AG$4,$D$7:$P$336,$R93,FALSE)-HLOOKUP(AG$3,$D$7:$P$336,$R93,FALSE)</f>
        <v>94.867000000000004</v>
      </c>
      <c r="AH93" s="60" t="e">
        <f>100+HLOOKUP(AH$4,$D$7:$P$336,$R93,FALSE)-HLOOKUP(AH$3,$D$7:$P$336,$R93,FALSE)</f>
        <v>#N/A</v>
      </c>
      <c r="AI93" s="60" t="e">
        <f>100+HLOOKUP(AI$4,$D$7:$P$336,$R93,FALSE)-HLOOKUP(AI$3,$D$7:$P$336,$R93,FALSE)</f>
        <v>#N/A</v>
      </c>
      <c r="AJ93" s="60" t="e">
        <f>100+HLOOKUP(AJ$4,$D$7:$P$336,$R93,FALSE)-HLOOKUP(AJ$3,$D$7:$P$336,$R93,FALSE)</f>
        <v>#N/A</v>
      </c>
      <c r="AK93" s="60" t="e">
        <f>100+HLOOKUP(AK$4,$D$7:$P$336,$R93,FALSE)-HLOOKUP(AK$3,$D$7:$P$336,$R93,FALSE)</f>
        <v>#N/A</v>
      </c>
      <c r="AL93" s="60" t="e">
        <f>100+HLOOKUP(AL$4,$D$7:$P$336,$R93,FALSE)-HLOOKUP(AL$3,$D$7:$P$336,$R93,FALSE)</f>
        <v>#N/A</v>
      </c>
      <c r="AM93" s="60" t="e">
        <f>100+HLOOKUP(AM$4,$D$7:$P$336,$R93,FALSE)-HLOOKUP(AM$3,$D$7:$P$336,$R93,FALSE)</f>
        <v>#N/A</v>
      </c>
      <c r="AN93" s="60" t="e">
        <f>100+HLOOKUP(AN$4,$D$7:$P$336,$R93,FALSE)-HLOOKUP(AN$3,$D$7:$P$336,$R93,FALSE)</f>
        <v>#N/A</v>
      </c>
      <c r="AO93" s="60" t="e">
        <f>100+HLOOKUP(AO$4,$D$7:$P$336,$R93,FALSE)-HLOOKUP(AO$3,$D$7:$P$336,$R93,FALSE)</f>
        <v>#N/A</v>
      </c>
      <c r="AP93" s="60" t="e">
        <f>100+HLOOKUP(AP$4,$D$7:$P$336,$R93,FALSE)-HLOOKUP(AP$3,$D$7:$P$336,$R93,FALSE)</f>
        <v>#N/A</v>
      </c>
      <c r="AQ93" s="60" t="e">
        <f>100+HLOOKUP(AQ$4,$D$7:$P$336,$R93,FALSE)-HLOOKUP(AQ$3,$D$7:$P$336,$R93,FALSE)</f>
        <v>#N/A</v>
      </c>
      <c r="AV93" s="60">
        <f ca="1">AV$5-S93</f>
        <v>8.3233994267964277</v>
      </c>
      <c r="AW93" s="60">
        <f ca="1">AW$5-T93</f>
        <v>-0.64634947024224232</v>
      </c>
      <c r="AX93" s="60">
        <f ca="1">AX$5-U93</f>
        <v>6.9089154036680469</v>
      </c>
      <c r="AY93" s="60">
        <f ca="1">AY$5-V93</f>
        <v>-1.2639855984722033</v>
      </c>
      <c r="AZ93" s="60">
        <f ca="1">AZ$5-W93</f>
        <v>2.587482172596026</v>
      </c>
      <c r="BA93" s="60">
        <f ca="1">BA$5-X93</f>
        <v>3.5980590589826988</v>
      </c>
      <c r="BB93" s="60">
        <f ca="1">BB$5-Y93</f>
        <v>-1.5164072726188635</v>
      </c>
      <c r="BC93" s="60">
        <f ca="1">BC$5-Z93</f>
        <v>12.570465909882159</v>
      </c>
      <c r="BD93" s="60">
        <f ca="1">BD$5-AA93</f>
        <v>3.0695186643823575</v>
      </c>
      <c r="BE93" s="60">
        <f ca="1">BE$5-AB93</f>
        <v>-3.0376094080078104</v>
      </c>
      <c r="BF93" s="60">
        <f ca="1">BF$5-AC93</f>
        <v>-2.6496956835229213</v>
      </c>
      <c r="BG93" s="60">
        <f ca="1">BG$5-AD93</f>
        <v>0.3192587050185125</v>
      </c>
      <c r="BH93" s="60">
        <f ca="1">BH$5-AE93</f>
        <v>-4.7124077696324349</v>
      </c>
      <c r="BI93" s="60">
        <f ca="1">BI$5-AF93</f>
        <v>-13.057494488745192</v>
      </c>
      <c r="BJ93" s="60">
        <f ca="1">BJ$5-AG93</f>
        <v>-3.4274489423212344</v>
      </c>
      <c r="BK93" s="60" t="e">
        <f>BK$5-AH93</f>
        <v>#N/A</v>
      </c>
      <c r="BL93" s="60" t="e">
        <f>BL$5-AI93</f>
        <v>#N/A</v>
      </c>
      <c r="BM93" s="60" t="e">
        <f>BM$5-AJ93</f>
        <v>#N/A</v>
      </c>
      <c r="BN93" s="60" t="e">
        <f>BN$5-AK93</f>
        <v>#N/A</v>
      </c>
      <c r="BO93" s="60" t="e">
        <f>BO$5-AL93</f>
        <v>#N/A</v>
      </c>
      <c r="BP93" s="60" t="e">
        <f>BP$5-AM93</f>
        <v>#N/A</v>
      </c>
      <c r="BQ93" s="60" t="e">
        <f>BQ$5-AN93</f>
        <v>#N/A</v>
      </c>
      <c r="BR93" s="60" t="e">
        <f>BR$5-AO93</f>
        <v>#N/A</v>
      </c>
      <c r="BS93" s="60" t="e">
        <f>BS$5-AP93</f>
        <v>#N/A</v>
      </c>
      <c r="BT93" s="60" t="e">
        <f>BT$5-AQ93</f>
        <v>#N/A</v>
      </c>
      <c r="BV93" s="60" cm="1">
        <f t="array" aca="1" ref="BV93" ca="1">SQRT(SUMSQ(_xlfn._xlws.FILTER(AV93:BT93,ISNUMBER(AV93:BT93)))/COUNT(_xlfn._xlws.FILTER(AV93:BT93,ISNUMBER(AV93:BT93))))</f>
        <v>5.9397469033789445</v>
      </c>
    </row>
    <row r="94" spans="3:74" x14ac:dyDescent="0.2">
      <c r="C94" s="60" t="s">
        <v>267</v>
      </c>
      <c r="D94" s="60">
        <v>0</v>
      </c>
      <c r="E94" s="60">
        <v>1</v>
      </c>
      <c r="F94" s="60">
        <v>0</v>
      </c>
      <c r="G94" s="60">
        <v>0</v>
      </c>
      <c r="H94" s="60">
        <v>0</v>
      </c>
      <c r="I94" s="60">
        <v>1</v>
      </c>
      <c r="J94" s="60">
        <v>1</v>
      </c>
      <c r="K94" s="60">
        <v>0</v>
      </c>
      <c r="L94" s="60">
        <v>0</v>
      </c>
      <c r="M94" s="60">
        <v>-1</v>
      </c>
      <c r="N94" s="60">
        <v>0</v>
      </c>
      <c r="O94" s="60">
        <v>0</v>
      </c>
      <c r="P94" s="60">
        <v>0</v>
      </c>
      <c r="R94" s="61">
        <f>(ROW(R94)-ROW($C$6))</f>
        <v>88</v>
      </c>
      <c r="S94" s="60">
        <f ca="1">100+HLOOKUP(S$4,$D$7:$P$336,$R94,FALSE)-HLOOKUP(S$3,$D$7:$P$336,$R94,FALSE)</f>
        <v>101</v>
      </c>
      <c r="T94" s="60">
        <f ca="1">100+HLOOKUP(T$4,$D$7:$P$336,$R94,FALSE)-HLOOKUP(T$3,$D$7:$P$336,$R94,FALSE)</f>
        <v>101</v>
      </c>
      <c r="U94" s="60">
        <f ca="1">100+HLOOKUP(U$4,$D$7:$P$336,$R94,FALSE)-HLOOKUP(U$3,$D$7:$P$336,$R94,FALSE)</f>
        <v>99</v>
      </c>
      <c r="V94" s="60">
        <f ca="1">100+HLOOKUP(V$4,$D$7:$P$336,$R94,FALSE)-HLOOKUP(V$3,$D$7:$P$336,$R94,FALSE)</f>
        <v>101</v>
      </c>
      <c r="W94" s="60">
        <f ca="1">100+HLOOKUP(W$4,$D$7:$P$336,$R94,FALSE)-HLOOKUP(W$3,$D$7:$P$336,$R94,FALSE)</f>
        <v>100</v>
      </c>
      <c r="X94" s="60">
        <f ca="1">100+HLOOKUP(X$4,$D$7:$P$336,$R94,FALSE)-HLOOKUP(X$3,$D$7:$P$336,$R94,FALSE)</f>
        <v>101</v>
      </c>
      <c r="Y94" s="60">
        <f ca="1">100+HLOOKUP(Y$4,$D$7:$P$336,$R94,FALSE)-HLOOKUP(Y$3,$D$7:$P$336,$R94,FALSE)</f>
        <v>101</v>
      </c>
      <c r="Z94" s="60">
        <f ca="1">100+HLOOKUP(Z$4,$D$7:$P$336,$R94,FALSE)-HLOOKUP(Z$3,$D$7:$P$336,$R94,FALSE)</f>
        <v>99</v>
      </c>
      <c r="AA94" s="60">
        <f ca="1">100+HLOOKUP(AA$4,$D$7:$P$336,$R94,FALSE)-HLOOKUP(AA$3,$D$7:$P$336,$R94,FALSE)</f>
        <v>101</v>
      </c>
      <c r="AB94" s="60">
        <f ca="1">100+HLOOKUP(AB$4,$D$7:$P$336,$R94,FALSE)-HLOOKUP(AB$3,$D$7:$P$336,$R94,FALSE)</f>
        <v>100</v>
      </c>
      <c r="AC94" s="60">
        <f ca="1">100+HLOOKUP(AC$4,$D$7:$P$336,$R94,FALSE)-HLOOKUP(AC$3,$D$7:$P$336,$R94,FALSE)</f>
        <v>99</v>
      </c>
      <c r="AD94" s="60">
        <f ca="1">100+HLOOKUP(AD$4,$D$7:$P$336,$R94,FALSE)-HLOOKUP(AD$3,$D$7:$P$336,$R94,FALSE)</f>
        <v>100</v>
      </c>
      <c r="AE94" s="60">
        <f ca="1">100+HLOOKUP(AE$4,$D$7:$P$336,$R94,FALSE)-HLOOKUP(AE$3,$D$7:$P$336,$R94,FALSE)</f>
        <v>100</v>
      </c>
      <c r="AF94" s="60">
        <f ca="1">100+HLOOKUP(AF$4,$D$7:$P$336,$R94,FALSE)-HLOOKUP(AF$3,$D$7:$P$336,$R94,FALSE)</f>
        <v>100</v>
      </c>
      <c r="AG94" s="60">
        <f ca="1">100+HLOOKUP(AG$4,$D$7:$P$336,$R94,FALSE)-HLOOKUP(AG$3,$D$7:$P$336,$R94,FALSE)</f>
        <v>101</v>
      </c>
      <c r="AH94" s="60" t="e">
        <f>100+HLOOKUP(AH$4,$D$7:$P$336,$R94,FALSE)-HLOOKUP(AH$3,$D$7:$P$336,$R94,FALSE)</f>
        <v>#N/A</v>
      </c>
      <c r="AI94" s="60" t="e">
        <f>100+HLOOKUP(AI$4,$D$7:$P$336,$R94,FALSE)-HLOOKUP(AI$3,$D$7:$P$336,$R94,FALSE)</f>
        <v>#N/A</v>
      </c>
      <c r="AJ94" s="60" t="e">
        <f>100+HLOOKUP(AJ$4,$D$7:$P$336,$R94,FALSE)-HLOOKUP(AJ$3,$D$7:$P$336,$R94,FALSE)</f>
        <v>#N/A</v>
      </c>
      <c r="AK94" s="60" t="e">
        <f>100+HLOOKUP(AK$4,$D$7:$P$336,$R94,FALSE)-HLOOKUP(AK$3,$D$7:$P$336,$R94,FALSE)</f>
        <v>#N/A</v>
      </c>
      <c r="AL94" s="60" t="e">
        <f>100+HLOOKUP(AL$4,$D$7:$P$336,$R94,FALSE)-HLOOKUP(AL$3,$D$7:$P$336,$R94,FALSE)</f>
        <v>#N/A</v>
      </c>
      <c r="AM94" s="60" t="e">
        <f>100+HLOOKUP(AM$4,$D$7:$P$336,$R94,FALSE)-HLOOKUP(AM$3,$D$7:$P$336,$R94,FALSE)</f>
        <v>#N/A</v>
      </c>
      <c r="AN94" s="60" t="e">
        <f>100+HLOOKUP(AN$4,$D$7:$P$336,$R94,FALSE)-HLOOKUP(AN$3,$D$7:$P$336,$R94,FALSE)</f>
        <v>#N/A</v>
      </c>
      <c r="AO94" s="60" t="e">
        <f>100+HLOOKUP(AO$4,$D$7:$P$336,$R94,FALSE)-HLOOKUP(AO$3,$D$7:$P$336,$R94,FALSE)</f>
        <v>#N/A</v>
      </c>
      <c r="AP94" s="60" t="e">
        <f>100+HLOOKUP(AP$4,$D$7:$P$336,$R94,FALSE)-HLOOKUP(AP$3,$D$7:$P$336,$R94,FALSE)</f>
        <v>#N/A</v>
      </c>
      <c r="AQ94" s="60" t="e">
        <f>100+HLOOKUP(AQ$4,$D$7:$P$336,$R94,FALSE)-HLOOKUP(AQ$3,$D$7:$P$336,$R94,FALSE)</f>
        <v>#N/A</v>
      </c>
      <c r="AV94" s="60">
        <f ca="1">AV$5-S94</f>
        <v>2.1903994267964322</v>
      </c>
      <c r="AW94" s="60">
        <f ca="1">AW$5-T94</f>
        <v>-6.7793494702422521</v>
      </c>
      <c r="AX94" s="60">
        <f ca="1">AX$5-U94</f>
        <v>2.7759154036680513</v>
      </c>
      <c r="AY94" s="60">
        <f ca="1">AY$5-V94</f>
        <v>-7.3969855984721988</v>
      </c>
      <c r="AZ94" s="60">
        <f ca="1">AZ$5-W94</f>
        <v>-2.5455178274039696</v>
      </c>
      <c r="BA94" s="60">
        <f ca="1">BA$5-X94</f>
        <v>-2.5349409410172967</v>
      </c>
      <c r="BB94" s="60">
        <f ca="1">BB$5-Y94</f>
        <v>-7.6494072726188733</v>
      </c>
      <c r="BC94" s="60">
        <f ca="1">BC$5-Z94</f>
        <v>8.4374659098821638</v>
      </c>
      <c r="BD94" s="60">
        <f ca="1">BD$5-AA94</f>
        <v>-3.063481335617638</v>
      </c>
      <c r="BE94" s="60">
        <f ca="1">BE$5-AB94</f>
        <v>-8.170609408007806</v>
      </c>
      <c r="BF94" s="60">
        <f ca="1">BF$5-AC94</f>
        <v>2.0173043164770803</v>
      </c>
      <c r="BG94" s="60">
        <f ca="1">BG$5-AD94</f>
        <v>3.9852587050185093</v>
      </c>
      <c r="BH94" s="60">
        <f ca="1">BH$5-AE94</f>
        <v>-1.0454077696324333</v>
      </c>
      <c r="BI94" s="60">
        <f ca="1">BI$5-AF94</f>
        <v>-9.3914944887451952</v>
      </c>
      <c r="BJ94" s="60">
        <f ca="1">BJ$5-AG94</f>
        <v>-9.56044894232123</v>
      </c>
      <c r="BK94" s="60" t="e">
        <f>BK$5-AH94</f>
        <v>#N/A</v>
      </c>
      <c r="BL94" s="60" t="e">
        <f>BL$5-AI94</f>
        <v>#N/A</v>
      </c>
      <c r="BM94" s="60" t="e">
        <f>BM$5-AJ94</f>
        <v>#N/A</v>
      </c>
      <c r="BN94" s="60" t="e">
        <f>BN$5-AK94</f>
        <v>#N/A</v>
      </c>
      <c r="BO94" s="60" t="e">
        <f>BO$5-AL94</f>
        <v>#N/A</v>
      </c>
      <c r="BP94" s="60" t="e">
        <f>BP$5-AM94</f>
        <v>#N/A</v>
      </c>
      <c r="BQ94" s="60" t="e">
        <f>BQ$5-AN94</f>
        <v>#N/A</v>
      </c>
      <c r="BR94" s="60" t="e">
        <f>BR$5-AO94</f>
        <v>#N/A</v>
      </c>
      <c r="BS94" s="60" t="e">
        <f>BS$5-AP94</f>
        <v>#N/A</v>
      </c>
      <c r="BT94" s="60" t="e">
        <f>BT$5-AQ94</f>
        <v>#N/A</v>
      </c>
      <c r="BV94" s="60" cm="1">
        <f t="array" aca="1" ref="BV94" ca="1">SQRT(SUMSQ(_xlfn._xlws.FILTER(AV94:BT94,ISNUMBER(AV94:BT94)))/COUNT(_xlfn._xlws.FILTER(AV94:BT94,ISNUMBER(AV94:BT94))))</f>
        <v>5.958630659844494</v>
      </c>
    </row>
    <row r="95" spans="3:74" x14ac:dyDescent="0.2">
      <c r="C95" s="60" t="s">
        <v>270</v>
      </c>
      <c r="D95" s="60">
        <v>0</v>
      </c>
      <c r="E95" s="60">
        <v>-2</v>
      </c>
      <c r="F95" s="60">
        <v>4</v>
      </c>
      <c r="G95" s="60">
        <v>2</v>
      </c>
      <c r="H95" s="60">
        <v>0</v>
      </c>
      <c r="I95" s="60">
        <v>-2</v>
      </c>
      <c r="J95" s="60">
        <v>4</v>
      </c>
      <c r="K95" s="60">
        <v>2</v>
      </c>
      <c r="L95" s="60">
        <v>0</v>
      </c>
      <c r="M95" s="60">
        <v>-2</v>
      </c>
      <c r="N95" s="60">
        <v>4</v>
      </c>
      <c r="O95" s="60">
        <v>2</v>
      </c>
      <c r="P95" s="60">
        <v>0</v>
      </c>
      <c r="R95" s="61">
        <f>(ROW(R95)-ROW($C$6))</f>
        <v>89</v>
      </c>
      <c r="S95" s="60">
        <f ca="1">100+HLOOKUP(S$4,$D$7:$P$336,$R95,FALSE)-HLOOKUP(S$3,$D$7:$P$336,$R95,FALSE)</f>
        <v>102</v>
      </c>
      <c r="T95" s="60">
        <f ca="1">100+HLOOKUP(T$4,$D$7:$P$336,$R95,FALSE)-HLOOKUP(T$3,$D$7:$P$336,$R95,FALSE)</f>
        <v>102</v>
      </c>
      <c r="U95" s="60">
        <f ca="1">100+HLOOKUP(U$4,$D$7:$P$336,$R95,FALSE)-HLOOKUP(U$3,$D$7:$P$336,$R95,FALSE)</f>
        <v>102</v>
      </c>
      <c r="V95" s="60">
        <f ca="1">100+HLOOKUP(V$4,$D$7:$P$336,$R95,FALSE)-HLOOKUP(V$3,$D$7:$P$336,$R95,FALSE)</f>
        <v>94</v>
      </c>
      <c r="W95" s="60">
        <f ca="1">100+HLOOKUP(W$4,$D$7:$P$336,$R95,FALSE)-HLOOKUP(W$3,$D$7:$P$336,$R95,FALSE)</f>
        <v>102</v>
      </c>
      <c r="X95" s="60">
        <f ca="1">100+HLOOKUP(X$4,$D$7:$P$336,$R95,FALSE)-HLOOKUP(X$3,$D$7:$P$336,$R95,FALSE)</f>
        <v>102</v>
      </c>
      <c r="Y95" s="60">
        <f ca="1">100+HLOOKUP(Y$4,$D$7:$P$336,$R95,FALSE)-HLOOKUP(Y$3,$D$7:$P$336,$R95,FALSE)</f>
        <v>102</v>
      </c>
      <c r="Z95" s="60">
        <f ca="1">100+HLOOKUP(Z$4,$D$7:$P$336,$R95,FALSE)-HLOOKUP(Z$3,$D$7:$P$336,$R95,FALSE)</f>
        <v>102</v>
      </c>
      <c r="AA95" s="60">
        <f ca="1">100+HLOOKUP(AA$4,$D$7:$P$336,$R95,FALSE)-HLOOKUP(AA$3,$D$7:$P$336,$R95,FALSE)</f>
        <v>94</v>
      </c>
      <c r="AB95" s="60">
        <f ca="1">100+HLOOKUP(AB$4,$D$7:$P$336,$R95,FALSE)-HLOOKUP(AB$3,$D$7:$P$336,$R95,FALSE)</f>
        <v>102</v>
      </c>
      <c r="AC95" s="60">
        <f ca="1">100+HLOOKUP(AC$4,$D$7:$P$336,$R95,FALSE)-HLOOKUP(AC$3,$D$7:$P$336,$R95,FALSE)</f>
        <v>94</v>
      </c>
      <c r="AD95" s="60">
        <f ca="1">100+HLOOKUP(AD$4,$D$7:$P$336,$R95,FALSE)-HLOOKUP(AD$3,$D$7:$P$336,$R95,FALSE)</f>
        <v>102</v>
      </c>
      <c r="AE95" s="60">
        <f ca="1">100+HLOOKUP(AE$4,$D$7:$P$336,$R95,FALSE)-HLOOKUP(AE$3,$D$7:$P$336,$R95,FALSE)</f>
        <v>94</v>
      </c>
      <c r="AF95" s="60">
        <f ca="1">100+HLOOKUP(AF$4,$D$7:$P$336,$R95,FALSE)-HLOOKUP(AF$3,$D$7:$P$336,$R95,FALSE)</f>
        <v>102</v>
      </c>
      <c r="AG95" s="60">
        <f ca="1">100+HLOOKUP(AG$4,$D$7:$P$336,$R95,FALSE)-HLOOKUP(AG$3,$D$7:$P$336,$R95,FALSE)</f>
        <v>94</v>
      </c>
      <c r="AH95" s="60" t="e">
        <f>100+HLOOKUP(AH$4,$D$7:$P$336,$R95,FALSE)-HLOOKUP(AH$3,$D$7:$P$336,$R95,FALSE)</f>
        <v>#N/A</v>
      </c>
      <c r="AI95" s="60" t="e">
        <f>100+HLOOKUP(AI$4,$D$7:$P$336,$R95,FALSE)-HLOOKUP(AI$3,$D$7:$P$336,$R95,FALSE)</f>
        <v>#N/A</v>
      </c>
      <c r="AJ95" s="60" t="e">
        <f>100+HLOOKUP(AJ$4,$D$7:$P$336,$R95,FALSE)-HLOOKUP(AJ$3,$D$7:$P$336,$R95,FALSE)</f>
        <v>#N/A</v>
      </c>
      <c r="AK95" s="60" t="e">
        <f>100+HLOOKUP(AK$4,$D$7:$P$336,$R95,FALSE)-HLOOKUP(AK$3,$D$7:$P$336,$R95,FALSE)</f>
        <v>#N/A</v>
      </c>
      <c r="AL95" s="60" t="e">
        <f>100+HLOOKUP(AL$4,$D$7:$P$336,$R95,FALSE)-HLOOKUP(AL$3,$D$7:$P$336,$R95,FALSE)</f>
        <v>#N/A</v>
      </c>
      <c r="AM95" s="60" t="e">
        <f>100+HLOOKUP(AM$4,$D$7:$P$336,$R95,FALSE)-HLOOKUP(AM$3,$D$7:$P$336,$R95,FALSE)</f>
        <v>#N/A</v>
      </c>
      <c r="AN95" s="60" t="e">
        <f>100+HLOOKUP(AN$4,$D$7:$P$336,$R95,FALSE)-HLOOKUP(AN$3,$D$7:$P$336,$R95,FALSE)</f>
        <v>#N/A</v>
      </c>
      <c r="AO95" s="60" t="e">
        <f>100+HLOOKUP(AO$4,$D$7:$P$336,$R95,FALSE)-HLOOKUP(AO$3,$D$7:$P$336,$R95,FALSE)</f>
        <v>#N/A</v>
      </c>
      <c r="AP95" s="60" t="e">
        <f>100+HLOOKUP(AP$4,$D$7:$P$336,$R95,FALSE)-HLOOKUP(AP$3,$D$7:$P$336,$R95,FALSE)</f>
        <v>#N/A</v>
      </c>
      <c r="AQ95" s="60" t="e">
        <f>100+HLOOKUP(AQ$4,$D$7:$P$336,$R95,FALSE)-HLOOKUP(AQ$3,$D$7:$P$336,$R95,FALSE)</f>
        <v>#N/A</v>
      </c>
      <c r="AV95" s="60">
        <f ca="1">AV$5-S95</f>
        <v>1.1903994267964322</v>
      </c>
      <c r="AW95" s="60">
        <f ca="1">AW$5-T95</f>
        <v>-7.7793494702422521</v>
      </c>
      <c r="AX95" s="60">
        <f ca="1">AX$5-U95</f>
        <v>-0.22408459633194866</v>
      </c>
      <c r="AY95" s="60">
        <f ca="1">AY$5-V95</f>
        <v>-0.39698559847219883</v>
      </c>
      <c r="AZ95" s="60">
        <f ca="1">AZ$5-W95</f>
        <v>-4.5455178274039696</v>
      </c>
      <c r="BA95" s="60">
        <f ca="1">BA$5-X95</f>
        <v>-3.5349409410172967</v>
      </c>
      <c r="BB95" s="60">
        <f ca="1">BB$5-Y95</f>
        <v>-8.6494072726188733</v>
      </c>
      <c r="BC95" s="60">
        <f ca="1">BC$5-Z95</f>
        <v>5.4374659098821638</v>
      </c>
      <c r="BD95" s="60">
        <f ca="1">BD$5-AA95</f>
        <v>3.936518664382362</v>
      </c>
      <c r="BE95" s="60">
        <f ca="1">BE$5-AB95</f>
        <v>-10.170609408007806</v>
      </c>
      <c r="BF95" s="60">
        <f ca="1">BF$5-AC95</f>
        <v>7.0173043164770803</v>
      </c>
      <c r="BG95" s="60">
        <f ca="1">BG$5-AD95</f>
        <v>1.9852587050185093</v>
      </c>
      <c r="BH95" s="60">
        <f ca="1">BH$5-AE95</f>
        <v>4.9545922303675667</v>
      </c>
      <c r="BI95" s="60">
        <f ca="1">BI$5-AF95</f>
        <v>-11.391494488745195</v>
      </c>
      <c r="BJ95" s="60">
        <f ca="1">BJ$5-AG95</f>
        <v>-2.56044894232123</v>
      </c>
      <c r="BK95" s="60" t="e">
        <f>BK$5-AH95</f>
        <v>#N/A</v>
      </c>
      <c r="BL95" s="60" t="e">
        <f>BL$5-AI95</f>
        <v>#N/A</v>
      </c>
      <c r="BM95" s="60" t="e">
        <f>BM$5-AJ95</f>
        <v>#N/A</v>
      </c>
      <c r="BN95" s="60" t="e">
        <f>BN$5-AK95</f>
        <v>#N/A</v>
      </c>
      <c r="BO95" s="60" t="e">
        <f>BO$5-AL95</f>
        <v>#N/A</v>
      </c>
      <c r="BP95" s="60" t="e">
        <f>BP$5-AM95</f>
        <v>#N/A</v>
      </c>
      <c r="BQ95" s="60" t="e">
        <f>BQ$5-AN95</f>
        <v>#N/A</v>
      </c>
      <c r="BR95" s="60" t="e">
        <f>BR$5-AO95</f>
        <v>#N/A</v>
      </c>
      <c r="BS95" s="60" t="e">
        <f>BS$5-AP95</f>
        <v>#N/A</v>
      </c>
      <c r="BT95" s="60" t="e">
        <f>BT$5-AQ95</f>
        <v>#N/A</v>
      </c>
      <c r="BV95" s="60" cm="1">
        <f t="array" aca="1" ref="BV95" ca="1">SQRT(SUMSQ(_xlfn._xlws.FILTER(AV95:BT95,ISNUMBER(AV95:BT95)))/COUNT(_xlfn._xlws.FILTER(AV95:BT95,ISNUMBER(AV95:BT95))))</f>
        <v>5.9591401979112479</v>
      </c>
    </row>
    <row r="96" spans="3:74" x14ac:dyDescent="0.2">
      <c r="C96" s="60" t="s">
        <v>450</v>
      </c>
      <c r="D96" s="60">
        <v>0</v>
      </c>
      <c r="E96" s="60">
        <v>-2</v>
      </c>
      <c r="F96" s="60">
        <v>-13</v>
      </c>
      <c r="G96" s="60">
        <v>-7</v>
      </c>
      <c r="H96" s="60">
        <v>-5</v>
      </c>
      <c r="I96" s="60">
        <v>-3</v>
      </c>
      <c r="J96" s="60">
        <v>-5</v>
      </c>
      <c r="K96" s="60">
        <v>-3</v>
      </c>
      <c r="L96" s="60">
        <v>-7</v>
      </c>
      <c r="M96" s="60">
        <v>-2</v>
      </c>
      <c r="N96" s="60">
        <v>0</v>
      </c>
      <c r="O96" s="60">
        <v>-2</v>
      </c>
      <c r="P96" s="60">
        <v>0</v>
      </c>
      <c r="R96" s="61">
        <f>(ROW(R96)-ROW($C$6))</f>
        <v>90</v>
      </c>
      <c r="S96" s="60">
        <f ca="1">100+HLOOKUP(S$4,$D$7:$P$336,$R96,FALSE)-HLOOKUP(S$3,$D$7:$P$336,$R96,FALSE)</f>
        <v>97</v>
      </c>
      <c r="T96" s="60">
        <f ca="1">100+HLOOKUP(T$4,$D$7:$P$336,$R96,FALSE)-HLOOKUP(T$3,$D$7:$P$336,$R96,FALSE)</f>
        <v>97</v>
      </c>
      <c r="U96" s="60">
        <f ca="1">100+HLOOKUP(U$4,$D$7:$P$336,$R96,FALSE)-HLOOKUP(U$3,$D$7:$P$336,$R96,FALSE)</f>
        <v>95</v>
      </c>
      <c r="V96" s="60">
        <f ca="1">100+HLOOKUP(V$4,$D$7:$P$336,$R96,FALSE)-HLOOKUP(V$3,$D$7:$P$336,$R96,FALSE)</f>
        <v>97</v>
      </c>
      <c r="W96" s="60">
        <f ca="1">100+HLOOKUP(W$4,$D$7:$P$336,$R96,FALSE)-HLOOKUP(W$3,$D$7:$P$336,$R96,FALSE)</f>
        <v>97</v>
      </c>
      <c r="X96" s="60">
        <f ca="1">100+HLOOKUP(X$4,$D$7:$P$336,$R96,FALSE)-HLOOKUP(X$3,$D$7:$P$336,$R96,FALSE)</f>
        <v>97</v>
      </c>
      <c r="Y96" s="60">
        <f ca="1">100+HLOOKUP(Y$4,$D$7:$P$336,$R96,FALSE)-HLOOKUP(Y$3,$D$7:$P$336,$R96,FALSE)</f>
        <v>97</v>
      </c>
      <c r="Z96" s="60">
        <f ca="1">100+HLOOKUP(Z$4,$D$7:$P$336,$R96,FALSE)-HLOOKUP(Z$3,$D$7:$P$336,$R96,FALSE)</f>
        <v>95</v>
      </c>
      <c r="AA96" s="60">
        <f ca="1">100+HLOOKUP(AA$4,$D$7:$P$336,$R96,FALSE)-HLOOKUP(AA$3,$D$7:$P$336,$R96,FALSE)</f>
        <v>97</v>
      </c>
      <c r="AB96" s="60">
        <f ca="1">100+HLOOKUP(AB$4,$D$7:$P$336,$R96,FALSE)-HLOOKUP(AB$3,$D$7:$P$336,$R96,FALSE)</f>
        <v>97</v>
      </c>
      <c r="AC96" s="60">
        <f ca="1">100+HLOOKUP(AC$4,$D$7:$P$336,$R96,FALSE)-HLOOKUP(AC$3,$D$7:$P$336,$R96,FALSE)</f>
        <v>111</v>
      </c>
      <c r="AD96" s="60">
        <f ca="1">100+HLOOKUP(AD$4,$D$7:$P$336,$R96,FALSE)-HLOOKUP(AD$3,$D$7:$P$336,$R96,FALSE)</f>
        <v>103</v>
      </c>
      <c r="AE96" s="60">
        <f ca="1">100+HLOOKUP(AE$4,$D$7:$P$336,$R96,FALSE)-HLOOKUP(AE$3,$D$7:$P$336,$R96,FALSE)</f>
        <v>103</v>
      </c>
      <c r="AF96" s="60">
        <f ca="1">100+HLOOKUP(AF$4,$D$7:$P$336,$R96,FALSE)-HLOOKUP(AF$3,$D$7:$P$336,$R96,FALSE)</f>
        <v>100</v>
      </c>
      <c r="AG96" s="60">
        <f ca="1">100+HLOOKUP(AG$4,$D$7:$P$336,$R96,FALSE)-HLOOKUP(AG$3,$D$7:$P$336,$R96,FALSE)</f>
        <v>97</v>
      </c>
      <c r="AH96" s="60" t="e">
        <f>100+HLOOKUP(AH$4,$D$7:$P$336,$R96,FALSE)-HLOOKUP(AH$3,$D$7:$P$336,$R96,FALSE)</f>
        <v>#N/A</v>
      </c>
      <c r="AI96" s="60" t="e">
        <f>100+HLOOKUP(AI$4,$D$7:$P$336,$R96,FALSE)-HLOOKUP(AI$3,$D$7:$P$336,$R96,FALSE)</f>
        <v>#N/A</v>
      </c>
      <c r="AJ96" s="60" t="e">
        <f>100+HLOOKUP(AJ$4,$D$7:$P$336,$R96,FALSE)-HLOOKUP(AJ$3,$D$7:$P$336,$R96,FALSE)</f>
        <v>#N/A</v>
      </c>
      <c r="AK96" s="60" t="e">
        <f>100+HLOOKUP(AK$4,$D$7:$P$336,$R96,FALSE)-HLOOKUP(AK$3,$D$7:$P$336,$R96,FALSE)</f>
        <v>#N/A</v>
      </c>
      <c r="AL96" s="60" t="e">
        <f>100+HLOOKUP(AL$4,$D$7:$P$336,$R96,FALSE)-HLOOKUP(AL$3,$D$7:$P$336,$R96,FALSE)</f>
        <v>#N/A</v>
      </c>
      <c r="AM96" s="60" t="e">
        <f>100+HLOOKUP(AM$4,$D$7:$P$336,$R96,FALSE)-HLOOKUP(AM$3,$D$7:$P$336,$R96,FALSE)</f>
        <v>#N/A</v>
      </c>
      <c r="AN96" s="60" t="e">
        <f>100+HLOOKUP(AN$4,$D$7:$P$336,$R96,FALSE)-HLOOKUP(AN$3,$D$7:$P$336,$R96,FALSE)</f>
        <v>#N/A</v>
      </c>
      <c r="AO96" s="60" t="e">
        <f>100+HLOOKUP(AO$4,$D$7:$P$336,$R96,FALSE)-HLOOKUP(AO$3,$D$7:$P$336,$R96,FALSE)</f>
        <v>#N/A</v>
      </c>
      <c r="AP96" s="60" t="e">
        <f>100+HLOOKUP(AP$4,$D$7:$P$336,$R96,FALSE)-HLOOKUP(AP$3,$D$7:$P$336,$R96,FALSE)</f>
        <v>#N/A</v>
      </c>
      <c r="AQ96" s="60" t="e">
        <f>100+HLOOKUP(AQ$4,$D$7:$P$336,$R96,FALSE)-HLOOKUP(AQ$3,$D$7:$P$336,$R96,FALSE)</f>
        <v>#N/A</v>
      </c>
      <c r="AV96" s="60">
        <f ca="1">AV$5-S96</f>
        <v>6.1903994267964322</v>
      </c>
      <c r="AW96" s="60">
        <f ca="1">AW$5-T96</f>
        <v>-2.7793494702422521</v>
      </c>
      <c r="AX96" s="60">
        <f ca="1">AX$5-U96</f>
        <v>6.7759154036680513</v>
      </c>
      <c r="AY96" s="60">
        <f ca="1">AY$5-V96</f>
        <v>-3.3969855984721988</v>
      </c>
      <c r="AZ96" s="60">
        <f ca="1">AZ$5-W96</f>
        <v>0.45448217259603041</v>
      </c>
      <c r="BA96" s="60">
        <f ca="1">BA$5-X96</f>
        <v>1.4650590589827033</v>
      </c>
      <c r="BB96" s="60">
        <f ca="1">BB$5-Y96</f>
        <v>-3.6494072726188733</v>
      </c>
      <c r="BC96" s="60">
        <f ca="1">BC$5-Z96</f>
        <v>12.437465909882164</v>
      </c>
      <c r="BD96" s="60">
        <f ca="1">BD$5-AA96</f>
        <v>0.93651866438236198</v>
      </c>
      <c r="BE96" s="60">
        <f ca="1">BE$5-AB96</f>
        <v>-5.170609408007806</v>
      </c>
      <c r="BF96" s="60">
        <f ca="1">BF$5-AC96</f>
        <v>-9.9826956835229197</v>
      </c>
      <c r="BG96" s="60">
        <f ca="1">BG$5-AD96</f>
        <v>0.98525870501850932</v>
      </c>
      <c r="BH96" s="60">
        <f ca="1">BH$5-AE96</f>
        <v>-4.0454077696324333</v>
      </c>
      <c r="BI96" s="60">
        <f ca="1">BI$5-AF96</f>
        <v>-9.3914944887451952</v>
      </c>
      <c r="BJ96" s="60">
        <f ca="1">BJ$5-AG96</f>
        <v>-5.56044894232123</v>
      </c>
      <c r="BK96" s="60" t="e">
        <f>BK$5-AH96</f>
        <v>#N/A</v>
      </c>
      <c r="BL96" s="60" t="e">
        <f>BL$5-AI96</f>
        <v>#N/A</v>
      </c>
      <c r="BM96" s="60" t="e">
        <f>BM$5-AJ96</f>
        <v>#N/A</v>
      </c>
      <c r="BN96" s="60" t="e">
        <f>BN$5-AK96</f>
        <v>#N/A</v>
      </c>
      <c r="BO96" s="60" t="e">
        <f>BO$5-AL96</f>
        <v>#N/A</v>
      </c>
      <c r="BP96" s="60" t="e">
        <f>BP$5-AM96</f>
        <v>#N/A</v>
      </c>
      <c r="BQ96" s="60" t="e">
        <f>BQ$5-AN96</f>
        <v>#N/A</v>
      </c>
      <c r="BR96" s="60" t="e">
        <f>BR$5-AO96</f>
        <v>#N/A</v>
      </c>
      <c r="BS96" s="60" t="e">
        <f>BS$5-AP96</f>
        <v>#N/A</v>
      </c>
      <c r="BT96" s="60" t="e">
        <f>BT$5-AQ96</f>
        <v>#N/A</v>
      </c>
      <c r="BV96" s="60" cm="1">
        <f t="array" aca="1" ref="BV96" ca="1">SQRT(SUMSQ(_xlfn._xlws.FILTER(AV96:BT96,ISNUMBER(AV96:BT96)))/COUNT(_xlfn._xlws.FILTER(AV96:BT96,ISNUMBER(AV96:BT96))))</f>
        <v>5.9865480032419507</v>
      </c>
    </row>
    <row r="97" spans="3:74" x14ac:dyDescent="0.2">
      <c r="C97" s="60" t="s">
        <v>288</v>
      </c>
      <c r="D97" s="60">
        <v>0</v>
      </c>
      <c r="E97" s="60">
        <v>-3</v>
      </c>
      <c r="F97" s="60">
        <v>-7</v>
      </c>
      <c r="G97" s="60">
        <v>-10</v>
      </c>
      <c r="H97" s="60">
        <v>-14</v>
      </c>
      <c r="I97" s="60">
        <v>-17</v>
      </c>
      <c r="J97" s="60">
        <v>0</v>
      </c>
      <c r="K97" s="60">
        <v>-3</v>
      </c>
      <c r="L97" s="60">
        <v>-7</v>
      </c>
      <c r="M97" s="60">
        <v>-10</v>
      </c>
      <c r="N97" s="60">
        <v>-14</v>
      </c>
      <c r="O97" s="60">
        <v>3</v>
      </c>
      <c r="P97" s="60">
        <v>0</v>
      </c>
      <c r="R97" s="61">
        <f>(ROW(R97)-ROW($C$6))</f>
        <v>91</v>
      </c>
      <c r="S97" s="60">
        <f ca="1">100+HLOOKUP(S$4,$D$7:$P$336,$R97,FALSE)-HLOOKUP(S$3,$D$7:$P$336,$R97,FALSE)</f>
        <v>96</v>
      </c>
      <c r="T97" s="60">
        <f ca="1">100+HLOOKUP(T$4,$D$7:$P$336,$R97,FALSE)-HLOOKUP(T$3,$D$7:$P$336,$R97,FALSE)</f>
        <v>97</v>
      </c>
      <c r="U97" s="60">
        <f ca="1">100+HLOOKUP(U$4,$D$7:$P$336,$R97,FALSE)-HLOOKUP(U$3,$D$7:$P$336,$R97,FALSE)</f>
        <v>96</v>
      </c>
      <c r="V97" s="60">
        <f ca="1">100+HLOOKUP(V$4,$D$7:$P$336,$R97,FALSE)-HLOOKUP(V$3,$D$7:$P$336,$R97,FALSE)</f>
        <v>97</v>
      </c>
      <c r="W97" s="60">
        <f ca="1">100+HLOOKUP(W$4,$D$7:$P$336,$R97,FALSE)-HLOOKUP(W$3,$D$7:$P$336,$R97,FALSE)</f>
        <v>97</v>
      </c>
      <c r="X97" s="60">
        <f ca="1">100+HLOOKUP(X$4,$D$7:$P$336,$R97,FALSE)-HLOOKUP(X$3,$D$7:$P$336,$R97,FALSE)</f>
        <v>96</v>
      </c>
      <c r="Y97" s="60">
        <f ca="1">100+HLOOKUP(Y$4,$D$7:$P$336,$R97,FALSE)-HLOOKUP(Y$3,$D$7:$P$336,$R97,FALSE)</f>
        <v>97</v>
      </c>
      <c r="Z97" s="60">
        <f ca="1">100+HLOOKUP(Z$4,$D$7:$P$336,$R97,FALSE)-HLOOKUP(Z$3,$D$7:$P$336,$R97,FALSE)</f>
        <v>96</v>
      </c>
      <c r="AA97" s="60">
        <f ca="1">100+HLOOKUP(AA$4,$D$7:$P$336,$R97,FALSE)-HLOOKUP(AA$3,$D$7:$P$336,$R97,FALSE)</f>
        <v>97</v>
      </c>
      <c r="AB97" s="60">
        <f ca="1">100+HLOOKUP(AB$4,$D$7:$P$336,$R97,FALSE)-HLOOKUP(AB$3,$D$7:$P$336,$R97,FALSE)</f>
        <v>97</v>
      </c>
      <c r="AC97" s="60">
        <f ca="1">100+HLOOKUP(AC$4,$D$7:$P$336,$R97,FALSE)-HLOOKUP(AC$3,$D$7:$P$336,$R97,FALSE)</f>
        <v>97</v>
      </c>
      <c r="AD97" s="60">
        <f ca="1">100+HLOOKUP(AD$4,$D$7:$P$336,$R97,FALSE)-HLOOKUP(AD$3,$D$7:$P$336,$R97,FALSE)</f>
        <v>117</v>
      </c>
      <c r="AE97" s="60">
        <f ca="1">100+HLOOKUP(AE$4,$D$7:$P$336,$R97,FALSE)-HLOOKUP(AE$3,$D$7:$P$336,$R97,FALSE)</f>
        <v>97</v>
      </c>
      <c r="AF97" s="60">
        <f ca="1">100+HLOOKUP(AF$4,$D$7:$P$336,$R97,FALSE)-HLOOKUP(AF$3,$D$7:$P$336,$R97,FALSE)</f>
        <v>97</v>
      </c>
      <c r="AG97" s="60">
        <f ca="1">100+HLOOKUP(AG$4,$D$7:$P$336,$R97,FALSE)-HLOOKUP(AG$3,$D$7:$P$336,$R97,FALSE)</f>
        <v>97</v>
      </c>
      <c r="AH97" s="60" t="e">
        <f>100+HLOOKUP(AH$4,$D$7:$P$336,$R97,FALSE)-HLOOKUP(AH$3,$D$7:$P$336,$R97,FALSE)</f>
        <v>#N/A</v>
      </c>
      <c r="AI97" s="60" t="e">
        <f>100+HLOOKUP(AI$4,$D$7:$P$336,$R97,FALSE)-HLOOKUP(AI$3,$D$7:$P$336,$R97,FALSE)</f>
        <v>#N/A</v>
      </c>
      <c r="AJ97" s="60" t="e">
        <f>100+HLOOKUP(AJ$4,$D$7:$P$336,$R97,FALSE)-HLOOKUP(AJ$3,$D$7:$P$336,$R97,FALSE)</f>
        <v>#N/A</v>
      </c>
      <c r="AK97" s="60" t="e">
        <f>100+HLOOKUP(AK$4,$D$7:$P$336,$R97,FALSE)-HLOOKUP(AK$3,$D$7:$P$336,$R97,FALSE)</f>
        <v>#N/A</v>
      </c>
      <c r="AL97" s="60" t="e">
        <f>100+HLOOKUP(AL$4,$D$7:$P$336,$R97,FALSE)-HLOOKUP(AL$3,$D$7:$P$336,$R97,FALSE)</f>
        <v>#N/A</v>
      </c>
      <c r="AM97" s="60" t="e">
        <f>100+HLOOKUP(AM$4,$D$7:$P$336,$R97,FALSE)-HLOOKUP(AM$3,$D$7:$P$336,$R97,FALSE)</f>
        <v>#N/A</v>
      </c>
      <c r="AN97" s="60" t="e">
        <f>100+HLOOKUP(AN$4,$D$7:$P$336,$R97,FALSE)-HLOOKUP(AN$3,$D$7:$P$336,$R97,FALSE)</f>
        <v>#N/A</v>
      </c>
      <c r="AO97" s="60" t="e">
        <f>100+HLOOKUP(AO$4,$D$7:$P$336,$R97,FALSE)-HLOOKUP(AO$3,$D$7:$P$336,$R97,FALSE)</f>
        <v>#N/A</v>
      </c>
      <c r="AP97" s="60" t="e">
        <f>100+HLOOKUP(AP$4,$D$7:$P$336,$R97,FALSE)-HLOOKUP(AP$3,$D$7:$P$336,$R97,FALSE)</f>
        <v>#N/A</v>
      </c>
      <c r="AQ97" s="60" t="e">
        <f>100+HLOOKUP(AQ$4,$D$7:$P$336,$R97,FALSE)-HLOOKUP(AQ$3,$D$7:$P$336,$R97,FALSE)</f>
        <v>#N/A</v>
      </c>
      <c r="AV97" s="60">
        <f ca="1">AV$5-S97</f>
        <v>7.1903994267964322</v>
      </c>
      <c r="AW97" s="60">
        <f ca="1">AW$5-T97</f>
        <v>-2.7793494702422521</v>
      </c>
      <c r="AX97" s="60">
        <f ca="1">AX$5-U97</f>
        <v>5.7759154036680513</v>
      </c>
      <c r="AY97" s="60">
        <f ca="1">AY$5-V97</f>
        <v>-3.3969855984721988</v>
      </c>
      <c r="AZ97" s="60">
        <f ca="1">AZ$5-W97</f>
        <v>0.45448217259603041</v>
      </c>
      <c r="BA97" s="60">
        <f ca="1">BA$5-X97</f>
        <v>2.4650590589827033</v>
      </c>
      <c r="BB97" s="60">
        <f ca="1">BB$5-Y97</f>
        <v>-3.6494072726188733</v>
      </c>
      <c r="BC97" s="60">
        <f ca="1">BC$5-Z97</f>
        <v>11.437465909882164</v>
      </c>
      <c r="BD97" s="60">
        <f ca="1">BD$5-AA97</f>
        <v>0.93651866438236198</v>
      </c>
      <c r="BE97" s="60">
        <f ca="1">BE$5-AB97</f>
        <v>-5.170609408007806</v>
      </c>
      <c r="BF97" s="60">
        <f ca="1">BF$5-AC97</f>
        <v>4.0173043164770803</v>
      </c>
      <c r="BG97" s="60">
        <f ca="1">BG$5-AD97</f>
        <v>-13.014741294981491</v>
      </c>
      <c r="BH97" s="60">
        <f ca="1">BH$5-AE97</f>
        <v>1.9545922303675667</v>
      </c>
      <c r="BI97" s="60">
        <f ca="1">BI$5-AF97</f>
        <v>-6.3914944887451952</v>
      </c>
      <c r="BJ97" s="60">
        <f ca="1">BJ$5-AG97</f>
        <v>-5.56044894232123</v>
      </c>
      <c r="BK97" s="60" t="e">
        <f>BK$5-AH97</f>
        <v>#N/A</v>
      </c>
      <c r="BL97" s="60" t="e">
        <f>BL$5-AI97</f>
        <v>#N/A</v>
      </c>
      <c r="BM97" s="60" t="e">
        <f>BM$5-AJ97</f>
        <v>#N/A</v>
      </c>
      <c r="BN97" s="60" t="e">
        <f>BN$5-AK97</f>
        <v>#N/A</v>
      </c>
      <c r="BO97" s="60" t="e">
        <f>BO$5-AL97</f>
        <v>#N/A</v>
      </c>
      <c r="BP97" s="60" t="e">
        <f>BP$5-AM97</f>
        <v>#N/A</v>
      </c>
      <c r="BQ97" s="60" t="e">
        <f>BQ$5-AN97</f>
        <v>#N/A</v>
      </c>
      <c r="BR97" s="60" t="e">
        <f>BR$5-AO97</f>
        <v>#N/A</v>
      </c>
      <c r="BS97" s="60" t="e">
        <f>BS$5-AP97</f>
        <v>#N/A</v>
      </c>
      <c r="BT97" s="60" t="e">
        <f>BT$5-AQ97</f>
        <v>#N/A</v>
      </c>
      <c r="BV97" s="60" cm="1">
        <f t="array" aca="1" ref="BV97" ca="1">SQRT(SUMSQ(_xlfn._xlws.FILTER(AV97:BT97,ISNUMBER(AV97:BT97)))/COUNT(_xlfn._xlws.FILTER(AV97:BT97,ISNUMBER(AV97:BT97))))</f>
        <v>6.0192409611403122</v>
      </c>
    </row>
    <row r="98" spans="3:74" x14ac:dyDescent="0.2">
      <c r="C98" s="60" t="s">
        <v>440</v>
      </c>
      <c r="D98" s="60">
        <v>0</v>
      </c>
      <c r="E98" s="60">
        <v>-4</v>
      </c>
      <c r="F98" s="60">
        <v>2</v>
      </c>
      <c r="G98" s="60">
        <v>-1</v>
      </c>
      <c r="H98" s="60">
        <v>-3</v>
      </c>
      <c r="I98" s="60">
        <v>-6</v>
      </c>
      <c r="J98" s="60">
        <v>-1</v>
      </c>
      <c r="K98" s="60">
        <v>-3</v>
      </c>
      <c r="L98" s="60">
        <v>-7</v>
      </c>
      <c r="M98" s="60">
        <v>-3</v>
      </c>
      <c r="N98" s="60">
        <v>4</v>
      </c>
      <c r="O98" s="60">
        <v>2</v>
      </c>
      <c r="P98" s="60">
        <v>0</v>
      </c>
      <c r="R98" s="61">
        <f>(ROW(R98)-ROW($C$6))</f>
        <v>92</v>
      </c>
      <c r="S98" s="60">
        <f ca="1">100+HLOOKUP(S$4,$D$7:$P$336,$R98,FALSE)-HLOOKUP(S$3,$D$7:$P$336,$R98,FALSE)</f>
        <v>100</v>
      </c>
      <c r="T98" s="60">
        <f ca="1">100+HLOOKUP(T$4,$D$7:$P$336,$R98,FALSE)-HLOOKUP(T$3,$D$7:$P$336,$R98,FALSE)</f>
        <v>97</v>
      </c>
      <c r="U98" s="60">
        <f ca="1">100+HLOOKUP(U$4,$D$7:$P$336,$R98,FALSE)-HLOOKUP(U$3,$D$7:$P$336,$R98,FALSE)</f>
        <v>97</v>
      </c>
      <c r="V98" s="60">
        <f ca="1">100+HLOOKUP(V$4,$D$7:$P$336,$R98,FALSE)-HLOOKUP(V$3,$D$7:$P$336,$R98,FALSE)</f>
        <v>90</v>
      </c>
      <c r="W98" s="60">
        <f ca="1">100+HLOOKUP(W$4,$D$7:$P$336,$R98,FALSE)-HLOOKUP(W$3,$D$7:$P$336,$R98,FALSE)</f>
        <v>97</v>
      </c>
      <c r="X98" s="60">
        <f ca="1">100+HLOOKUP(X$4,$D$7:$P$336,$R98,FALSE)-HLOOKUP(X$3,$D$7:$P$336,$R98,FALSE)</f>
        <v>100</v>
      </c>
      <c r="Y98" s="60">
        <f ca="1">100+HLOOKUP(Y$4,$D$7:$P$336,$R98,FALSE)-HLOOKUP(Y$3,$D$7:$P$336,$R98,FALSE)</f>
        <v>97</v>
      </c>
      <c r="Z98" s="60">
        <f ca="1">100+HLOOKUP(Z$4,$D$7:$P$336,$R98,FALSE)-HLOOKUP(Z$3,$D$7:$P$336,$R98,FALSE)</f>
        <v>97</v>
      </c>
      <c r="AA98" s="60">
        <f ca="1">100+HLOOKUP(AA$4,$D$7:$P$336,$R98,FALSE)-HLOOKUP(AA$3,$D$7:$P$336,$R98,FALSE)</f>
        <v>90</v>
      </c>
      <c r="AB98" s="60">
        <f ca="1">100+HLOOKUP(AB$4,$D$7:$P$336,$R98,FALSE)-HLOOKUP(AB$3,$D$7:$P$336,$R98,FALSE)</f>
        <v>97</v>
      </c>
      <c r="AC98" s="60">
        <f ca="1">100+HLOOKUP(AC$4,$D$7:$P$336,$R98,FALSE)-HLOOKUP(AC$3,$D$7:$P$336,$R98,FALSE)</f>
        <v>95</v>
      </c>
      <c r="AD98" s="60">
        <f ca="1">100+HLOOKUP(AD$4,$D$7:$P$336,$R98,FALSE)-HLOOKUP(AD$3,$D$7:$P$336,$R98,FALSE)</f>
        <v>105</v>
      </c>
      <c r="AE98" s="60">
        <f ca="1">100+HLOOKUP(AE$4,$D$7:$P$336,$R98,FALSE)-HLOOKUP(AE$3,$D$7:$P$336,$R98,FALSE)</f>
        <v>97</v>
      </c>
      <c r="AF98" s="60">
        <f ca="1">100+HLOOKUP(AF$4,$D$7:$P$336,$R98,FALSE)-HLOOKUP(AF$3,$D$7:$P$336,$R98,FALSE)</f>
        <v>106</v>
      </c>
      <c r="AG98" s="60">
        <f ca="1">100+HLOOKUP(AG$4,$D$7:$P$336,$R98,FALSE)-HLOOKUP(AG$3,$D$7:$P$336,$R98,FALSE)</f>
        <v>90</v>
      </c>
      <c r="AH98" s="60" t="e">
        <f>100+HLOOKUP(AH$4,$D$7:$P$336,$R98,FALSE)-HLOOKUP(AH$3,$D$7:$P$336,$R98,FALSE)</f>
        <v>#N/A</v>
      </c>
      <c r="AI98" s="60" t="e">
        <f>100+HLOOKUP(AI$4,$D$7:$P$336,$R98,FALSE)-HLOOKUP(AI$3,$D$7:$P$336,$R98,FALSE)</f>
        <v>#N/A</v>
      </c>
      <c r="AJ98" s="60" t="e">
        <f>100+HLOOKUP(AJ$4,$D$7:$P$336,$R98,FALSE)-HLOOKUP(AJ$3,$D$7:$P$336,$R98,FALSE)</f>
        <v>#N/A</v>
      </c>
      <c r="AK98" s="60" t="e">
        <f>100+HLOOKUP(AK$4,$D$7:$P$336,$R98,FALSE)-HLOOKUP(AK$3,$D$7:$P$336,$R98,FALSE)</f>
        <v>#N/A</v>
      </c>
      <c r="AL98" s="60" t="e">
        <f>100+HLOOKUP(AL$4,$D$7:$P$336,$R98,FALSE)-HLOOKUP(AL$3,$D$7:$P$336,$R98,FALSE)</f>
        <v>#N/A</v>
      </c>
      <c r="AM98" s="60" t="e">
        <f>100+HLOOKUP(AM$4,$D$7:$P$336,$R98,FALSE)-HLOOKUP(AM$3,$D$7:$P$336,$R98,FALSE)</f>
        <v>#N/A</v>
      </c>
      <c r="AN98" s="60" t="e">
        <f>100+HLOOKUP(AN$4,$D$7:$P$336,$R98,FALSE)-HLOOKUP(AN$3,$D$7:$P$336,$R98,FALSE)</f>
        <v>#N/A</v>
      </c>
      <c r="AO98" s="60" t="e">
        <f>100+HLOOKUP(AO$4,$D$7:$P$336,$R98,FALSE)-HLOOKUP(AO$3,$D$7:$P$336,$R98,FALSE)</f>
        <v>#N/A</v>
      </c>
      <c r="AP98" s="60" t="e">
        <f>100+HLOOKUP(AP$4,$D$7:$P$336,$R98,FALSE)-HLOOKUP(AP$3,$D$7:$P$336,$R98,FALSE)</f>
        <v>#N/A</v>
      </c>
      <c r="AQ98" s="60" t="e">
        <f>100+HLOOKUP(AQ$4,$D$7:$P$336,$R98,FALSE)-HLOOKUP(AQ$3,$D$7:$P$336,$R98,FALSE)</f>
        <v>#N/A</v>
      </c>
      <c r="AV98" s="60">
        <f ca="1">AV$5-S98</f>
        <v>3.1903994267964322</v>
      </c>
      <c r="AW98" s="60">
        <f ca="1">AW$5-T98</f>
        <v>-2.7793494702422521</v>
      </c>
      <c r="AX98" s="60">
        <f ca="1">AX$5-U98</f>
        <v>4.7759154036680513</v>
      </c>
      <c r="AY98" s="60">
        <f ca="1">AY$5-V98</f>
        <v>3.6030144015278012</v>
      </c>
      <c r="AZ98" s="60">
        <f ca="1">AZ$5-W98</f>
        <v>0.45448217259603041</v>
      </c>
      <c r="BA98" s="60">
        <f ca="1">BA$5-X98</f>
        <v>-1.5349409410172967</v>
      </c>
      <c r="BB98" s="60">
        <f ca="1">BB$5-Y98</f>
        <v>-3.6494072726188733</v>
      </c>
      <c r="BC98" s="60">
        <f ca="1">BC$5-Z98</f>
        <v>10.437465909882164</v>
      </c>
      <c r="BD98" s="60">
        <f ca="1">BD$5-AA98</f>
        <v>7.936518664382362</v>
      </c>
      <c r="BE98" s="60">
        <f ca="1">BE$5-AB98</f>
        <v>-5.170609408007806</v>
      </c>
      <c r="BF98" s="60">
        <f ca="1">BF$5-AC98</f>
        <v>6.0173043164770803</v>
      </c>
      <c r="BG98" s="60">
        <f ca="1">BG$5-AD98</f>
        <v>-1.0147412949814907</v>
      </c>
      <c r="BH98" s="60">
        <f ca="1">BH$5-AE98</f>
        <v>1.9545922303675667</v>
      </c>
      <c r="BI98" s="60">
        <f ca="1">BI$5-AF98</f>
        <v>-15.391494488745195</v>
      </c>
      <c r="BJ98" s="60">
        <f ca="1">BJ$5-AG98</f>
        <v>1.43955105767877</v>
      </c>
      <c r="BK98" s="60" t="e">
        <f>BK$5-AH98</f>
        <v>#N/A</v>
      </c>
      <c r="BL98" s="60" t="e">
        <f>BL$5-AI98</f>
        <v>#N/A</v>
      </c>
      <c r="BM98" s="60" t="e">
        <f>BM$5-AJ98</f>
        <v>#N/A</v>
      </c>
      <c r="BN98" s="60" t="e">
        <f>BN$5-AK98</f>
        <v>#N/A</v>
      </c>
      <c r="BO98" s="60" t="e">
        <f>BO$5-AL98</f>
        <v>#N/A</v>
      </c>
      <c r="BP98" s="60" t="e">
        <f>BP$5-AM98</f>
        <v>#N/A</v>
      </c>
      <c r="BQ98" s="60" t="e">
        <f>BQ$5-AN98</f>
        <v>#N/A</v>
      </c>
      <c r="BR98" s="60" t="e">
        <f>BR$5-AO98</f>
        <v>#N/A</v>
      </c>
      <c r="BS98" s="60" t="e">
        <f>BS$5-AP98</f>
        <v>#N/A</v>
      </c>
      <c r="BT98" s="60" t="e">
        <f>BT$5-AQ98</f>
        <v>#N/A</v>
      </c>
      <c r="BV98" s="60" cm="1">
        <f t="array" aca="1" ref="BV98" ca="1">SQRT(SUMSQ(_xlfn._xlws.FILTER(AV98:BT98,ISNUMBER(AV98:BT98)))/COUNT(_xlfn._xlws.FILTER(AV98:BT98,ISNUMBER(AV98:BT98))))</f>
        <v>6.0457588463578764</v>
      </c>
    </row>
    <row r="99" spans="3:74" x14ac:dyDescent="0.2">
      <c r="C99" s="60" t="s">
        <v>451</v>
      </c>
      <c r="D99" s="60">
        <v>0</v>
      </c>
      <c r="E99" s="60">
        <v>-2.46</v>
      </c>
      <c r="F99" s="60">
        <v>-13.67</v>
      </c>
      <c r="G99" s="60">
        <v>-6.79</v>
      </c>
      <c r="H99" s="60">
        <v>-4.83</v>
      </c>
      <c r="I99" s="60">
        <v>-2.88</v>
      </c>
      <c r="J99" s="60">
        <v>-5.08</v>
      </c>
      <c r="K99" s="60">
        <v>-3.34</v>
      </c>
      <c r="L99" s="60">
        <v>-7.38</v>
      </c>
      <c r="M99" s="60">
        <v>-1.93</v>
      </c>
      <c r="N99" s="60">
        <v>0.02</v>
      </c>
      <c r="O99" s="60">
        <v>-1.96</v>
      </c>
      <c r="P99" s="60">
        <v>0</v>
      </c>
      <c r="R99" s="61">
        <f>(ROW(R99)-ROW($C$6))</f>
        <v>93</v>
      </c>
      <c r="S99" s="60">
        <f ca="1">100+HLOOKUP(S$4,$D$7:$P$336,$R99,FALSE)-HLOOKUP(S$3,$D$7:$P$336,$R99,FALSE)</f>
        <v>97.100000000000009</v>
      </c>
      <c r="T99" s="60">
        <f ca="1">100+HLOOKUP(T$4,$D$7:$P$336,$R99,FALSE)-HLOOKUP(T$3,$D$7:$P$336,$R99,FALSE)</f>
        <v>96.88</v>
      </c>
      <c r="U99" s="60">
        <f ca="1">100+HLOOKUP(U$4,$D$7:$P$336,$R99,FALSE)-HLOOKUP(U$3,$D$7:$P$336,$R99,FALSE)</f>
        <v>95.08</v>
      </c>
      <c r="V99" s="60">
        <f ca="1">100+HLOOKUP(V$4,$D$7:$P$336,$R99,FALSE)-HLOOKUP(V$3,$D$7:$P$336,$R99,FALSE)</f>
        <v>97.100000000000009</v>
      </c>
      <c r="W99" s="60">
        <f ca="1">100+HLOOKUP(W$4,$D$7:$P$336,$R99,FALSE)-HLOOKUP(W$3,$D$7:$P$336,$R99,FALSE)</f>
        <v>96.66</v>
      </c>
      <c r="X99" s="60">
        <f ca="1">100+HLOOKUP(X$4,$D$7:$P$336,$R99,FALSE)-HLOOKUP(X$3,$D$7:$P$336,$R99,FALSE)</f>
        <v>97.100000000000009</v>
      </c>
      <c r="Y99" s="60">
        <f ca="1">100+HLOOKUP(Y$4,$D$7:$P$336,$R99,FALSE)-HLOOKUP(Y$3,$D$7:$P$336,$R99,FALSE)</f>
        <v>96.88</v>
      </c>
      <c r="Z99" s="60">
        <f ca="1">100+HLOOKUP(Z$4,$D$7:$P$336,$R99,FALSE)-HLOOKUP(Z$3,$D$7:$P$336,$R99,FALSE)</f>
        <v>95.08</v>
      </c>
      <c r="AA99" s="60">
        <f ca="1">100+HLOOKUP(AA$4,$D$7:$P$336,$R99,FALSE)-HLOOKUP(AA$3,$D$7:$P$336,$R99,FALSE)</f>
        <v>97.100000000000009</v>
      </c>
      <c r="AB99" s="60">
        <f ca="1">100+HLOOKUP(AB$4,$D$7:$P$336,$R99,FALSE)-HLOOKUP(AB$3,$D$7:$P$336,$R99,FALSE)</f>
        <v>96.66</v>
      </c>
      <c r="AC99" s="60">
        <f ca="1">100+HLOOKUP(AC$4,$D$7:$P$336,$R99,FALSE)-HLOOKUP(AC$3,$D$7:$P$336,$R99,FALSE)</f>
        <v>111.74</v>
      </c>
      <c r="AD99" s="60">
        <f ca="1">100+HLOOKUP(AD$4,$D$7:$P$336,$R99,FALSE)-HLOOKUP(AD$3,$D$7:$P$336,$R99,FALSE)</f>
        <v>102.87</v>
      </c>
      <c r="AE99" s="60">
        <f ca="1">100+HLOOKUP(AE$4,$D$7:$P$336,$R99,FALSE)-HLOOKUP(AE$3,$D$7:$P$336,$R99,FALSE)</f>
        <v>102.62</v>
      </c>
      <c r="AF99" s="60">
        <f ca="1">100+HLOOKUP(AF$4,$D$7:$P$336,$R99,FALSE)-HLOOKUP(AF$3,$D$7:$P$336,$R99,FALSE)</f>
        <v>100.58999999999999</v>
      </c>
      <c r="AG99" s="60">
        <f ca="1">100+HLOOKUP(AG$4,$D$7:$P$336,$R99,FALSE)-HLOOKUP(AG$3,$D$7:$P$336,$R99,FALSE)</f>
        <v>97.100000000000009</v>
      </c>
      <c r="AH99" s="60" t="e">
        <f>100+HLOOKUP(AH$4,$D$7:$P$336,$R99,FALSE)-HLOOKUP(AH$3,$D$7:$P$336,$R99,FALSE)</f>
        <v>#N/A</v>
      </c>
      <c r="AI99" s="60" t="e">
        <f>100+HLOOKUP(AI$4,$D$7:$P$336,$R99,FALSE)-HLOOKUP(AI$3,$D$7:$P$336,$R99,FALSE)</f>
        <v>#N/A</v>
      </c>
      <c r="AJ99" s="60" t="e">
        <f>100+HLOOKUP(AJ$4,$D$7:$P$336,$R99,FALSE)-HLOOKUP(AJ$3,$D$7:$P$336,$R99,FALSE)</f>
        <v>#N/A</v>
      </c>
      <c r="AK99" s="60" t="e">
        <f>100+HLOOKUP(AK$4,$D$7:$P$336,$R99,FALSE)-HLOOKUP(AK$3,$D$7:$P$336,$R99,FALSE)</f>
        <v>#N/A</v>
      </c>
      <c r="AL99" s="60" t="e">
        <f>100+HLOOKUP(AL$4,$D$7:$P$336,$R99,FALSE)-HLOOKUP(AL$3,$D$7:$P$336,$R99,FALSE)</f>
        <v>#N/A</v>
      </c>
      <c r="AM99" s="60" t="e">
        <f>100+HLOOKUP(AM$4,$D$7:$P$336,$R99,FALSE)-HLOOKUP(AM$3,$D$7:$P$336,$R99,FALSE)</f>
        <v>#N/A</v>
      </c>
      <c r="AN99" s="60" t="e">
        <f>100+HLOOKUP(AN$4,$D$7:$P$336,$R99,FALSE)-HLOOKUP(AN$3,$D$7:$P$336,$R99,FALSE)</f>
        <v>#N/A</v>
      </c>
      <c r="AO99" s="60" t="e">
        <f>100+HLOOKUP(AO$4,$D$7:$P$336,$R99,FALSE)-HLOOKUP(AO$3,$D$7:$P$336,$R99,FALSE)</f>
        <v>#N/A</v>
      </c>
      <c r="AP99" s="60" t="e">
        <f>100+HLOOKUP(AP$4,$D$7:$P$336,$R99,FALSE)-HLOOKUP(AP$3,$D$7:$P$336,$R99,FALSE)</f>
        <v>#N/A</v>
      </c>
      <c r="AQ99" s="60" t="e">
        <f>100+HLOOKUP(AQ$4,$D$7:$P$336,$R99,FALSE)-HLOOKUP(AQ$3,$D$7:$P$336,$R99,FALSE)</f>
        <v>#N/A</v>
      </c>
      <c r="AV99" s="60">
        <f ca="1">AV$5-S99</f>
        <v>6.0903994267964237</v>
      </c>
      <c r="AW99" s="60">
        <f ca="1">AW$5-T99</f>
        <v>-2.6593494702422475</v>
      </c>
      <c r="AX99" s="60">
        <f ca="1">AX$5-U99</f>
        <v>6.695915403668053</v>
      </c>
      <c r="AY99" s="60">
        <f ca="1">AY$5-V99</f>
        <v>-3.4969855984722074</v>
      </c>
      <c r="AZ99" s="60">
        <f ca="1">AZ$5-W99</f>
        <v>0.79448217259603382</v>
      </c>
      <c r="BA99" s="60">
        <f ca="1">BA$5-X99</f>
        <v>1.3650590589826948</v>
      </c>
      <c r="BB99" s="60">
        <f ca="1">BB$5-Y99</f>
        <v>-3.5294072726188688</v>
      </c>
      <c r="BC99" s="60">
        <f ca="1">BC$5-Z99</f>
        <v>12.357465909882166</v>
      </c>
      <c r="BD99" s="60">
        <f ca="1">BD$5-AA99</f>
        <v>0.83651866438235345</v>
      </c>
      <c r="BE99" s="60">
        <f ca="1">BE$5-AB99</f>
        <v>-4.8306094080078026</v>
      </c>
      <c r="BF99" s="60">
        <f ca="1">BF$5-AC99</f>
        <v>-10.722695683522915</v>
      </c>
      <c r="BG99" s="60">
        <f ca="1">BG$5-AD99</f>
        <v>1.1152587050185048</v>
      </c>
      <c r="BH99" s="60">
        <f ca="1">BH$5-AE99</f>
        <v>-3.6654077696324379</v>
      </c>
      <c r="BI99" s="60">
        <f ca="1">BI$5-AF99</f>
        <v>-9.9814944887451844</v>
      </c>
      <c r="BJ99" s="60">
        <f ca="1">BJ$5-AG99</f>
        <v>-5.6604489423212385</v>
      </c>
      <c r="BK99" s="60" t="e">
        <f>BK$5-AH99</f>
        <v>#N/A</v>
      </c>
      <c r="BL99" s="60" t="e">
        <f>BL$5-AI99</f>
        <v>#N/A</v>
      </c>
      <c r="BM99" s="60" t="e">
        <f>BM$5-AJ99</f>
        <v>#N/A</v>
      </c>
      <c r="BN99" s="60" t="e">
        <f>BN$5-AK99</f>
        <v>#N/A</v>
      </c>
      <c r="BO99" s="60" t="e">
        <f>BO$5-AL99</f>
        <v>#N/A</v>
      </c>
      <c r="BP99" s="60" t="e">
        <f>BP$5-AM99</f>
        <v>#N/A</v>
      </c>
      <c r="BQ99" s="60" t="e">
        <f>BQ$5-AN99</f>
        <v>#N/A</v>
      </c>
      <c r="BR99" s="60" t="e">
        <f>BR$5-AO99</f>
        <v>#N/A</v>
      </c>
      <c r="BS99" s="60" t="e">
        <f>BS$5-AP99</f>
        <v>#N/A</v>
      </c>
      <c r="BT99" s="60" t="e">
        <f>BT$5-AQ99</f>
        <v>#N/A</v>
      </c>
      <c r="BV99" s="60" cm="1">
        <f t="array" aca="1" ref="BV99" ca="1">SQRT(SUMSQ(_xlfn._xlws.FILTER(AV99:BT99,ISNUMBER(AV99:BT99)))/COUNT(_xlfn._xlws.FILTER(AV99:BT99,ISNUMBER(AV99:BT99))))</f>
        <v>6.0786415572511565</v>
      </c>
    </row>
    <row r="100" spans="3:74" x14ac:dyDescent="0.2">
      <c r="C100" s="60" t="s">
        <v>292</v>
      </c>
      <c r="D100" s="60">
        <v>0</v>
      </c>
      <c r="E100" s="60">
        <v>-9</v>
      </c>
      <c r="F100" s="60">
        <v>-7</v>
      </c>
      <c r="G100" s="60">
        <v>-5</v>
      </c>
      <c r="H100" s="60">
        <v>-14</v>
      </c>
      <c r="I100" s="60">
        <v>-2</v>
      </c>
      <c r="J100" s="60">
        <v>-10</v>
      </c>
      <c r="K100" s="60">
        <v>-3</v>
      </c>
      <c r="L100" s="60">
        <v>-7</v>
      </c>
      <c r="M100" s="60">
        <v>-10</v>
      </c>
      <c r="N100" s="60">
        <v>-3</v>
      </c>
      <c r="O100" s="60">
        <v>-12</v>
      </c>
      <c r="P100" s="60">
        <v>0</v>
      </c>
      <c r="R100" s="61">
        <f>(ROW(R100)-ROW($C$6))</f>
        <v>94</v>
      </c>
      <c r="S100" s="60">
        <f ca="1">100+HLOOKUP(S$4,$D$7:$P$336,$R100,FALSE)-HLOOKUP(S$3,$D$7:$P$336,$R100,FALSE)</f>
        <v>96</v>
      </c>
      <c r="T100" s="60">
        <f ca="1">100+HLOOKUP(T$4,$D$7:$P$336,$R100,FALSE)-HLOOKUP(T$3,$D$7:$P$336,$R100,FALSE)</f>
        <v>102</v>
      </c>
      <c r="U100" s="60">
        <f ca="1">100+HLOOKUP(U$4,$D$7:$P$336,$R100,FALSE)-HLOOKUP(U$3,$D$7:$P$336,$R100,FALSE)</f>
        <v>102</v>
      </c>
      <c r="V100" s="60">
        <f ca="1">100+HLOOKUP(V$4,$D$7:$P$336,$R100,FALSE)-HLOOKUP(V$3,$D$7:$P$336,$R100,FALSE)</f>
        <v>101</v>
      </c>
      <c r="W100" s="60">
        <f ca="1">100+HLOOKUP(W$4,$D$7:$P$336,$R100,FALSE)-HLOOKUP(W$3,$D$7:$P$336,$R100,FALSE)</f>
        <v>97</v>
      </c>
      <c r="X100" s="60">
        <f ca="1">100+HLOOKUP(X$4,$D$7:$P$336,$R100,FALSE)-HLOOKUP(X$3,$D$7:$P$336,$R100,FALSE)</f>
        <v>96</v>
      </c>
      <c r="Y100" s="60">
        <f ca="1">100+HLOOKUP(Y$4,$D$7:$P$336,$R100,FALSE)-HLOOKUP(Y$3,$D$7:$P$336,$R100,FALSE)</f>
        <v>102</v>
      </c>
      <c r="Z100" s="60">
        <f ca="1">100+HLOOKUP(Z$4,$D$7:$P$336,$R100,FALSE)-HLOOKUP(Z$3,$D$7:$P$336,$R100,FALSE)</f>
        <v>102</v>
      </c>
      <c r="AA100" s="60">
        <f ca="1">100+HLOOKUP(AA$4,$D$7:$P$336,$R100,FALSE)-HLOOKUP(AA$3,$D$7:$P$336,$R100,FALSE)</f>
        <v>101</v>
      </c>
      <c r="AB100" s="60">
        <f ca="1">100+HLOOKUP(AB$4,$D$7:$P$336,$R100,FALSE)-HLOOKUP(AB$3,$D$7:$P$336,$R100,FALSE)</f>
        <v>97</v>
      </c>
      <c r="AC100" s="60">
        <f ca="1">100+HLOOKUP(AC$4,$D$7:$P$336,$R100,FALSE)-HLOOKUP(AC$3,$D$7:$P$336,$R100,FALSE)</f>
        <v>97</v>
      </c>
      <c r="AD100" s="60">
        <f ca="1">100+HLOOKUP(AD$4,$D$7:$P$336,$R100,FALSE)-HLOOKUP(AD$3,$D$7:$P$336,$R100,FALSE)</f>
        <v>102</v>
      </c>
      <c r="AE100" s="60">
        <f ca="1">100+HLOOKUP(AE$4,$D$7:$P$336,$R100,FALSE)-HLOOKUP(AE$3,$D$7:$P$336,$R100,FALSE)</f>
        <v>101</v>
      </c>
      <c r="AF100" s="60">
        <f ca="1">100+HLOOKUP(AF$4,$D$7:$P$336,$R100,FALSE)-HLOOKUP(AF$3,$D$7:$P$336,$R100,FALSE)</f>
        <v>102</v>
      </c>
      <c r="AG100" s="60">
        <f ca="1">100+HLOOKUP(AG$4,$D$7:$P$336,$R100,FALSE)-HLOOKUP(AG$3,$D$7:$P$336,$R100,FALSE)</f>
        <v>101</v>
      </c>
      <c r="AH100" s="60" t="e">
        <f>100+HLOOKUP(AH$4,$D$7:$P$336,$R100,FALSE)-HLOOKUP(AH$3,$D$7:$P$336,$R100,FALSE)</f>
        <v>#N/A</v>
      </c>
      <c r="AI100" s="60" t="e">
        <f>100+HLOOKUP(AI$4,$D$7:$P$336,$R100,FALSE)-HLOOKUP(AI$3,$D$7:$P$336,$R100,FALSE)</f>
        <v>#N/A</v>
      </c>
      <c r="AJ100" s="60" t="e">
        <f>100+HLOOKUP(AJ$4,$D$7:$P$336,$R100,FALSE)-HLOOKUP(AJ$3,$D$7:$P$336,$R100,FALSE)</f>
        <v>#N/A</v>
      </c>
      <c r="AK100" s="60" t="e">
        <f>100+HLOOKUP(AK$4,$D$7:$P$336,$R100,FALSE)-HLOOKUP(AK$3,$D$7:$P$336,$R100,FALSE)</f>
        <v>#N/A</v>
      </c>
      <c r="AL100" s="60" t="e">
        <f>100+HLOOKUP(AL$4,$D$7:$P$336,$R100,FALSE)-HLOOKUP(AL$3,$D$7:$P$336,$R100,FALSE)</f>
        <v>#N/A</v>
      </c>
      <c r="AM100" s="60" t="e">
        <f>100+HLOOKUP(AM$4,$D$7:$P$336,$R100,FALSE)-HLOOKUP(AM$3,$D$7:$P$336,$R100,FALSE)</f>
        <v>#N/A</v>
      </c>
      <c r="AN100" s="60" t="e">
        <f>100+HLOOKUP(AN$4,$D$7:$P$336,$R100,FALSE)-HLOOKUP(AN$3,$D$7:$P$336,$R100,FALSE)</f>
        <v>#N/A</v>
      </c>
      <c r="AO100" s="60" t="e">
        <f>100+HLOOKUP(AO$4,$D$7:$P$336,$R100,FALSE)-HLOOKUP(AO$3,$D$7:$P$336,$R100,FALSE)</f>
        <v>#N/A</v>
      </c>
      <c r="AP100" s="60" t="e">
        <f>100+HLOOKUP(AP$4,$D$7:$P$336,$R100,FALSE)-HLOOKUP(AP$3,$D$7:$P$336,$R100,FALSE)</f>
        <v>#N/A</v>
      </c>
      <c r="AQ100" s="60" t="e">
        <f>100+HLOOKUP(AQ$4,$D$7:$P$336,$R100,FALSE)-HLOOKUP(AQ$3,$D$7:$P$336,$R100,FALSE)</f>
        <v>#N/A</v>
      </c>
      <c r="AV100" s="60">
        <f ca="1">AV$5-S100</f>
        <v>7.1903994267964322</v>
      </c>
      <c r="AW100" s="60">
        <f ca="1">AW$5-T100</f>
        <v>-7.7793494702422521</v>
      </c>
      <c r="AX100" s="60">
        <f ca="1">AX$5-U100</f>
        <v>-0.22408459633194866</v>
      </c>
      <c r="AY100" s="60">
        <f ca="1">AY$5-V100</f>
        <v>-7.3969855984721988</v>
      </c>
      <c r="AZ100" s="60">
        <f ca="1">AZ$5-W100</f>
        <v>0.45448217259603041</v>
      </c>
      <c r="BA100" s="60">
        <f ca="1">BA$5-X100</f>
        <v>2.4650590589827033</v>
      </c>
      <c r="BB100" s="60">
        <f ca="1">BB$5-Y100</f>
        <v>-8.6494072726188733</v>
      </c>
      <c r="BC100" s="60">
        <f ca="1">BC$5-Z100</f>
        <v>5.4374659098821638</v>
      </c>
      <c r="BD100" s="60">
        <f ca="1">BD$5-AA100</f>
        <v>-3.063481335617638</v>
      </c>
      <c r="BE100" s="60">
        <f ca="1">BE$5-AB100</f>
        <v>-5.170609408007806</v>
      </c>
      <c r="BF100" s="60">
        <f ca="1">BF$5-AC100</f>
        <v>4.0173043164770803</v>
      </c>
      <c r="BG100" s="60">
        <f ca="1">BG$5-AD100</f>
        <v>1.9852587050185093</v>
      </c>
      <c r="BH100" s="60">
        <f ca="1">BH$5-AE100</f>
        <v>-2.0454077696324333</v>
      </c>
      <c r="BI100" s="60">
        <f ca="1">BI$5-AF100</f>
        <v>-11.391494488745195</v>
      </c>
      <c r="BJ100" s="60">
        <f ca="1">BJ$5-AG100</f>
        <v>-9.56044894232123</v>
      </c>
      <c r="BK100" s="60" t="e">
        <f>BK$5-AH100</f>
        <v>#N/A</v>
      </c>
      <c r="BL100" s="60" t="e">
        <f>BL$5-AI100</f>
        <v>#N/A</v>
      </c>
      <c r="BM100" s="60" t="e">
        <f>BM$5-AJ100</f>
        <v>#N/A</v>
      </c>
      <c r="BN100" s="60" t="e">
        <f>BN$5-AK100</f>
        <v>#N/A</v>
      </c>
      <c r="BO100" s="60" t="e">
        <f>BO$5-AL100</f>
        <v>#N/A</v>
      </c>
      <c r="BP100" s="60" t="e">
        <f>BP$5-AM100</f>
        <v>#N/A</v>
      </c>
      <c r="BQ100" s="60" t="e">
        <f>BQ$5-AN100</f>
        <v>#N/A</v>
      </c>
      <c r="BR100" s="60" t="e">
        <f>BR$5-AO100</f>
        <v>#N/A</v>
      </c>
      <c r="BS100" s="60" t="e">
        <f>BS$5-AP100</f>
        <v>#N/A</v>
      </c>
      <c r="BT100" s="60" t="e">
        <f>BT$5-AQ100</f>
        <v>#N/A</v>
      </c>
      <c r="BV100" s="60" cm="1">
        <f t="array" aca="1" ref="BV100" ca="1">SQRT(SUMSQ(_xlfn._xlws.FILTER(AV100:BT100,ISNUMBER(AV100:BT100)))/COUNT(_xlfn._xlws.FILTER(AV100:BT100,ISNUMBER(AV100:BT100))))</f>
        <v>6.1057307130072713</v>
      </c>
    </row>
    <row r="101" spans="3:74" x14ac:dyDescent="0.2">
      <c r="C101" s="60" t="s">
        <v>228</v>
      </c>
      <c r="D101" s="60">
        <v>0</v>
      </c>
      <c r="E101" s="60">
        <v>-3</v>
      </c>
      <c r="F101" s="60">
        <v>-6</v>
      </c>
      <c r="G101" s="60">
        <v>-9</v>
      </c>
      <c r="H101" s="60">
        <v>-10</v>
      </c>
      <c r="I101" s="60">
        <v>-11</v>
      </c>
      <c r="J101" s="60">
        <v>-12</v>
      </c>
      <c r="K101" s="60">
        <v>-10</v>
      </c>
      <c r="L101" s="60">
        <v>-8</v>
      </c>
      <c r="M101" s="60">
        <v>-6</v>
      </c>
      <c r="N101" s="60">
        <v>-4</v>
      </c>
      <c r="O101" s="60">
        <v>-2</v>
      </c>
      <c r="P101" s="60">
        <v>0</v>
      </c>
      <c r="R101" s="61">
        <f>(ROW(R101)-ROW($C$6))</f>
        <v>95</v>
      </c>
      <c r="S101" s="60">
        <f ca="1">100+HLOOKUP(S$4,$D$7:$P$336,$R101,FALSE)-HLOOKUP(S$3,$D$7:$P$336,$R101,FALSE)</f>
        <v>96</v>
      </c>
      <c r="T101" s="60">
        <f ca="1">100+HLOOKUP(T$4,$D$7:$P$336,$R101,FALSE)-HLOOKUP(T$3,$D$7:$P$336,$R101,FALSE)</f>
        <v>90</v>
      </c>
      <c r="U101" s="60">
        <f ca="1">100+HLOOKUP(U$4,$D$7:$P$336,$R101,FALSE)-HLOOKUP(U$3,$D$7:$P$336,$R101,FALSE)</f>
        <v>95</v>
      </c>
      <c r="V101" s="60">
        <f ca="1">100+HLOOKUP(V$4,$D$7:$P$336,$R101,FALSE)-HLOOKUP(V$3,$D$7:$P$336,$R101,FALSE)</f>
        <v>93</v>
      </c>
      <c r="W101" s="60">
        <f ca="1">100+HLOOKUP(W$4,$D$7:$P$336,$R101,FALSE)-HLOOKUP(W$3,$D$7:$P$336,$R101,FALSE)</f>
        <v>90</v>
      </c>
      <c r="X101" s="60">
        <f ca="1">100+HLOOKUP(X$4,$D$7:$P$336,$R101,FALSE)-HLOOKUP(X$3,$D$7:$P$336,$R101,FALSE)</f>
        <v>96</v>
      </c>
      <c r="Y101" s="60">
        <f ca="1">100+HLOOKUP(Y$4,$D$7:$P$336,$R101,FALSE)-HLOOKUP(Y$3,$D$7:$P$336,$R101,FALSE)</f>
        <v>90</v>
      </c>
      <c r="Z101" s="60">
        <f ca="1">100+HLOOKUP(Z$4,$D$7:$P$336,$R101,FALSE)-HLOOKUP(Z$3,$D$7:$P$336,$R101,FALSE)</f>
        <v>95</v>
      </c>
      <c r="AA101" s="60">
        <f ca="1">100+HLOOKUP(AA$4,$D$7:$P$336,$R101,FALSE)-HLOOKUP(AA$3,$D$7:$P$336,$R101,FALSE)</f>
        <v>93</v>
      </c>
      <c r="AB101" s="60">
        <f ca="1">100+HLOOKUP(AB$4,$D$7:$P$336,$R101,FALSE)-HLOOKUP(AB$3,$D$7:$P$336,$R101,FALSE)</f>
        <v>90</v>
      </c>
      <c r="AC101" s="60">
        <f ca="1">100+HLOOKUP(AC$4,$D$7:$P$336,$R101,FALSE)-HLOOKUP(AC$3,$D$7:$P$336,$R101,FALSE)</f>
        <v>100</v>
      </c>
      <c r="AD101" s="60">
        <f ca="1">100+HLOOKUP(AD$4,$D$7:$P$336,$R101,FALSE)-HLOOKUP(AD$3,$D$7:$P$336,$R101,FALSE)</f>
        <v>108</v>
      </c>
      <c r="AE101" s="60">
        <f ca="1">100+HLOOKUP(AE$4,$D$7:$P$336,$R101,FALSE)-HLOOKUP(AE$3,$D$7:$P$336,$R101,FALSE)</f>
        <v>109</v>
      </c>
      <c r="AF101" s="60">
        <f ca="1">100+HLOOKUP(AF$4,$D$7:$P$336,$R101,FALSE)-HLOOKUP(AF$3,$D$7:$P$336,$R101,FALSE)</f>
        <v>99</v>
      </c>
      <c r="AG101" s="60">
        <f ca="1">100+HLOOKUP(AG$4,$D$7:$P$336,$R101,FALSE)-HLOOKUP(AG$3,$D$7:$P$336,$R101,FALSE)</f>
        <v>93</v>
      </c>
      <c r="AH101" s="60" t="e">
        <f>100+HLOOKUP(AH$4,$D$7:$P$336,$R101,FALSE)-HLOOKUP(AH$3,$D$7:$P$336,$R101,FALSE)</f>
        <v>#N/A</v>
      </c>
      <c r="AI101" s="60" t="e">
        <f>100+HLOOKUP(AI$4,$D$7:$P$336,$R101,FALSE)-HLOOKUP(AI$3,$D$7:$P$336,$R101,FALSE)</f>
        <v>#N/A</v>
      </c>
      <c r="AJ101" s="60" t="e">
        <f>100+HLOOKUP(AJ$4,$D$7:$P$336,$R101,FALSE)-HLOOKUP(AJ$3,$D$7:$P$336,$R101,FALSE)</f>
        <v>#N/A</v>
      </c>
      <c r="AK101" s="60" t="e">
        <f>100+HLOOKUP(AK$4,$D$7:$P$336,$R101,FALSE)-HLOOKUP(AK$3,$D$7:$P$336,$R101,FALSE)</f>
        <v>#N/A</v>
      </c>
      <c r="AL101" s="60" t="e">
        <f>100+HLOOKUP(AL$4,$D$7:$P$336,$R101,FALSE)-HLOOKUP(AL$3,$D$7:$P$336,$R101,FALSE)</f>
        <v>#N/A</v>
      </c>
      <c r="AM101" s="60" t="e">
        <f>100+HLOOKUP(AM$4,$D$7:$P$336,$R101,FALSE)-HLOOKUP(AM$3,$D$7:$P$336,$R101,FALSE)</f>
        <v>#N/A</v>
      </c>
      <c r="AN101" s="60" t="e">
        <f>100+HLOOKUP(AN$4,$D$7:$P$336,$R101,FALSE)-HLOOKUP(AN$3,$D$7:$P$336,$R101,FALSE)</f>
        <v>#N/A</v>
      </c>
      <c r="AO101" s="60" t="e">
        <f>100+HLOOKUP(AO$4,$D$7:$P$336,$R101,FALSE)-HLOOKUP(AO$3,$D$7:$P$336,$R101,FALSE)</f>
        <v>#N/A</v>
      </c>
      <c r="AP101" s="60" t="e">
        <f>100+HLOOKUP(AP$4,$D$7:$P$336,$R101,FALSE)-HLOOKUP(AP$3,$D$7:$P$336,$R101,FALSE)</f>
        <v>#N/A</v>
      </c>
      <c r="AQ101" s="60" t="e">
        <f>100+HLOOKUP(AQ$4,$D$7:$P$336,$R101,FALSE)-HLOOKUP(AQ$3,$D$7:$P$336,$R101,FALSE)</f>
        <v>#N/A</v>
      </c>
      <c r="AV101" s="60">
        <f ca="1">AV$5-S101</f>
        <v>7.1903994267964322</v>
      </c>
      <c r="AW101" s="60">
        <f ca="1">AW$5-T101</f>
        <v>4.2206505297577479</v>
      </c>
      <c r="AX101" s="60">
        <f ca="1">AX$5-U101</f>
        <v>6.7759154036680513</v>
      </c>
      <c r="AY101" s="60">
        <f ca="1">AY$5-V101</f>
        <v>0.60301440152780117</v>
      </c>
      <c r="AZ101" s="60">
        <f ca="1">AZ$5-W101</f>
        <v>7.4544821725960304</v>
      </c>
      <c r="BA101" s="60">
        <f ca="1">BA$5-X101</f>
        <v>2.4650590589827033</v>
      </c>
      <c r="BB101" s="60">
        <f ca="1">BB$5-Y101</f>
        <v>3.3505927273811267</v>
      </c>
      <c r="BC101" s="60">
        <f ca="1">BC$5-Z101</f>
        <v>12.437465909882164</v>
      </c>
      <c r="BD101" s="60">
        <f ca="1">BD$5-AA101</f>
        <v>4.936518664382362</v>
      </c>
      <c r="BE101" s="60">
        <f ca="1">BE$5-AB101</f>
        <v>1.829390591992194</v>
      </c>
      <c r="BF101" s="60">
        <f ca="1">BF$5-AC101</f>
        <v>1.0173043164770803</v>
      </c>
      <c r="BG101" s="60">
        <f ca="1">BG$5-AD101</f>
        <v>-4.0147412949814907</v>
      </c>
      <c r="BH101" s="60">
        <f ca="1">BH$5-AE101</f>
        <v>-10.045407769632433</v>
      </c>
      <c r="BI101" s="60">
        <f ca="1">BI$5-AF101</f>
        <v>-8.3914944887451952</v>
      </c>
      <c r="BJ101" s="60">
        <f ca="1">BJ$5-AG101</f>
        <v>-1.56044894232123</v>
      </c>
      <c r="BK101" s="60" t="e">
        <f>BK$5-AH101</f>
        <v>#N/A</v>
      </c>
      <c r="BL101" s="60" t="e">
        <f>BL$5-AI101</f>
        <v>#N/A</v>
      </c>
      <c r="BM101" s="60" t="e">
        <f>BM$5-AJ101</f>
        <v>#N/A</v>
      </c>
      <c r="BN101" s="60" t="e">
        <f>BN$5-AK101</f>
        <v>#N/A</v>
      </c>
      <c r="BO101" s="60" t="e">
        <f>BO$5-AL101</f>
        <v>#N/A</v>
      </c>
      <c r="BP101" s="60" t="e">
        <f>BP$5-AM101</f>
        <v>#N/A</v>
      </c>
      <c r="BQ101" s="60" t="e">
        <f>BQ$5-AN101</f>
        <v>#N/A</v>
      </c>
      <c r="BR101" s="60" t="e">
        <f>BR$5-AO101</f>
        <v>#N/A</v>
      </c>
      <c r="BS101" s="60" t="e">
        <f>BS$5-AP101</f>
        <v>#N/A</v>
      </c>
      <c r="BT101" s="60" t="e">
        <f>BT$5-AQ101</f>
        <v>#N/A</v>
      </c>
      <c r="BV101" s="60" cm="1">
        <f t="array" aca="1" ref="BV101" ca="1">SQRT(SUMSQ(_xlfn._xlws.FILTER(AV101:BT101,ISNUMBER(AV101:BT101)))/COUNT(_xlfn._xlws.FILTER(AV101:BT101,ISNUMBER(AV101:BT101))))</f>
        <v>6.1209290218705714</v>
      </c>
    </row>
    <row r="102" spans="3:74" x14ac:dyDescent="0.2">
      <c r="C102" s="60" t="s">
        <v>501</v>
      </c>
      <c r="D102" s="60">
        <v>0</v>
      </c>
      <c r="E102" s="60">
        <v>0.01</v>
      </c>
      <c r="F102" s="60">
        <v>-1.94</v>
      </c>
      <c r="G102" s="60">
        <v>-5.85</v>
      </c>
      <c r="H102" s="60">
        <v>-9.76</v>
      </c>
      <c r="I102" s="60">
        <v>-7.8</v>
      </c>
      <c r="J102" s="60">
        <v>-7.65</v>
      </c>
      <c r="K102" s="60">
        <v>-5.86</v>
      </c>
      <c r="L102" s="60">
        <v>-5.86</v>
      </c>
      <c r="M102" s="60">
        <v>-3.9</v>
      </c>
      <c r="N102" s="60">
        <v>-1.94</v>
      </c>
      <c r="O102" s="60">
        <v>-1.96</v>
      </c>
      <c r="P102" s="60">
        <v>0</v>
      </c>
      <c r="R102" s="61">
        <f>(ROW(R102)-ROW($C$6))</f>
        <v>96</v>
      </c>
      <c r="S102" s="60">
        <f ca="1">100+HLOOKUP(S$4,$D$7:$P$336,$R102,FALSE)-HLOOKUP(S$3,$D$7:$P$336,$R102,FALSE)</f>
        <v>94.14</v>
      </c>
      <c r="T102" s="60">
        <f ca="1">100+HLOOKUP(T$4,$D$7:$P$336,$R102,FALSE)-HLOOKUP(T$3,$D$7:$P$336,$R102,FALSE)</f>
        <v>94.309999999999988</v>
      </c>
      <c r="U102" s="60">
        <f ca="1">100+HLOOKUP(U$4,$D$7:$P$336,$R102,FALSE)-HLOOKUP(U$3,$D$7:$P$336,$R102,FALSE)</f>
        <v>94.13</v>
      </c>
      <c r="V102" s="60">
        <f ca="1">100+HLOOKUP(V$4,$D$7:$P$336,$R102,FALSE)-HLOOKUP(V$3,$D$7:$P$336,$R102,FALSE)</f>
        <v>94.14</v>
      </c>
      <c r="W102" s="60">
        <f ca="1">100+HLOOKUP(W$4,$D$7:$P$336,$R102,FALSE)-HLOOKUP(W$3,$D$7:$P$336,$R102,FALSE)</f>
        <v>94.14</v>
      </c>
      <c r="X102" s="60">
        <f ca="1">100+HLOOKUP(X$4,$D$7:$P$336,$R102,FALSE)-HLOOKUP(X$3,$D$7:$P$336,$R102,FALSE)</f>
        <v>94.14</v>
      </c>
      <c r="Y102" s="60">
        <f ca="1">100+HLOOKUP(Y$4,$D$7:$P$336,$R102,FALSE)-HLOOKUP(Y$3,$D$7:$P$336,$R102,FALSE)</f>
        <v>94.309999999999988</v>
      </c>
      <c r="Z102" s="60">
        <f ca="1">100+HLOOKUP(Z$4,$D$7:$P$336,$R102,FALSE)-HLOOKUP(Z$3,$D$7:$P$336,$R102,FALSE)</f>
        <v>94.13</v>
      </c>
      <c r="AA102" s="60">
        <f ca="1">100+HLOOKUP(AA$4,$D$7:$P$336,$R102,FALSE)-HLOOKUP(AA$3,$D$7:$P$336,$R102,FALSE)</f>
        <v>94.14</v>
      </c>
      <c r="AB102" s="60">
        <f ca="1">100+HLOOKUP(AB$4,$D$7:$P$336,$R102,FALSE)-HLOOKUP(AB$3,$D$7:$P$336,$R102,FALSE)</f>
        <v>94.14</v>
      </c>
      <c r="AC102" s="60">
        <f ca="1">100+HLOOKUP(AC$4,$D$7:$P$336,$R102,FALSE)-HLOOKUP(AC$3,$D$7:$P$336,$R102,FALSE)</f>
        <v>98.039999999999992</v>
      </c>
      <c r="AD102" s="60">
        <f ca="1">100+HLOOKUP(AD$4,$D$7:$P$336,$R102,FALSE)-HLOOKUP(AD$3,$D$7:$P$336,$R102,FALSE)</f>
        <v>107.80000000000001</v>
      </c>
      <c r="AE102" s="60">
        <f ca="1">100+HLOOKUP(AE$4,$D$7:$P$336,$R102,FALSE)-HLOOKUP(AE$3,$D$7:$P$336,$R102,FALSE)</f>
        <v>107.66000000000001</v>
      </c>
      <c r="AF102" s="60">
        <f ca="1">100+HLOOKUP(AF$4,$D$7:$P$336,$R102,FALSE)-HLOOKUP(AF$3,$D$7:$P$336,$R102,FALSE)</f>
        <v>100.01</v>
      </c>
      <c r="AG102" s="60">
        <f ca="1">100+HLOOKUP(AG$4,$D$7:$P$336,$R102,FALSE)-HLOOKUP(AG$3,$D$7:$P$336,$R102,FALSE)</f>
        <v>94.14</v>
      </c>
      <c r="AH102" s="60" t="e">
        <f>100+HLOOKUP(AH$4,$D$7:$P$336,$R102,FALSE)-HLOOKUP(AH$3,$D$7:$P$336,$R102,FALSE)</f>
        <v>#N/A</v>
      </c>
      <c r="AI102" s="60" t="e">
        <f>100+HLOOKUP(AI$4,$D$7:$P$336,$R102,FALSE)-HLOOKUP(AI$3,$D$7:$P$336,$R102,FALSE)</f>
        <v>#N/A</v>
      </c>
      <c r="AJ102" s="60" t="e">
        <f>100+HLOOKUP(AJ$4,$D$7:$P$336,$R102,FALSE)-HLOOKUP(AJ$3,$D$7:$P$336,$R102,FALSE)</f>
        <v>#N/A</v>
      </c>
      <c r="AK102" s="60" t="e">
        <f>100+HLOOKUP(AK$4,$D$7:$P$336,$R102,FALSE)-HLOOKUP(AK$3,$D$7:$P$336,$R102,FALSE)</f>
        <v>#N/A</v>
      </c>
      <c r="AL102" s="60" t="e">
        <f>100+HLOOKUP(AL$4,$D$7:$P$336,$R102,FALSE)-HLOOKUP(AL$3,$D$7:$P$336,$R102,FALSE)</f>
        <v>#N/A</v>
      </c>
      <c r="AM102" s="60" t="e">
        <f>100+HLOOKUP(AM$4,$D$7:$P$336,$R102,FALSE)-HLOOKUP(AM$3,$D$7:$P$336,$R102,FALSE)</f>
        <v>#N/A</v>
      </c>
      <c r="AN102" s="60" t="e">
        <f>100+HLOOKUP(AN$4,$D$7:$P$336,$R102,FALSE)-HLOOKUP(AN$3,$D$7:$P$336,$R102,FALSE)</f>
        <v>#N/A</v>
      </c>
      <c r="AO102" s="60" t="e">
        <f>100+HLOOKUP(AO$4,$D$7:$P$336,$R102,FALSE)-HLOOKUP(AO$3,$D$7:$P$336,$R102,FALSE)</f>
        <v>#N/A</v>
      </c>
      <c r="AP102" s="60" t="e">
        <f>100+HLOOKUP(AP$4,$D$7:$P$336,$R102,FALSE)-HLOOKUP(AP$3,$D$7:$P$336,$R102,FALSE)</f>
        <v>#N/A</v>
      </c>
      <c r="AQ102" s="60" t="e">
        <f>100+HLOOKUP(AQ$4,$D$7:$P$336,$R102,FALSE)-HLOOKUP(AQ$3,$D$7:$P$336,$R102,FALSE)</f>
        <v>#N/A</v>
      </c>
      <c r="AV102" s="60">
        <f ca="1">AV$5-S102</f>
        <v>9.0503994267964316</v>
      </c>
      <c r="AW102" s="60">
        <f ca="1">AW$5-T102</f>
        <v>-8.9349470242240159E-2</v>
      </c>
      <c r="AX102" s="60">
        <f ca="1">AX$5-U102</f>
        <v>7.6459154036680559</v>
      </c>
      <c r="AY102" s="60">
        <f ca="1">AY$5-V102</f>
        <v>-0.5369855984721994</v>
      </c>
      <c r="AZ102" s="60">
        <f ca="1">AZ$5-W102</f>
        <v>3.3144821725960298</v>
      </c>
      <c r="BA102" s="60">
        <f ca="1">BA$5-X102</f>
        <v>4.3250590589827027</v>
      </c>
      <c r="BB102" s="60">
        <f ca="1">BB$5-Y102</f>
        <v>-0.95940727261886138</v>
      </c>
      <c r="BC102" s="60">
        <f ca="1">BC$5-Z102</f>
        <v>13.307465909882168</v>
      </c>
      <c r="BD102" s="60">
        <f ca="1">BD$5-AA102</f>
        <v>3.7965186643823614</v>
      </c>
      <c r="BE102" s="60">
        <f ca="1">BE$5-AB102</f>
        <v>-2.3106094080078066</v>
      </c>
      <c r="BF102" s="60">
        <f ca="1">BF$5-AC102</f>
        <v>2.9773043164770883</v>
      </c>
      <c r="BG102" s="60">
        <f ca="1">BG$5-AD102</f>
        <v>-3.8147412949815021</v>
      </c>
      <c r="BH102" s="60">
        <f ca="1">BH$5-AE102</f>
        <v>-8.7054077696324441</v>
      </c>
      <c r="BI102" s="60">
        <f ca="1">BI$5-AF102</f>
        <v>-9.4014944887452003</v>
      </c>
      <c r="BJ102" s="60">
        <f ca="1">BJ$5-AG102</f>
        <v>-2.7004489423212306</v>
      </c>
      <c r="BK102" s="60" t="e">
        <f>BK$5-AH102</f>
        <v>#N/A</v>
      </c>
      <c r="BL102" s="60" t="e">
        <f>BL$5-AI102</f>
        <v>#N/A</v>
      </c>
      <c r="BM102" s="60" t="e">
        <f>BM$5-AJ102</f>
        <v>#N/A</v>
      </c>
      <c r="BN102" s="60" t="e">
        <f>BN$5-AK102</f>
        <v>#N/A</v>
      </c>
      <c r="BO102" s="60" t="e">
        <f>BO$5-AL102</f>
        <v>#N/A</v>
      </c>
      <c r="BP102" s="60" t="e">
        <f>BP$5-AM102</f>
        <v>#N/A</v>
      </c>
      <c r="BQ102" s="60" t="e">
        <f>BQ$5-AN102</f>
        <v>#N/A</v>
      </c>
      <c r="BR102" s="60" t="e">
        <f>BR$5-AO102</f>
        <v>#N/A</v>
      </c>
      <c r="BS102" s="60" t="e">
        <f>BS$5-AP102</f>
        <v>#N/A</v>
      </c>
      <c r="BT102" s="60" t="e">
        <f>BT$5-AQ102</f>
        <v>#N/A</v>
      </c>
      <c r="BV102" s="60" cm="1">
        <f t="array" aca="1" ref="BV102" ca="1">SQRT(SUMSQ(_xlfn._xlws.FILTER(AV102:BT102,ISNUMBER(AV102:BT102)))/COUNT(_xlfn._xlws.FILTER(AV102:BT102,ISNUMBER(AV102:BT102))))</f>
        <v>6.126449965477426</v>
      </c>
    </row>
    <row r="103" spans="3:74" x14ac:dyDescent="0.2">
      <c r="C103" s="60" t="s">
        <v>448</v>
      </c>
      <c r="D103" s="60">
        <v>0</v>
      </c>
      <c r="E103" s="60">
        <v>2</v>
      </c>
      <c r="F103" s="60">
        <v>-1</v>
      </c>
      <c r="G103" s="60">
        <v>-11</v>
      </c>
      <c r="H103" s="60">
        <v>-5</v>
      </c>
      <c r="I103" s="60">
        <v>-8</v>
      </c>
      <c r="J103" s="60">
        <v>-1</v>
      </c>
      <c r="K103" s="60">
        <v>-3</v>
      </c>
      <c r="L103" s="60">
        <v>-7</v>
      </c>
      <c r="M103" s="60">
        <v>-5</v>
      </c>
      <c r="N103" s="60">
        <v>0</v>
      </c>
      <c r="O103" s="60">
        <v>2</v>
      </c>
      <c r="P103" s="60">
        <v>0</v>
      </c>
      <c r="R103" s="61">
        <f>(ROW(R103)-ROW($C$6))</f>
        <v>97</v>
      </c>
      <c r="S103" s="60">
        <f ca="1">100+HLOOKUP(S$4,$D$7:$P$336,$R103,FALSE)-HLOOKUP(S$3,$D$7:$P$336,$R103,FALSE)</f>
        <v>100</v>
      </c>
      <c r="T103" s="60">
        <f ca="1">100+HLOOKUP(T$4,$D$7:$P$336,$R103,FALSE)-HLOOKUP(T$3,$D$7:$P$336,$R103,FALSE)</f>
        <v>97</v>
      </c>
      <c r="U103" s="60">
        <f ca="1">100+HLOOKUP(U$4,$D$7:$P$336,$R103,FALSE)-HLOOKUP(U$3,$D$7:$P$336,$R103,FALSE)</f>
        <v>91</v>
      </c>
      <c r="V103" s="60">
        <f ca="1">100+HLOOKUP(V$4,$D$7:$P$336,$R103,FALSE)-HLOOKUP(V$3,$D$7:$P$336,$R103,FALSE)</f>
        <v>92</v>
      </c>
      <c r="W103" s="60">
        <f ca="1">100+HLOOKUP(W$4,$D$7:$P$336,$R103,FALSE)-HLOOKUP(W$3,$D$7:$P$336,$R103,FALSE)</f>
        <v>97</v>
      </c>
      <c r="X103" s="60">
        <f ca="1">100+HLOOKUP(X$4,$D$7:$P$336,$R103,FALSE)-HLOOKUP(X$3,$D$7:$P$336,$R103,FALSE)</f>
        <v>100</v>
      </c>
      <c r="Y103" s="60">
        <f ca="1">100+HLOOKUP(Y$4,$D$7:$P$336,$R103,FALSE)-HLOOKUP(Y$3,$D$7:$P$336,$R103,FALSE)</f>
        <v>97</v>
      </c>
      <c r="Z103" s="60">
        <f ca="1">100+HLOOKUP(Z$4,$D$7:$P$336,$R103,FALSE)-HLOOKUP(Z$3,$D$7:$P$336,$R103,FALSE)</f>
        <v>91</v>
      </c>
      <c r="AA103" s="60">
        <f ca="1">100+HLOOKUP(AA$4,$D$7:$P$336,$R103,FALSE)-HLOOKUP(AA$3,$D$7:$P$336,$R103,FALSE)</f>
        <v>92</v>
      </c>
      <c r="AB103" s="60">
        <f ca="1">100+HLOOKUP(AB$4,$D$7:$P$336,$R103,FALSE)-HLOOKUP(AB$3,$D$7:$P$336,$R103,FALSE)</f>
        <v>97</v>
      </c>
      <c r="AC103" s="60">
        <f ca="1">100+HLOOKUP(AC$4,$D$7:$P$336,$R103,FALSE)-HLOOKUP(AC$3,$D$7:$P$336,$R103,FALSE)</f>
        <v>96</v>
      </c>
      <c r="AD103" s="60">
        <f ca="1">100+HLOOKUP(AD$4,$D$7:$P$336,$R103,FALSE)-HLOOKUP(AD$3,$D$7:$P$336,$R103,FALSE)</f>
        <v>107</v>
      </c>
      <c r="AE103" s="60">
        <f ca="1">100+HLOOKUP(AE$4,$D$7:$P$336,$R103,FALSE)-HLOOKUP(AE$3,$D$7:$P$336,$R103,FALSE)</f>
        <v>103</v>
      </c>
      <c r="AF103" s="60">
        <f ca="1">100+HLOOKUP(AF$4,$D$7:$P$336,$R103,FALSE)-HLOOKUP(AF$3,$D$7:$P$336,$R103,FALSE)</f>
        <v>96</v>
      </c>
      <c r="AG103" s="60">
        <f ca="1">100+HLOOKUP(AG$4,$D$7:$P$336,$R103,FALSE)-HLOOKUP(AG$3,$D$7:$P$336,$R103,FALSE)</f>
        <v>92</v>
      </c>
      <c r="AH103" s="60" t="e">
        <f>100+HLOOKUP(AH$4,$D$7:$P$336,$R103,FALSE)-HLOOKUP(AH$3,$D$7:$P$336,$R103,FALSE)</f>
        <v>#N/A</v>
      </c>
      <c r="AI103" s="60" t="e">
        <f>100+HLOOKUP(AI$4,$D$7:$P$336,$R103,FALSE)-HLOOKUP(AI$3,$D$7:$P$336,$R103,FALSE)</f>
        <v>#N/A</v>
      </c>
      <c r="AJ103" s="60" t="e">
        <f>100+HLOOKUP(AJ$4,$D$7:$P$336,$R103,FALSE)-HLOOKUP(AJ$3,$D$7:$P$336,$R103,FALSE)</f>
        <v>#N/A</v>
      </c>
      <c r="AK103" s="60" t="e">
        <f>100+HLOOKUP(AK$4,$D$7:$P$336,$R103,FALSE)-HLOOKUP(AK$3,$D$7:$P$336,$R103,FALSE)</f>
        <v>#N/A</v>
      </c>
      <c r="AL103" s="60" t="e">
        <f>100+HLOOKUP(AL$4,$D$7:$P$336,$R103,FALSE)-HLOOKUP(AL$3,$D$7:$P$336,$R103,FALSE)</f>
        <v>#N/A</v>
      </c>
      <c r="AM103" s="60" t="e">
        <f>100+HLOOKUP(AM$4,$D$7:$P$336,$R103,FALSE)-HLOOKUP(AM$3,$D$7:$P$336,$R103,FALSE)</f>
        <v>#N/A</v>
      </c>
      <c r="AN103" s="60" t="e">
        <f>100+HLOOKUP(AN$4,$D$7:$P$336,$R103,FALSE)-HLOOKUP(AN$3,$D$7:$P$336,$R103,FALSE)</f>
        <v>#N/A</v>
      </c>
      <c r="AO103" s="60" t="e">
        <f>100+HLOOKUP(AO$4,$D$7:$P$336,$R103,FALSE)-HLOOKUP(AO$3,$D$7:$P$336,$R103,FALSE)</f>
        <v>#N/A</v>
      </c>
      <c r="AP103" s="60" t="e">
        <f>100+HLOOKUP(AP$4,$D$7:$P$336,$R103,FALSE)-HLOOKUP(AP$3,$D$7:$P$336,$R103,FALSE)</f>
        <v>#N/A</v>
      </c>
      <c r="AQ103" s="60" t="e">
        <f>100+HLOOKUP(AQ$4,$D$7:$P$336,$R103,FALSE)-HLOOKUP(AQ$3,$D$7:$P$336,$R103,FALSE)</f>
        <v>#N/A</v>
      </c>
      <c r="AV103" s="60">
        <f ca="1">AV$5-S103</f>
        <v>3.1903994267964322</v>
      </c>
      <c r="AW103" s="60">
        <f ca="1">AW$5-T103</f>
        <v>-2.7793494702422521</v>
      </c>
      <c r="AX103" s="60">
        <f ca="1">AX$5-U103</f>
        <v>10.775915403668051</v>
      </c>
      <c r="AY103" s="60">
        <f ca="1">AY$5-V103</f>
        <v>1.6030144015278012</v>
      </c>
      <c r="AZ103" s="60">
        <f ca="1">AZ$5-W103</f>
        <v>0.45448217259603041</v>
      </c>
      <c r="BA103" s="60">
        <f ca="1">BA$5-X103</f>
        <v>-1.5349409410172967</v>
      </c>
      <c r="BB103" s="60">
        <f ca="1">BB$5-Y103</f>
        <v>-3.6494072726188733</v>
      </c>
      <c r="BC103" s="60">
        <f ca="1">BC$5-Z103</f>
        <v>16.437465909882164</v>
      </c>
      <c r="BD103" s="60">
        <f ca="1">BD$5-AA103</f>
        <v>5.936518664382362</v>
      </c>
      <c r="BE103" s="60">
        <f ca="1">BE$5-AB103</f>
        <v>-5.170609408007806</v>
      </c>
      <c r="BF103" s="60">
        <f ca="1">BF$5-AC103</f>
        <v>5.0173043164770803</v>
      </c>
      <c r="BG103" s="60">
        <f ca="1">BG$5-AD103</f>
        <v>-3.0147412949814907</v>
      </c>
      <c r="BH103" s="60">
        <f ca="1">BH$5-AE103</f>
        <v>-4.0454077696324333</v>
      </c>
      <c r="BI103" s="60">
        <f ca="1">BI$5-AF103</f>
        <v>-5.3914944887451952</v>
      </c>
      <c r="BJ103" s="60">
        <f ca="1">BJ$5-AG103</f>
        <v>-0.56044894232122999</v>
      </c>
      <c r="BK103" s="60" t="e">
        <f>BK$5-AH103</f>
        <v>#N/A</v>
      </c>
      <c r="BL103" s="60" t="e">
        <f>BL$5-AI103</f>
        <v>#N/A</v>
      </c>
      <c r="BM103" s="60" t="e">
        <f>BM$5-AJ103</f>
        <v>#N/A</v>
      </c>
      <c r="BN103" s="60" t="e">
        <f>BN$5-AK103</f>
        <v>#N/A</v>
      </c>
      <c r="BO103" s="60" t="e">
        <f>BO$5-AL103</f>
        <v>#N/A</v>
      </c>
      <c r="BP103" s="60" t="e">
        <f>BP$5-AM103</f>
        <v>#N/A</v>
      </c>
      <c r="BQ103" s="60" t="e">
        <f>BQ$5-AN103</f>
        <v>#N/A</v>
      </c>
      <c r="BR103" s="60" t="e">
        <f>BR$5-AO103</f>
        <v>#N/A</v>
      </c>
      <c r="BS103" s="60" t="e">
        <f>BS$5-AP103</f>
        <v>#N/A</v>
      </c>
      <c r="BT103" s="60" t="e">
        <f>BT$5-AQ103</f>
        <v>#N/A</v>
      </c>
      <c r="BV103" s="60" cm="1">
        <f t="array" aca="1" ref="BV103" ca="1">SQRT(SUMSQ(_xlfn._xlws.FILTER(AV103:BT103,ISNUMBER(AV103:BT103)))/COUNT(_xlfn._xlws.FILTER(AV103:BT103,ISNUMBER(AV103:BT103))))</f>
        <v>6.1354250040271401</v>
      </c>
    </row>
    <row r="104" spans="3:74" x14ac:dyDescent="0.2">
      <c r="C104" s="60" t="s">
        <v>304</v>
      </c>
      <c r="D104" s="60">
        <v>0</v>
      </c>
      <c r="E104" s="60">
        <v>0</v>
      </c>
      <c r="F104" s="60">
        <v>-1.9550000000000001</v>
      </c>
      <c r="G104" s="60">
        <v>-5.8650000000000002</v>
      </c>
      <c r="H104" s="60">
        <v>-9.7750000000000004</v>
      </c>
      <c r="I104" s="60">
        <v>-7.82</v>
      </c>
      <c r="J104" s="60">
        <v>-7.82</v>
      </c>
      <c r="K104" s="60">
        <v>-5.8650000000000002</v>
      </c>
      <c r="L104" s="60">
        <v>-5.8650000000000002</v>
      </c>
      <c r="M104" s="60">
        <v>-3.91</v>
      </c>
      <c r="N104" s="60">
        <v>-1.9550000000000001</v>
      </c>
      <c r="O104" s="60">
        <v>-1.9550000000000001</v>
      </c>
      <c r="P104" s="60">
        <v>0</v>
      </c>
      <c r="R104" s="61">
        <f>(ROW(R104)-ROW($C$6))</f>
        <v>98</v>
      </c>
      <c r="S104" s="60">
        <f ca="1">100+HLOOKUP(S$4,$D$7:$P$336,$R104,FALSE)-HLOOKUP(S$3,$D$7:$P$336,$R104,FALSE)</f>
        <v>94.134999999999991</v>
      </c>
      <c r="T104" s="60">
        <f ca="1">100+HLOOKUP(T$4,$D$7:$P$336,$R104,FALSE)-HLOOKUP(T$3,$D$7:$P$336,$R104,FALSE)</f>
        <v>94.135000000000005</v>
      </c>
      <c r="U104" s="60">
        <f ca="1">100+HLOOKUP(U$4,$D$7:$P$336,$R104,FALSE)-HLOOKUP(U$3,$D$7:$P$336,$R104,FALSE)</f>
        <v>94.135000000000005</v>
      </c>
      <c r="V104" s="60">
        <f ca="1">100+HLOOKUP(V$4,$D$7:$P$336,$R104,FALSE)-HLOOKUP(V$3,$D$7:$P$336,$R104,FALSE)</f>
        <v>94.135000000000005</v>
      </c>
      <c r="W104" s="60">
        <f ca="1">100+HLOOKUP(W$4,$D$7:$P$336,$R104,FALSE)-HLOOKUP(W$3,$D$7:$P$336,$R104,FALSE)</f>
        <v>94.135000000000005</v>
      </c>
      <c r="X104" s="60">
        <f ca="1">100+HLOOKUP(X$4,$D$7:$P$336,$R104,FALSE)-HLOOKUP(X$3,$D$7:$P$336,$R104,FALSE)</f>
        <v>94.134999999999991</v>
      </c>
      <c r="Y104" s="60">
        <f ca="1">100+HLOOKUP(Y$4,$D$7:$P$336,$R104,FALSE)-HLOOKUP(Y$3,$D$7:$P$336,$R104,FALSE)</f>
        <v>94.135000000000005</v>
      </c>
      <c r="Z104" s="60">
        <f ca="1">100+HLOOKUP(Z$4,$D$7:$P$336,$R104,FALSE)-HLOOKUP(Z$3,$D$7:$P$336,$R104,FALSE)</f>
        <v>94.135000000000005</v>
      </c>
      <c r="AA104" s="60">
        <f ca="1">100+HLOOKUP(AA$4,$D$7:$P$336,$R104,FALSE)-HLOOKUP(AA$3,$D$7:$P$336,$R104,FALSE)</f>
        <v>94.135000000000005</v>
      </c>
      <c r="AB104" s="60">
        <f ca="1">100+HLOOKUP(AB$4,$D$7:$P$336,$R104,FALSE)-HLOOKUP(AB$3,$D$7:$P$336,$R104,FALSE)</f>
        <v>94.135000000000005</v>
      </c>
      <c r="AC104" s="60">
        <f ca="1">100+HLOOKUP(AC$4,$D$7:$P$336,$R104,FALSE)-HLOOKUP(AC$3,$D$7:$P$336,$R104,FALSE)</f>
        <v>98.045000000000002</v>
      </c>
      <c r="AD104" s="60">
        <f ca="1">100+HLOOKUP(AD$4,$D$7:$P$336,$R104,FALSE)-HLOOKUP(AD$3,$D$7:$P$336,$R104,FALSE)</f>
        <v>107.82000000000001</v>
      </c>
      <c r="AE104" s="60">
        <f ca="1">100+HLOOKUP(AE$4,$D$7:$P$336,$R104,FALSE)-HLOOKUP(AE$3,$D$7:$P$336,$R104,FALSE)</f>
        <v>107.82</v>
      </c>
      <c r="AF104" s="60">
        <f ca="1">100+HLOOKUP(AF$4,$D$7:$P$336,$R104,FALSE)-HLOOKUP(AF$3,$D$7:$P$336,$R104,FALSE)</f>
        <v>100</v>
      </c>
      <c r="AG104" s="60">
        <f ca="1">100+HLOOKUP(AG$4,$D$7:$P$336,$R104,FALSE)-HLOOKUP(AG$3,$D$7:$P$336,$R104,FALSE)</f>
        <v>94.135000000000005</v>
      </c>
      <c r="AH104" s="60" t="e">
        <f>100+HLOOKUP(AH$4,$D$7:$P$336,$R104,FALSE)-HLOOKUP(AH$3,$D$7:$P$336,$R104,FALSE)</f>
        <v>#N/A</v>
      </c>
      <c r="AI104" s="60" t="e">
        <f>100+HLOOKUP(AI$4,$D$7:$P$336,$R104,FALSE)-HLOOKUP(AI$3,$D$7:$P$336,$R104,FALSE)</f>
        <v>#N/A</v>
      </c>
      <c r="AJ104" s="60" t="e">
        <f>100+HLOOKUP(AJ$4,$D$7:$P$336,$R104,FALSE)-HLOOKUP(AJ$3,$D$7:$P$336,$R104,FALSE)</f>
        <v>#N/A</v>
      </c>
      <c r="AK104" s="60" t="e">
        <f>100+HLOOKUP(AK$4,$D$7:$P$336,$R104,FALSE)-HLOOKUP(AK$3,$D$7:$P$336,$R104,FALSE)</f>
        <v>#N/A</v>
      </c>
      <c r="AL104" s="60" t="e">
        <f>100+HLOOKUP(AL$4,$D$7:$P$336,$R104,FALSE)-HLOOKUP(AL$3,$D$7:$P$336,$R104,FALSE)</f>
        <v>#N/A</v>
      </c>
      <c r="AM104" s="60" t="e">
        <f>100+HLOOKUP(AM$4,$D$7:$P$336,$R104,FALSE)-HLOOKUP(AM$3,$D$7:$P$336,$R104,FALSE)</f>
        <v>#N/A</v>
      </c>
      <c r="AN104" s="60" t="e">
        <f>100+HLOOKUP(AN$4,$D$7:$P$336,$R104,FALSE)-HLOOKUP(AN$3,$D$7:$P$336,$R104,FALSE)</f>
        <v>#N/A</v>
      </c>
      <c r="AO104" s="60" t="e">
        <f>100+HLOOKUP(AO$4,$D$7:$P$336,$R104,FALSE)-HLOOKUP(AO$3,$D$7:$P$336,$R104,FALSE)</f>
        <v>#N/A</v>
      </c>
      <c r="AP104" s="60" t="e">
        <f>100+HLOOKUP(AP$4,$D$7:$P$336,$R104,FALSE)-HLOOKUP(AP$3,$D$7:$P$336,$R104,FALSE)</f>
        <v>#N/A</v>
      </c>
      <c r="AQ104" s="60" t="e">
        <f>100+HLOOKUP(AQ$4,$D$7:$P$336,$R104,FALSE)-HLOOKUP(AQ$3,$D$7:$P$336,$R104,FALSE)</f>
        <v>#N/A</v>
      </c>
      <c r="AV104" s="60">
        <f ca="1">AV$5-S104</f>
        <v>9.0553994267964413</v>
      </c>
      <c r="AW104" s="60">
        <f ca="1">AW$5-T104</f>
        <v>8.5650529757742788E-2</v>
      </c>
      <c r="AX104" s="60">
        <f ca="1">AX$5-U104</f>
        <v>7.6409154036680462</v>
      </c>
      <c r="AY104" s="60">
        <f ca="1">AY$5-V104</f>
        <v>-0.53198559847220395</v>
      </c>
      <c r="AZ104" s="60">
        <f ca="1">AZ$5-W104</f>
        <v>3.3194821725960253</v>
      </c>
      <c r="BA104" s="60">
        <f ca="1">BA$5-X104</f>
        <v>4.3300590589827124</v>
      </c>
      <c r="BB104" s="60">
        <f ca="1">BB$5-Y104</f>
        <v>-0.78440727261887844</v>
      </c>
      <c r="BC104" s="60">
        <f ca="1">BC$5-Z104</f>
        <v>13.302465909882159</v>
      </c>
      <c r="BD104" s="60">
        <f ca="1">BD$5-AA104</f>
        <v>3.8015186643823569</v>
      </c>
      <c r="BE104" s="60">
        <f ca="1">BE$5-AB104</f>
        <v>-2.3056094080078111</v>
      </c>
      <c r="BF104" s="60">
        <f ca="1">BF$5-AC104</f>
        <v>2.9723043164770786</v>
      </c>
      <c r="BG104" s="60">
        <f ca="1">BG$5-AD104</f>
        <v>-3.8347412949814981</v>
      </c>
      <c r="BH104" s="60">
        <f ca="1">BH$5-AE104</f>
        <v>-8.8654077696324265</v>
      </c>
      <c r="BI104" s="60">
        <f ca="1">BI$5-AF104</f>
        <v>-9.3914944887451952</v>
      </c>
      <c r="BJ104" s="60">
        <f ca="1">BJ$5-AG104</f>
        <v>-2.6954489423212351</v>
      </c>
      <c r="BK104" s="60" t="e">
        <f>BK$5-AH104</f>
        <v>#N/A</v>
      </c>
      <c r="BL104" s="60" t="e">
        <f>BL$5-AI104</f>
        <v>#N/A</v>
      </c>
      <c r="BM104" s="60" t="e">
        <f>BM$5-AJ104</f>
        <v>#N/A</v>
      </c>
      <c r="BN104" s="60" t="e">
        <f>BN$5-AK104</f>
        <v>#N/A</v>
      </c>
      <c r="BO104" s="60" t="e">
        <f>BO$5-AL104</f>
        <v>#N/A</v>
      </c>
      <c r="BP104" s="60" t="e">
        <f>BP$5-AM104</f>
        <v>#N/A</v>
      </c>
      <c r="BQ104" s="60" t="e">
        <f>BQ$5-AN104</f>
        <v>#N/A</v>
      </c>
      <c r="BR104" s="60" t="e">
        <f>BR$5-AO104</f>
        <v>#N/A</v>
      </c>
      <c r="BS104" s="60" t="e">
        <f>BS$5-AP104</f>
        <v>#N/A</v>
      </c>
      <c r="BT104" s="60" t="e">
        <f>BT$5-AQ104</f>
        <v>#N/A</v>
      </c>
      <c r="BV104" s="60" cm="1">
        <f t="array" aca="1" ref="BV104" ca="1">SQRT(SUMSQ(_xlfn._xlws.FILTER(AV104:BT104,ISNUMBER(AV104:BT104)))/COUNT(_xlfn._xlws.FILTER(AV104:BT104,ISNUMBER(AV104:BT104))))</f>
        <v>6.1393905255501231</v>
      </c>
    </row>
    <row r="105" spans="3:74" x14ac:dyDescent="0.2">
      <c r="C105" s="60" t="s">
        <v>293</v>
      </c>
      <c r="D105" s="60">
        <v>0</v>
      </c>
      <c r="E105" s="60">
        <v>-8.5549999999999997</v>
      </c>
      <c r="F105" s="60">
        <v>-6.8440000000000003</v>
      </c>
      <c r="G105" s="60">
        <v>-5.133</v>
      </c>
      <c r="H105" s="60">
        <v>-13.688000000000001</v>
      </c>
      <c r="I105" s="60">
        <v>-1.7110000000000001</v>
      </c>
      <c r="J105" s="60">
        <v>-10.266</v>
      </c>
      <c r="K105" s="60">
        <v>-3.4220000000000002</v>
      </c>
      <c r="L105" s="60">
        <v>-6.8440000000000003</v>
      </c>
      <c r="M105" s="60">
        <v>-10.266</v>
      </c>
      <c r="N105" s="60">
        <v>-3.4220000000000002</v>
      </c>
      <c r="O105" s="60">
        <v>-11.977</v>
      </c>
      <c r="P105" s="60">
        <v>0</v>
      </c>
      <c r="R105" s="61">
        <f>(ROW(R105)-ROW($C$6))</f>
        <v>99</v>
      </c>
      <c r="S105" s="60">
        <f ca="1">100+HLOOKUP(S$4,$D$7:$P$336,$R105,FALSE)-HLOOKUP(S$3,$D$7:$P$336,$R105,FALSE)</f>
        <v>96.578000000000003</v>
      </c>
      <c r="T105" s="60">
        <f ca="1">100+HLOOKUP(T$4,$D$7:$P$336,$R105,FALSE)-HLOOKUP(T$3,$D$7:$P$336,$R105,FALSE)</f>
        <v>101.711</v>
      </c>
      <c r="U105" s="60">
        <f ca="1">100+HLOOKUP(U$4,$D$7:$P$336,$R105,FALSE)-HLOOKUP(U$3,$D$7:$P$336,$R105,FALSE)</f>
        <v>101.71100000000001</v>
      </c>
      <c r="V105" s="60">
        <f ca="1">100+HLOOKUP(V$4,$D$7:$P$336,$R105,FALSE)-HLOOKUP(V$3,$D$7:$P$336,$R105,FALSE)</f>
        <v>101.711</v>
      </c>
      <c r="W105" s="60">
        <f ca="1">100+HLOOKUP(W$4,$D$7:$P$336,$R105,FALSE)-HLOOKUP(W$3,$D$7:$P$336,$R105,FALSE)</f>
        <v>96.578000000000003</v>
      </c>
      <c r="X105" s="60">
        <f ca="1">100+HLOOKUP(X$4,$D$7:$P$336,$R105,FALSE)-HLOOKUP(X$3,$D$7:$P$336,$R105,FALSE)</f>
        <v>96.578000000000003</v>
      </c>
      <c r="Y105" s="60">
        <f ca="1">100+HLOOKUP(Y$4,$D$7:$P$336,$R105,FALSE)-HLOOKUP(Y$3,$D$7:$P$336,$R105,FALSE)</f>
        <v>101.711</v>
      </c>
      <c r="Z105" s="60">
        <f ca="1">100+HLOOKUP(Z$4,$D$7:$P$336,$R105,FALSE)-HLOOKUP(Z$3,$D$7:$P$336,$R105,FALSE)</f>
        <v>101.71100000000001</v>
      </c>
      <c r="AA105" s="60">
        <f ca="1">100+HLOOKUP(AA$4,$D$7:$P$336,$R105,FALSE)-HLOOKUP(AA$3,$D$7:$P$336,$R105,FALSE)</f>
        <v>101.711</v>
      </c>
      <c r="AB105" s="60">
        <f ca="1">100+HLOOKUP(AB$4,$D$7:$P$336,$R105,FALSE)-HLOOKUP(AB$3,$D$7:$P$336,$R105,FALSE)</f>
        <v>96.578000000000003</v>
      </c>
      <c r="AC105" s="60">
        <f ca="1">100+HLOOKUP(AC$4,$D$7:$P$336,$R105,FALSE)-HLOOKUP(AC$3,$D$7:$P$336,$R105,FALSE)</f>
        <v>96.577999999999989</v>
      </c>
      <c r="AD105" s="60">
        <f ca="1">100+HLOOKUP(AD$4,$D$7:$P$336,$R105,FALSE)-HLOOKUP(AD$3,$D$7:$P$336,$R105,FALSE)</f>
        <v>101.711</v>
      </c>
      <c r="AE105" s="60">
        <f ca="1">100+HLOOKUP(AE$4,$D$7:$P$336,$R105,FALSE)-HLOOKUP(AE$3,$D$7:$P$336,$R105,FALSE)</f>
        <v>101.711</v>
      </c>
      <c r="AF105" s="60">
        <f ca="1">100+HLOOKUP(AF$4,$D$7:$P$336,$R105,FALSE)-HLOOKUP(AF$3,$D$7:$P$336,$R105,FALSE)</f>
        <v>101.711</v>
      </c>
      <c r="AG105" s="60">
        <f ca="1">100+HLOOKUP(AG$4,$D$7:$P$336,$R105,FALSE)-HLOOKUP(AG$3,$D$7:$P$336,$R105,FALSE)</f>
        <v>101.711</v>
      </c>
      <c r="AH105" s="60" t="e">
        <f>100+HLOOKUP(AH$4,$D$7:$P$336,$R105,FALSE)-HLOOKUP(AH$3,$D$7:$P$336,$R105,FALSE)</f>
        <v>#N/A</v>
      </c>
      <c r="AI105" s="60" t="e">
        <f>100+HLOOKUP(AI$4,$D$7:$P$336,$R105,FALSE)-HLOOKUP(AI$3,$D$7:$P$336,$R105,FALSE)</f>
        <v>#N/A</v>
      </c>
      <c r="AJ105" s="60" t="e">
        <f>100+HLOOKUP(AJ$4,$D$7:$P$336,$R105,FALSE)-HLOOKUP(AJ$3,$D$7:$P$336,$R105,FALSE)</f>
        <v>#N/A</v>
      </c>
      <c r="AK105" s="60" t="e">
        <f>100+HLOOKUP(AK$4,$D$7:$P$336,$R105,FALSE)-HLOOKUP(AK$3,$D$7:$P$336,$R105,FALSE)</f>
        <v>#N/A</v>
      </c>
      <c r="AL105" s="60" t="e">
        <f>100+HLOOKUP(AL$4,$D$7:$P$336,$R105,FALSE)-HLOOKUP(AL$3,$D$7:$P$336,$R105,FALSE)</f>
        <v>#N/A</v>
      </c>
      <c r="AM105" s="60" t="e">
        <f>100+HLOOKUP(AM$4,$D$7:$P$336,$R105,FALSE)-HLOOKUP(AM$3,$D$7:$P$336,$R105,FALSE)</f>
        <v>#N/A</v>
      </c>
      <c r="AN105" s="60" t="e">
        <f>100+HLOOKUP(AN$4,$D$7:$P$336,$R105,FALSE)-HLOOKUP(AN$3,$D$7:$P$336,$R105,FALSE)</f>
        <v>#N/A</v>
      </c>
      <c r="AO105" s="60" t="e">
        <f>100+HLOOKUP(AO$4,$D$7:$P$336,$R105,FALSE)-HLOOKUP(AO$3,$D$7:$P$336,$R105,FALSE)</f>
        <v>#N/A</v>
      </c>
      <c r="AP105" s="60" t="e">
        <f>100+HLOOKUP(AP$4,$D$7:$P$336,$R105,FALSE)-HLOOKUP(AP$3,$D$7:$P$336,$R105,FALSE)</f>
        <v>#N/A</v>
      </c>
      <c r="AQ105" s="60" t="e">
        <f>100+HLOOKUP(AQ$4,$D$7:$P$336,$R105,FALSE)-HLOOKUP(AQ$3,$D$7:$P$336,$R105,FALSE)</f>
        <v>#N/A</v>
      </c>
      <c r="AV105" s="60">
        <f ca="1">AV$5-S105</f>
        <v>6.6123994267964292</v>
      </c>
      <c r="AW105" s="60">
        <f ca="1">AW$5-T105</f>
        <v>-7.4903494702422506</v>
      </c>
      <c r="AX105" s="60">
        <f ca="1">AX$5-U105</f>
        <v>6.4915403668038607E-2</v>
      </c>
      <c r="AY105" s="60">
        <f ca="1">AY$5-V105</f>
        <v>-8.1079855984721974</v>
      </c>
      <c r="AZ105" s="60">
        <f ca="1">AZ$5-W105</f>
        <v>0.87648217259602745</v>
      </c>
      <c r="BA105" s="60">
        <f ca="1">BA$5-X105</f>
        <v>1.8870590589827003</v>
      </c>
      <c r="BB105" s="60">
        <f ca="1">BB$5-Y105</f>
        <v>-8.3604072726188718</v>
      </c>
      <c r="BC105" s="60">
        <f ca="1">BC$5-Z105</f>
        <v>5.7264659098821511</v>
      </c>
      <c r="BD105" s="60">
        <f ca="1">BD$5-AA105</f>
        <v>-3.7744813356176365</v>
      </c>
      <c r="BE105" s="60">
        <f ca="1">BE$5-AB105</f>
        <v>-4.748609408007809</v>
      </c>
      <c r="BF105" s="60">
        <f ca="1">BF$5-AC105</f>
        <v>4.4393043164770916</v>
      </c>
      <c r="BG105" s="60">
        <f ca="1">BG$5-AD105</f>
        <v>2.2742587050185108</v>
      </c>
      <c r="BH105" s="60">
        <f ca="1">BH$5-AE105</f>
        <v>-2.7564077696324318</v>
      </c>
      <c r="BI105" s="60">
        <f ca="1">BI$5-AF105</f>
        <v>-11.102494488745194</v>
      </c>
      <c r="BJ105" s="60">
        <f ca="1">BJ$5-AG105</f>
        <v>-10.271448942321229</v>
      </c>
      <c r="BK105" s="60" t="e">
        <f>BK$5-AH105</f>
        <v>#N/A</v>
      </c>
      <c r="BL105" s="60" t="e">
        <f>BL$5-AI105</f>
        <v>#N/A</v>
      </c>
      <c r="BM105" s="60" t="e">
        <f>BM$5-AJ105</f>
        <v>#N/A</v>
      </c>
      <c r="BN105" s="60" t="e">
        <f>BN$5-AK105</f>
        <v>#N/A</v>
      </c>
      <c r="BO105" s="60" t="e">
        <f>BO$5-AL105</f>
        <v>#N/A</v>
      </c>
      <c r="BP105" s="60" t="e">
        <f>BP$5-AM105</f>
        <v>#N/A</v>
      </c>
      <c r="BQ105" s="60" t="e">
        <f>BQ$5-AN105</f>
        <v>#N/A</v>
      </c>
      <c r="BR105" s="60" t="e">
        <f>BR$5-AO105</f>
        <v>#N/A</v>
      </c>
      <c r="BS105" s="60" t="e">
        <f>BS$5-AP105</f>
        <v>#N/A</v>
      </c>
      <c r="BT105" s="60" t="e">
        <f>BT$5-AQ105</f>
        <v>#N/A</v>
      </c>
      <c r="BV105" s="60" cm="1">
        <f t="array" aca="1" ref="BV105" ca="1">SQRT(SUMSQ(_xlfn._xlws.FILTER(AV105:BT105,ISNUMBER(AV105:BT105)))/COUNT(_xlfn._xlws.FILTER(AV105:BT105,ISNUMBER(AV105:BT105))))</f>
        <v>6.1678323987540411</v>
      </c>
    </row>
    <row r="106" spans="3:74" x14ac:dyDescent="0.2">
      <c r="C106" s="60" t="s">
        <v>277</v>
      </c>
      <c r="D106" s="60">
        <v>0</v>
      </c>
      <c r="E106" s="60">
        <v>0</v>
      </c>
      <c r="F106" s="60">
        <v>-4</v>
      </c>
      <c r="G106" s="60">
        <v>-2</v>
      </c>
      <c r="H106" s="60">
        <v>0</v>
      </c>
      <c r="I106" s="60">
        <v>0</v>
      </c>
      <c r="J106" s="60">
        <v>-4</v>
      </c>
      <c r="K106" s="60">
        <v>-2</v>
      </c>
      <c r="L106" s="60">
        <v>0</v>
      </c>
      <c r="M106" s="60">
        <v>0</v>
      </c>
      <c r="N106" s="60">
        <v>-4</v>
      </c>
      <c r="O106" s="60">
        <v>-2</v>
      </c>
      <c r="P106" s="60">
        <v>0</v>
      </c>
      <c r="R106" s="61">
        <f>(ROW(R106)-ROW($C$6))</f>
        <v>100</v>
      </c>
      <c r="S106" s="60">
        <f ca="1">100+HLOOKUP(S$4,$D$7:$P$336,$R106,FALSE)-HLOOKUP(S$3,$D$7:$P$336,$R106,FALSE)</f>
        <v>100</v>
      </c>
      <c r="T106" s="60">
        <f ca="1">100+HLOOKUP(T$4,$D$7:$P$336,$R106,FALSE)-HLOOKUP(T$3,$D$7:$P$336,$R106,FALSE)</f>
        <v>98</v>
      </c>
      <c r="U106" s="60">
        <f ca="1">100+HLOOKUP(U$4,$D$7:$P$336,$R106,FALSE)-HLOOKUP(U$3,$D$7:$P$336,$R106,FALSE)</f>
        <v>100</v>
      </c>
      <c r="V106" s="60">
        <f ca="1">100+HLOOKUP(V$4,$D$7:$P$336,$R106,FALSE)-HLOOKUP(V$3,$D$7:$P$336,$R106,FALSE)</f>
        <v>104</v>
      </c>
      <c r="W106" s="60">
        <f ca="1">100+HLOOKUP(W$4,$D$7:$P$336,$R106,FALSE)-HLOOKUP(W$3,$D$7:$P$336,$R106,FALSE)</f>
        <v>98</v>
      </c>
      <c r="X106" s="60">
        <f ca="1">100+HLOOKUP(X$4,$D$7:$P$336,$R106,FALSE)-HLOOKUP(X$3,$D$7:$P$336,$R106,FALSE)</f>
        <v>100</v>
      </c>
      <c r="Y106" s="60">
        <f ca="1">100+HLOOKUP(Y$4,$D$7:$P$336,$R106,FALSE)-HLOOKUP(Y$3,$D$7:$P$336,$R106,FALSE)</f>
        <v>98</v>
      </c>
      <c r="Z106" s="60">
        <f ca="1">100+HLOOKUP(Z$4,$D$7:$P$336,$R106,FALSE)-HLOOKUP(Z$3,$D$7:$P$336,$R106,FALSE)</f>
        <v>100</v>
      </c>
      <c r="AA106" s="60">
        <f ca="1">100+HLOOKUP(AA$4,$D$7:$P$336,$R106,FALSE)-HLOOKUP(AA$3,$D$7:$P$336,$R106,FALSE)</f>
        <v>104</v>
      </c>
      <c r="AB106" s="60">
        <f ca="1">100+HLOOKUP(AB$4,$D$7:$P$336,$R106,FALSE)-HLOOKUP(AB$3,$D$7:$P$336,$R106,FALSE)</f>
        <v>98</v>
      </c>
      <c r="AC106" s="60">
        <f ca="1">100+HLOOKUP(AC$4,$D$7:$P$336,$R106,FALSE)-HLOOKUP(AC$3,$D$7:$P$336,$R106,FALSE)</f>
        <v>104</v>
      </c>
      <c r="AD106" s="60">
        <f ca="1">100+HLOOKUP(AD$4,$D$7:$P$336,$R106,FALSE)-HLOOKUP(AD$3,$D$7:$P$336,$R106,FALSE)</f>
        <v>98</v>
      </c>
      <c r="AE106" s="60">
        <f ca="1">100+HLOOKUP(AE$4,$D$7:$P$336,$R106,FALSE)-HLOOKUP(AE$3,$D$7:$P$336,$R106,FALSE)</f>
        <v>104</v>
      </c>
      <c r="AF106" s="60">
        <f ca="1">100+HLOOKUP(AF$4,$D$7:$P$336,$R106,FALSE)-HLOOKUP(AF$3,$D$7:$P$336,$R106,FALSE)</f>
        <v>98</v>
      </c>
      <c r="AG106" s="60">
        <f ca="1">100+HLOOKUP(AG$4,$D$7:$P$336,$R106,FALSE)-HLOOKUP(AG$3,$D$7:$P$336,$R106,FALSE)</f>
        <v>104</v>
      </c>
      <c r="AH106" s="60" t="e">
        <f>100+HLOOKUP(AH$4,$D$7:$P$336,$R106,FALSE)-HLOOKUP(AH$3,$D$7:$P$336,$R106,FALSE)</f>
        <v>#N/A</v>
      </c>
      <c r="AI106" s="60" t="e">
        <f>100+HLOOKUP(AI$4,$D$7:$P$336,$R106,FALSE)-HLOOKUP(AI$3,$D$7:$P$336,$R106,FALSE)</f>
        <v>#N/A</v>
      </c>
      <c r="AJ106" s="60" t="e">
        <f>100+HLOOKUP(AJ$4,$D$7:$P$336,$R106,FALSE)-HLOOKUP(AJ$3,$D$7:$P$336,$R106,FALSE)</f>
        <v>#N/A</v>
      </c>
      <c r="AK106" s="60" t="e">
        <f>100+HLOOKUP(AK$4,$D$7:$P$336,$R106,FALSE)-HLOOKUP(AK$3,$D$7:$P$336,$R106,FALSE)</f>
        <v>#N/A</v>
      </c>
      <c r="AL106" s="60" t="e">
        <f>100+HLOOKUP(AL$4,$D$7:$P$336,$R106,FALSE)-HLOOKUP(AL$3,$D$7:$P$336,$R106,FALSE)</f>
        <v>#N/A</v>
      </c>
      <c r="AM106" s="60" t="e">
        <f>100+HLOOKUP(AM$4,$D$7:$P$336,$R106,FALSE)-HLOOKUP(AM$3,$D$7:$P$336,$R106,FALSE)</f>
        <v>#N/A</v>
      </c>
      <c r="AN106" s="60" t="e">
        <f>100+HLOOKUP(AN$4,$D$7:$P$336,$R106,FALSE)-HLOOKUP(AN$3,$D$7:$P$336,$R106,FALSE)</f>
        <v>#N/A</v>
      </c>
      <c r="AO106" s="60" t="e">
        <f>100+HLOOKUP(AO$4,$D$7:$P$336,$R106,FALSE)-HLOOKUP(AO$3,$D$7:$P$336,$R106,FALSE)</f>
        <v>#N/A</v>
      </c>
      <c r="AP106" s="60" t="e">
        <f>100+HLOOKUP(AP$4,$D$7:$P$336,$R106,FALSE)-HLOOKUP(AP$3,$D$7:$P$336,$R106,FALSE)</f>
        <v>#N/A</v>
      </c>
      <c r="AQ106" s="60" t="e">
        <f>100+HLOOKUP(AQ$4,$D$7:$P$336,$R106,FALSE)-HLOOKUP(AQ$3,$D$7:$P$336,$R106,FALSE)</f>
        <v>#N/A</v>
      </c>
      <c r="AV106" s="60">
        <f ca="1">AV$5-S106</f>
        <v>3.1903994267964322</v>
      </c>
      <c r="AW106" s="60">
        <f ca="1">AW$5-T106</f>
        <v>-3.7793494702422521</v>
      </c>
      <c r="AX106" s="60">
        <f ca="1">AX$5-U106</f>
        <v>1.7759154036680513</v>
      </c>
      <c r="AY106" s="60">
        <f ca="1">AY$5-V106</f>
        <v>-10.396985598472199</v>
      </c>
      <c r="AZ106" s="60">
        <f ca="1">AZ$5-W106</f>
        <v>-0.54551782740396959</v>
      </c>
      <c r="BA106" s="60">
        <f ca="1">BA$5-X106</f>
        <v>-1.5349409410172967</v>
      </c>
      <c r="BB106" s="60">
        <f ca="1">BB$5-Y106</f>
        <v>-4.6494072726188733</v>
      </c>
      <c r="BC106" s="60">
        <f ca="1">BC$5-Z106</f>
        <v>7.4374659098821638</v>
      </c>
      <c r="BD106" s="60">
        <f ca="1">BD$5-AA106</f>
        <v>-6.063481335617638</v>
      </c>
      <c r="BE106" s="60">
        <f ca="1">BE$5-AB106</f>
        <v>-6.170609408007806</v>
      </c>
      <c r="BF106" s="60">
        <f ca="1">BF$5-AC106</f>
        <v>-2.9826956835229197</v>
      </c>
      <c r="BG106" s="60">
        <f ca="1">BG$5-AD106</f>
        <v>5.9852587050185093</v>
      </c>
      <c r="BH106" s="60">
        <f ca="1">BH$5-AE106</f>
        <v>-5.0454077696324333</v>
      </c>
      <c r="BI106" s="60">
        <f ca="1">BI$5-AF106</f>
        <v>-7.3914944887451952</v>
      </c>
      <c r="BJ106" s="60">
        <f ca="1">BJ$5-AG106</f>
        <v>-12.56044894232123</v>
      </c>
      <c r="BK106" s="60" t="e">
        <f>BK$5-AH106</f>
        <v>#N/A</v>
      </c>
      <c r="BL106" s="60" t="e">
        <f>BL$5-AI106</f>
        <v>#N/A</v>
      </c>
      <c r="BM106" s="60" t="e">
        <f>BM$5-AJ106</f>
        <v>#N/A</v>
      </c>
      <c r="BN106" s="60" t="e">
        <f>BN$5-AK106</f>
        <v>#N/A</v>
      </c>
      <c r="BO106" s="60" t="e">
        <f>BO$5-AL106</f>
        <v>#N/A</v>
      </c>
      <c r="BP106" s="60" t="e">
        <f>BP$5-AM106</f>
        <v>#N/A</v>
      </c>
      <c r="BQ106" s="60" t="e">
        <f>BQ$5-AN106</f>
        <v>#N/A</v>
      </c>
      <c r="BR106" s="60" t="e">
        <f>BR$5-AO106</f>
        <v>#N/A</v>
      </c>
      <c r="BS106" s="60" t="e">
        <f>BS$5-AP106</f>
        <v>#N/A</v>
      </c>
      <c r="BT106" s="60" t="e">
        <f>BT$5-AQ106</f>
        <v>#N/A</v>
      </c>
      <c r="BV106" s="60" cm="1">
        <f t="array" aca="1" ref="BV106" ca="1">SQRT(SUMSQ(_xlfn._xlws.FILTER(AV106:BT106,ISNUMBER(AV106:BT106)))/COUNT(_xlfn._xlws.FILTER(AV106:BT106,ISNUMBER(AV106:BT106))))</f>
        <v>6.179088747100038</v>
      </c>
    </row>
    <row r="107" spans="3:74" x14ac:dyDescent="0.2">
      <c r="C107" s="60" t="s">
        <v>500</v>
      </c>
      <c r="D107" s="60">
        <v>0</v>
      </c>
      <c r="E107" s="60">
        <v>0</v>
      </c>
      <c r="F107" s="60">
        <v>-2</v>
      </c>
      <c r="G107" s="60">
        <v>-6</v>
      </c>
      <c r="H107" s="60">
        <v>-10</v>
      </c>
      <c r="I107" s="60">
        <v>-8</v>
      </c>
      <c r="J107" s="60">
        <v>-8</v>
      </c>
      <c r="K107" s="60">
        <v>-6</v>
      </c>
      <c r="L107" s="60">
        <v>-6</v>
      </c>
      <c r="M107" s="60">
        <v>-4</v>
      </c>
      <c r="N107" s="60">
        <v>-2</v>
      </c>
      <c r="O107" s="60">
        <v>-2</v>
      </c>
      <c r="P107" s="60">
        <v>0</v>
      </c>
      <c r="R107" s="61">
        <f>(ROW(R107)-ROW($C$6))</f>
        <v>101</v>
      </c>
      <c r="S107" s="60">
        <f ca="1">100+HLOOKUP(S$4,$D$7:$P$336,$R107,FALSE)-HLOOKUP(S$3,$D$7:$P$336,$R107,FALSE)</f>
        <v>94</v>
      </c>
      <c r="T107" s="60">
        <f ca="1">100+HLOOKUP(T$4,$D$7:$P$336,$R107,FALSE)-HLOOKUP(T$3,$D$7:$P$336,$R107,FALSE)</f>
        <v>94</v>
      </c>
      <c r="U107" s="60">
        <f ca="1">100+HLOOKUP(U$4,$D$7:$P$336,$R107,FALSE)-HLOOKUP(U$3,$D$7:$P$336,$R107,FALSE)</f>
        <v>94</v>
      </c>
      <c r="V107" s="60">
        <f ca="1">100+HLOOKUP(V$4,$D$7:$P$336,$R107,FALSE)-HLOOKUP(V$3,$D$7:$P$336,$R107,FALSE)</f>
        <v>94</v>
      </c>
      <c r="W107" s="60">
        <f ca="1">100+HLOOKUP(W$4,$D$7:$P$336,$R107,FALSE)-HLOOKUP(W$3,$D$7:$P$336,$R107,FALSE)</f>
        <v>94</v>
      </c>
      <c r="X107" s="60">
        <f ca="1">100+HLOOKUP(X$4,$D$7:$P$336,$R107,FALSE)-HLOOKUP(X$3,$D$7:$P$336,$R107,FALSE)</f>
        <v>94</v>
      </c>
      <c r="Y107" s="60">
        <f ca="1">100+HLOOKUP(Y$4,$D$7:$P$336,$R107,FALSE)-HLOOKUP(Y$3,$D$7:$P$336,$R107,FALSE)</f>
        <v>94</v>
      </c>
      <c r="Z107" s="60">
        <f ca="1">100+HLOOKUP(Z$4,$D$7:$P$336,$R107,FALSE)-HLOOKUP(Z$3,$D$7:$P$336,$R107,FALSE)</f>
        <v>94</v>
      </c>
      <c r="AA107" s="60">
        <f ca="1">100+HLOOKUP(AA$4,$D$7:$P$336,$R107,FALSE)-HLOOKUP(AA$3,$D$7:$P$336,$R107,FALSE)</f>
        <v>94</v>
      </c>
      <c r="AB107" s="60">
        <f ca="1">100+HLOOKUP(AB$4,$D$7:$P$336,$R107,FALSE)-HLOOKUP(AB$3,$D$7:$P$336,$R107,FALSE)</f>
        <v>94</v>
      </c>
      <c r="AC107" s="60">
        <f ca="1">100+HLOOKUP(AC$4,$D$7:$P$336,$R107,FALSE)-HLOOKUP(AC$3,$D$7:$P$336,$R107,FALSE)</f>
        <v>98</v>
      </c>
      <c r="AD107" s="60">
        <f ca="1">100+HLOOKUP(AD$4,$D$7:$P$336,$R107,FALSE)-HLOOKUP(AD$3,$D$7:$P$336,$R107,FALSE)</f>
        <v>108</v>
      </c>
      <c r="AE107" s="60">
        <f ca="1">100+HLOOKUP(AE$4,$D$7:$P$336,$R107,FALSE)-HLOOKUP(AE$3,$D$7:$P$336,$R107,FALSE)</f>
        <v>108</v>
      </c>
      <c r="AF107" s="60">
        <f ca="1">100+HLOOKUP(AF$4,$D$7:$P$336,$R107,FALSE)-HLOOKUP(AF$3,$D$7:$P$336,$R107,FALSE)</f>
        <v>100</v>
      </c>
      <c r="AG107" s="60">
        <f ca="1">100+HLOOKUP(AG$4,$D$7:$P$336,$R107,FALSE)-HLOOKUP(AG$3,$D$7:$P$336,$R107,FALSE)</f>
        <v>94</v>
      </c>
      <c r="AH107" s="60" t="e">
        <f>100+HLOOKUP(AH$4,$D$7:$P$336,$R107,FALSE)-HLOOKUP(AH$3,$D$7:$P$336,$R107,FALSE)</f>
        <v>#N/A</v>
      </c>
      <c r="AI107" s="60" t="e">
        <f>100+HLOOKUP(AI$4,$D$7:$P$336,$R107,FALSE)-HLOOKUP(AI$3,$D$7:$P$336,$R107,FALSE)</f>
        <v>#N/A</v>
      </c>
      <c r="AJ107" s="60" t="e">
        <f>100+HLOOKUP(AJ$4,$D$7:$P$336,$R107,FALSE)-HLOOKUP(AJ$3,$D$7:$P$336,$R107,FALSE)</f>
        <v>#N/A</v>
      </c>
      <c r="AK107" s="60" t="e">
        <f>100+HLOOKUP(AK$4,$D$7:$P$336,$R107,FALSE)-HLOOKUP(AK$3,$D$7:$P$336,$R107,FALSE)</f>
        <v>#N/A</v>
      </c>
      <c r="AL107" s="60" t="e">
        <f>100+HLOOKUP(AL$4,$D$7:$P$336,$R107,FALSE)-HLOOKUP(AL$3,$D$7:$P$336,$R107,FALSE)</f>
        <v>#N/A</v>
      </c>
      <c r="AM107" s="60" t="e">
        <f>100+HLOOKUP(AM$4,$D$7:$P$336,$R107,FALSE)-HLOOKUP(AM$3,$D$7:$P$336,$R107,FALSE)</f>
        <v>#N/A</v>
      </c>
      <c r="AN107" s="60" t="e">
        <f>100+HLOOKUP(AN$4,$D$7:$P$336,$R107,FALSE)-HLOOKUP(AN$3,$D$7:$P$336,$R107,FALSE)</f>
        <v>#N/A</v>
      </c>
      <c r="AO107" s="60" t="e">
        <f>100+HLOOKUP(AO$4,$D$7:$P$336,$R107,FALSE)-HLOOKUP(AO$3,$D$7:$P$336,$R107,FALSE)</f>
        <v>#N/A</v>
      </c>
      <c r="AP107" s="60" t="e">
        <f>100+HLOOKUP(AP$4,$D$7:$P$336,$R107,FALSE)-HLOOKUP(AP$3,$D$7:$P$336,$R107,FALSE)</f>
        <v>#N/A</v>
      </c>
      <c r="AQ107" s="60" t="e">
        <f>100+HLOOKUP(AQ$4,$D$7:$P$336,$R107,FALSE)-HLOOKUP(AQ$3,$D$7:$P$336,$R107,FALSE)</f>
        <v>#N/A</v>
      </c>
      <c r="AV107" s="60">
        <f ca="1">AV$5-S107</f>
        <v>9.1903994267964322</v>
      </c>
      <c r="AW107" s="60">
        <f ca="1">AW$5-T107</f>
        <v>0.2206505297577479</v>
      </c>
      <c r="AX107" s="60">
        <f ca="1">AX$5-U107</f>
        <v>7.7759154036680513</v>
      </c>
      <c r="AY107" s="60">
        <f ca="1">AY$5-V107</f>
        <v>-0.39698559847219883</v>
      </c>
      <c r="AZ107" s="60">
        <f ca="1">AZ$5-W107</f>
        <v>3.4544821725960304</v>
      </c>
      <c r="BA107" s="60">
        <f ca="1">BA$5-X107</f>
        <v>4.4650590589827033</v>
      </c>
      <c r="BB107" s="60">
        <f ca="1">BB$5-Y107</f>
        <v>-0.64940727261887332</v>
      </c>
      <c r="BC107" s="60">
        <f ca="1">BC$5-Z107</f>
        <v>13.437465909882164</v>
      </c>
      <c r="BD107" s="60">
        <f ca="1">BD$5-AA107</f>
        <v>3.936518664382362</v>
      </c>
      <c r="BE107" s="60">
        <f ca="1">BE$5-AB107</f>
        <v>-2.170609408007806</v>
      </c>
      <c r="BF107" s="60">
        <f ca="1">BF$5-AC107</f>
        <v>3.0173043164770803</v>
      </c>
      <c r="BG107" s="60">
        <f ca="1">BG$5-AD107</f>
        <v>-4.0147412949814907</v>
      </c>
      <c r="BH107" s="60">
        <f ca="1">BH$5-AE107</f>
        <v>-9.0454077696324333</v>
      </c>
      <c r="BI107" s="60">
        <f ca="1">BI$5-AF107</f>
        <v>-9.3914944887451952</v>
      </c>
      <c r="BJ107" s="60">
        <f ca="1">BJ$5-AG107</f>
        <v>-2.56044894232123</v>
      </c>
      <c r="BK107" s="60" t="e">
        <f>BK$5-AH107</f>
        <v>#N/A</v>
      </c>
      <c r="BL107" s="60" t="e">
        <f>BL$5-AI107</f>
        <v>#N/A</v>
      </c>
      <c r="BM107" s="60" t="e">
        <f>BM$5-AJ107</f>
        <v>#N/A</v>
      </c>
      <c r="BN107" s="60" t="e">
        <f>BN$5-AK107</f>
        <v>#N/A</v>
      </c>
      <c r="BO107" s="60" t="e">
        <f>BO$5-AL107</f>
        <v>#N/A</v>
      </c>
      <c r="BP107" s="60" t="e">
        <f>BP$5-AM107</f>
        <v>#N/A</v>
      </c>
      <c r="BQ107" s="60" t="e">
        <f>BQ$5-AN107</f>
        <v>#N/A</v>
      </c>
      <c r="BR107" s="60" t="e">
        <f>BR$5-AO107</f>
        <v>#N/A</v>
      </c>
      <c r="BS107" s="60" t="e">
        <f>BS$5-AP107</f>
        <v>#N/A</v>
      </c>
      <c r="BT107" s="60" t="e">
        <f>BT$5-AQ107</f>
        <v>#N/A</v>
      </c>
      <c r="BV107" s="60" cm="1">
        <f t="array" aca="1" ref="BV107" ca="1">SQRT(SUMSQ(_xlfn._xlws.FILTER(AV107:BT107,ISNUMBER(AV107:BT107)))/COUNT(_xlfn._xlws.FILTER(AV107:BT107,ISNUMBER(AV107:BT107))))</f>
        <v>6.2182391516946209</v>
      </c>
    </row>
    <row r="108" spans="3:74" x14ac:dyDescent="0.2">
      <c r="C108" s="60" t="s">
        <v>303</v>
      </c>
      <c r="D108" s="60">
        <v>0</v>
      </c>
      <c r="E108" s="60">
        <v>0</v>
      </c>
      <c r="F108" s="60">
        <v>-2</v>
      </c>
      <c r="G108" s="60">
        <v>-6</v>
      </c>
      <c r="H108" s="60">
        <v>-10</v>
      </c>
      <c r="I108" s="60">
        <v>-8</v>
      </c>
      <c r="J108" s="60">
        <v>-8</v>
      </c>
      <c r="K108" s="60">
        <v>-6</v>
      </c>
      <c r="L108" s="60">
        <v>-6</v>
      </c>
      <c r="M108" s="60">
        <v>-4</v>
      </c>
      <c r="N108" s="60">
        <v>-2</v>
      </c>
      <c r="O108" s="60">
        <v>-2</v>
      </c>
      <c r="P108" s="60">
        <v>0</v>
      </c>
      <c r="R108" s="61">
        <f>(ROW(R108)-ROW($C$6))</f>
        <v>102</v>
      </c>
      <c r="S108" s="60">
        <f ca="1">100+HLOOKUP(S$4,$D$7:$P$336,$R108,FALSE)-HLOOKUP(S$3,$D$7:$P$336,$R108,FALSE)</f>
        <v>94</v>
      </c>
      <c r="T108" s="60">
        <f ca="1">100+HLOOKUP(T$4,$D$7:$P$336,$R108,FALSE)-HLOOKUP(T$3,$D$7:$P$336,$R108,FALSE)</f>
        <v>94</v>
      </c>
      <c r="U108" s="60">
        <f ca="1">100+HLOOKUP(U$4,$D$7:$P$336,$R108,FALSE)-HLOOKUP(U$3,$D$7:$P$336,$R108,FALSE)</f>
        <v>94</v>
      </c>
      <c r="V108" s="60">
        <f ca="1">100+HLOOKUP(V$4,$D$7:$P$336,$R108,FALSE)-HLOOKUP(V$3,$D$7:$P$336,$R108,FALSE)</f>
        <v>94</v>
      </c>
      <c r="W108" s="60">
        <f ca="1">100+HLOOKUP(W$4,$D$7:$P$336,$R108,FALSE)-HLOOKUP(W$3,$D$7:$P$336,$R108,FALSE)</f>
        <v>94</v>
      </c>
      <c r="X108" s="60">
        <f ca="1">100+HLOOKUP(X$4,$D$7:$P$336,$R108,FALSE)-HLOOKUP(X$3,$D$7:$P$336,$R108,FALSE)</f>
        <v>94</v>
      </c>
      <c r="Y108" s="60">
        <f ca="1">100+HLOOKUP(Y$4,$D$7:$P$336,$R108,FALSE)-HLOOKUP(Y$3,$D$7:$P$336,$R108,FALSE)</f>
        <v>94</v>
      </c>
      <c r="Z108" s="60">
        <f ca="1">100+HLOOKUP(Z$4,$D$7:$P$336,$R108,FALSE)-HLOOKUP(Z$3,$D$7:$P$336,$R108,FALSE)</f>
        <v>94</v>
      </c>
      <c r="AA108" s="60">
        <f ca="1">100+HLOOKUP(AA$4,$D$7:$P$336,$R108,FALSE)-HLOOKUP(AA$3,$D$7:$P$336,$R108,FALSE)</f>
        <v>94</v>
      </c>
      <c r="AB108" s="60">
        <f ca="1">100+HLOOKUP(AB$4,$D$7:$P$336,$R108,FALSE)-HLOOKUP(AB$3,$D$7:$P$336,$R108,FALSE)</f>
        <v>94</v>
      </c>
      <c r="AC108" s="60">
        <f ca="1">100+HLOOKUP(AC$4,$D$7:$P$336,$R108,FALSE)-HLOOKUP(AC$3,$D$7:$P$336,$R108,FALSE)</f>
        <v>98</v>
      </c>
      <c r="AD108" s="60">
        <f ca="1">100+HLOOKUP(AD$4,$D$7:$P$336,$R108,FALSE)-HLOOKUP(AD$3,$D$7:$P$336,$R108,FALSE)</f>
        <v>108</v>
      </c>
      <c r="AE108" s="60">
        <f ca="1">100+HLOOKUP(AE$4,$D$7:$P$336,$R108,FALSE)-HLOOKUP(AE$3,$D$7:$P$336,$R108,FALSE)</f>
        <v>108</v>
      </c>
      <c r="AF108" s="60">
        <f ca="1">100+HLOOKUP(AF$4,$D$7:$P$336,$R108,FALSE)-HLOOKUP(AF$3,$D$7:$P$336,$R108,FALSE)</f>
        <v>100</v>
      </c>
      <c r="AG108" s="60">
        <f ca="1">100+HLOOKUP(AG$4,$D$7:$P$336,$R108,FALSE)-HLOOKUP(AG$3,$D$7:$P$336,$R108,FALSE)</f>
        <v>94</v>
      </c>
      <c r="AH108" s="60" t="e">
        <f>100+HLOOKUP(AH$4,$D$7:$P$336,$R108,FALSE)-HLOOKUP(AH$3,$D$7:$P$336,$R108,FALSE)</f>
        <v>#N/A</v>
      </c>
      <c r="AI108" s="60" t="e">
        <f>100+HLOOKUP(AI$4,$D$7:$P$336,$R108,FALSE)-HLOOKUP(AI$3,$D$7:$P$336,$R108,FALSE)</f>
        <v>#N/A</v>
      </c>
      <c r="AJ108" s="60" t="e">
        <f>100+HLOOKUP(AJ$4,$D$7:$P$336,$R108,FALSE)-HLOOKUP(AJ$3,$D$7:$P$336,$R108,FALSE)</f>
        <v>#N/A</v>
      </c>
      <c r="AK108" s="60" t="e">
        <f>100+HLOOKUP(AK$4,$D$7:$P$336,$R108,FALSE)-HLOOKUP(AK$3,$D$7:$P$336,$R108,FALSE)</f>
        <v>#N/A</v>
      </c>
      <c r="AL108" s="60" t="e">
        <f>100+HLOOKUP(AL$4,$D$7:$P$336,$R108,FALSE)-HLOOKUP(AL$3,$D$7:$P$336,$R108,FALSE)</f>
        <v>#N/A</v>
      </c>
      <c r="AM108" s="60" t="e">
        <f>100+HLOOKUP(AM$4,$D$7:$P$336,$R108,FALSE)-HLOOKUP(AM$3,$D$7:$P$336,$R108,FALSE)</f>
        <v>#N/A</v>
      </c>
      <c r="AN108" s="60" t="e">
        <f>100+HLOOKUP(AN$4,$D$7:$P$336,$R108,FALSE)-HLOOKUP(AN$3,$D$7:$P$336,$R108,FALSE)</f>
        <v>#N/A</v>
      </c>
      <c r="AO108" s="60" t="e">
        <f>100+HLOOKUP(AO$4,$D$7:$P$336,$R108,FALSE)-HLOOKUP(AO$3,$D$7:$P$336,$R108,FALSE)</f>
        <v>#N/A</v>
      </c>
      <c r="AP108" s="60" t="e">
        <f>100+HLOOKUP(AP$4,$D$7:$P$336,$R108,FALSE)-HLOOKUP(AP$3,$D$7:$P$336,$R108,FALSE)</f>
        <v>#N/A</v>
      </c>
      <c r="AQ108" s="60" t="e">
        <f>100+HLOOKUP(AQ$4,$D$7:$P$336,$R108,FALSE)-HLOOKUP(AQ$3,$D$7:$P$336,$R108,FALSE)</f>
        <v>#N/A</v>
      </c>
      <c r="AV108" s="60">
        <f ca="1">AV$5-S108</f>
        <v>9.1903994267964322</v>
      </c>
      <c r="AW108" s="60">
        <f ca="1">AW$5-T108</f>
        <v>0.2206505297577479</v>
      </c>
      <c r="AX108" s="60">
        <f ca="1">AX$5-U108</f>
        <v>7.7759154036680513</v>
      </c>
      <c r="AY108" s="60">
        <f ca="1">AY$5-V108</f>
        <v>-0.39698559847219883</v>
      </c>
      <c r="AZ108" s="60">
        <f ca="1">AZ$5-W108</f>
        <v>3.4544821725960304</v>
      </c>
      <c r="BA108" s="60">
        <f ca="1">BA$5-X108</f>
        <v>4.4650590589827033</v>
      </c>
      <c r="BB108" s="60">
        <f ca="1">BB$5-Y108</f>
        <v>-0.64940727261887332</v>
      </c>
      <c r="BC108" s="60">
        <f ca="1">BC$5-Z108</f>
        <v>13.437465909882164</v>
      </c>
      <c r="BD108" s="60">
        <f ca="1">BD$5-AA108</f>
        <v>3.936518664382362</v>
      </c>
      <c r="BE108" s="60">
        <f ca="1">BE$5-AB108</f>
        <v>-2.170609408007806</v>
      </c>
      <c r="BF108" s="60">
        <f ca="1">BF$5-AC108</f>
        <v>3.0173043164770803</v>
      </c>
      <c r="BG108" s="60">
        <f ca="1">BG$5-AD108</f>
        <v>-4.0147412949814907</v>
      </c>
      <c r="BH108" s="60">
        <f ca="1">BH$5-AE108</f>
        <v>-9.0454077696324333</v>
      </c>
      <c r="BI108" s="60">
        <f ca="1">BI$5-AF108</f>
        <v>-9.3914944887451952</v>
      </c>
      <c r="BJ108" s="60">
        <f ca="1">BJ$5-AG108</f>
        <v>-2.56044894232123</v>
      </c>
      <c r="BK108" s="60" t="e">
        <f>BK$5-AH108</f>
        <v>#N/A</v>
      </c>
      <c r="BL108" s="60" t="e">
        <f>BL$5-AI108</f>
        <v>#N/A</v>
      </c>
      <c r="BM108" s="60" t="e">
        <f>BM$5-AJ108</f>
        <v>#N/A</v>
      </c>
      <c r="BN108" s="60" t="e">
        <f>BN$5-AK108</f>
        <v>#N/A</v>
      </c>
      <c r="BO108" s="60" t="e">
        <f>BO$5-AL108</f>
        <v>#N/A</v>
      </c>
      <c r="BP108" s="60" t="e">
        <f>BP$5-AM108</f>
        <v>#N/A</v>
      </c>
      <c r="BQ108" s="60" t="e">
        <f>BQ$5-AN108</f>
        <v>#N/A</v>
      </c>
      <c r="BR108" s="60" t="e">
        <f>BR$5-AO108</f>
        <v>#N/A</v>
      </c>
      <c r="BS108" s="60" t="e">
        <f>BS$5-AP108</f>
        <v>#N/A</v>
      </c>
      <c r="BT108" s="60" t="e">
        <f>BT$5-AQ108</f>
        <v>#N/A</v>
      </c>
      <c r="BV108" s="60" cm="1">
        <f t="array" aca="1" ref="BV108" ca="1">SQRT(SUMSQ(_xlfn._xlws.FILTER(AV108:BT108,ISNUMBER(AV108:BT108)))/COUNT(_xlfn._xlws.FILTER(AV108:BT108,ISNUMBER(AV108:BT108))))</f>
        <v>6.2182391516946209</v>
      </c>
    </row>
    <row r="109" spans="3:74" x14ac:dyDescent="0.2">
      <c r="C109" s="60" t="s">
        <v>420</v>
      </c>
      <c r="D109" s="60">
        <v>0</v>
      </c>
      <c r="E109" s="60">
        <v>0</v>
      </c>
      <c r="F109" s="60">
        <v>-2</v>
      </c>
      <c r="G109" s="60">
        <v>-6</v>
      </c>
      <c r="H109" s="60">
        <v>-10</v>
      </c>
      <c r="I109" s="60">
        <v>-8</v>
      </c>
      <c r="J109" s="60">
        <v>-8</v>
      </c>
      <c r="K109" s="60">
        <v>-6</v>
      </c>
      <c r="L109" s="60">
        <v>-6</v>
      </c>
      <c r="M109" s="60">
        <v>-4</v>
      </c>
      <c r="N109" s="60">
        <v>-2</v>
      </c>
      <c r="O109" s="60">
        <v>-2</v>
      </c>
      <c r="P109" s="60">
        <v>0</v>
      </c>
      <c r="R109" s="61">
        <f>(ROW(R109)-ROW($C$6))</f>
        <v>103</v>
      </c>
      <c r="S109" s="60">
        <f ca="1">100+HLOOKUP(S$4,$D$7:$P$336,$R109,FALSE)-HLOOKUP(S$3,$D$7:$P$336,$R109,FALSE)</f>
        <v>94</v>
      </c>
      <c r="T109" s="60">
        <f ca="1">100+HLOOKUP(T$4,$D$7:$P$336,$R109,FALSE)-HLOOKUP(T$3,$D$7:$P$336,$R109,FALSE)</f>
        <v>94</v>
      </c>
      <c r="U109" s="60">
        <f ca="1">100+HLOOKUP(U$4,$D$7:$P$336,$R109,FALSE)-HLOOKUP(U$3,$D$7:$P$336,$R109,FALSE)</f>
        <v>94</v>
      </c>
      <c r="V109" s="60">
        <f ca="1">100+HLOOKUP(V$4,$D$7:$P$336,$R109,FALSE)-HLOOKUP(V$3,$D$7:$P$336,$R109,FALSE)</f>
        <v>94</v>
      </c>
      <c r="W109" s="60">
        <f ca="1">100+HLOOKUP(W$4,$D$7:$P$336,$R109,FALSE)-HLOOKUP(W$3,$D$7:$P$336,$R109,FALSE)</f>
        <v>94</v>
      </c>
      <c r="X109" s="60">
        <f ca="1">100+HLOOKUP(X$4,$D$7:$P$336,$R109,FALSE)-HLOOKUP(X$3,$D$7:$P$336,$R109,FALSE)</f>
        <v>94</v>
      </c>
      <c r="Y109" s="60">
        <f ca="1">100+HLOOKUP(Y$4,$D$7:$P$336,$R109,FALSE)-HLOOKUP(Y$3,$D$7:$P$336,$R109,FALSE)</f>
        <v>94</v>
      </c>
      <c r="Z109" s="60">
        <f ca="1">100+HLOOKUP(Z$4,$D$7:$P$336,$R109,FALSE)-HLOOKUP(Z$3,$D$7:$P$336,$R109,FALSE)</f>
        <v>94</v>
      </c>
      <c r="AA109" s="60">
        <f ca="1">100+HLOOKUP(AA$4,$D$7:$P$336,$R109,FALSE)-HLOOKUP(AA$3,$D$7:$P$336,$R109,FALSE)</f>
        <v>94</v>
      </c>
      <c r="AB109" s="60">
        <f ca="1">100+HLOOKUP(AB$4,$D$7:$P$336,$R109,FALSE)-HLOOKUP(AB$3,$D$7:$P$336,$R109,FALSE)</f>
        <v>94</v>
      </c>
      <c r="AC109" s="60">
        <f ca="1">100+HLOOKUP(AC$4,$D$7:$P$336,$R109,FALSE)-HLOOKUP(AC$3,$D$7:$P$336,$R109,FALSE)</f>
        <v>98</v>
      </c>
      <c r="AD109" s="60">
        <f ca="1">100+HLOOKUP(AD$4,$D$7:$P$336,$R109,FALSE)-HLOOKUP(AD$3,$D$7:$P$336,$R109,FALSE)</f>
        <v>108</v>
      </c>
      <c r="AE109" s="60">
        <f ca="1">100+HLOOKUP(AE$4,$D$7:$P$336,$R109,FALSE)-HLOOKUP(AE$3,$D$7:$P$336,$R109,FALSE)</f>
        <v>108</v>
      </c>
      <c r="AF109" s="60">
        <f ca="1">100+HLOOKUP(AF$4,$D$7:$P$336,$R109,FALSE)-HLOOKUP(AF$3,$D$7:$P$336,$R109,FALSE)</f>
        <v>100</v>
      </c>
      <c r="AG109" s="60">
        <f ca="1">100+HLOOKUP(AG$4,$D$7:$P$336,$R109,FALSE)-HLOOKUP(AG$3,$D$7:$P$336,$R109,FALSE)</f>
        <v>94</v>
      </c>
      <c r="AH109" s="60" t="e">
        <f>100+HLOOKUP(AH$4,$D$7:$P$336,$R109,FALSE)-HLOOKUP(AH$3,$D$7:$P$336,$R109,FALSE)</f>
        <v>#N/A</v>
      </c>
      <c r="AI109" s="60" t="e">
        <f>100+HLOOKUP(AI$4,$D$7:$P$336,$R109,FALSE)-HLOOKUP(AI$3,$D$7:$P$336,$R109,FALSE)</f>
        <v>#N/A</v>
      </c>
      <c r="AJ109" s="60" t="e">
        <f>100+HLOOKUP(AJ$4,$D$7:$P$336,$R109,FALSE)-HLOOKUP(AJ$3,$D$7:$P$336,$R109,FALSE)</f>
        <v>#N/A</v>
      </c>
      <c r="AK109" s="60" t="e">
        <f>100+HLOOKUP(AK$4,$D$7:$P$336,$R109,FALSE)-HLOOKUP(AK$3,$D$7:$P$336,$R109,FALSE)</f>
        <v>#N/A</v>
      </c>
      <c r="AL109" s="60" t="e">
        <f>100+HLOOKUP(AL$4,$D$7:$P$336,$R109,FALSE)-HLOOKUP(AL$3,$D$7:$P$336,$R109,FALSE)</f>
        <v>#N/A</v>
      </c>
      <c r="AM109" s="60" t="e">
        <f>100+HLOOKUP(AM$4,$D$7:$P$336,$R109,FALSE)-HLOOKUP(AM$3,$D$7:$P$336,$R109,FALSE)</f>
        <v>#N/A</v>
      </c>
      <c r="AN109" s="60" t="e">
        <f>100+HLOOKUP(AN$4,$D$7:$P$336,$R109,FALSE)-HLOOKUP(AN$3,$D$7:$P$336,$R109,FALSE)</f>
        <v>#N/A</v>
      </c>
      <c r="AO109" s="60" t="e">
        <f>100+HLOOKUP(AO$4,$D$7:$P$336,$R109,FALSE)-HLOOKUP(AO$3,$D$7:$P$336,$R109,FALSE)</f>
        <v>#N/A</v>
      </c>
      <c r="AP109" s="60" t="e">
        <f>100+HLOOKUP(AP$4,$D$7:$P$336,$R109,FALSE)-HLOOKUP(AP$3,$D$7:$P$336,$R109,FALSE)</f>
        <v>#N/A</v>
      </c>
      <c r="AQ109" s="60" t="e">
        <f>100+HLOOKUP(AQ$4,$D$7:$P$336,$R109,FALSE)-HLOOKUP(AQ$3,$D$7:$P$336,$R109,FALSE)</f>
        <v>#N/A</v>
      </c>
      <c r="AV109" s="60">
        <f ca="1">AV$5-S109</f>
        <v>9.1903994267964322</v>
      </c>
      <c r="AW109" s="60">
        <f ca="1">AW$5-T109</f>
        <v>0.2206505297577479</v>
      </c>
      <c r="AX109" s="60">
        <f ca="1">AX$5-U109</f>
        <v>7.7759154036680513</v>
      </c>
      <c r="AY109" s="60">
        <f ca="1">AY$5-V109</f>
        <v>-0.39698559847219883</v>
      </c>
      <c r="AZ109" s="60">
        <f ca="1">AZ$5-W109</f>
        <v>3.4544821725960304</v>
      </c>
      <c r="BA109" s="60">
        <f ca="1">BA$5-X109</f>
        <v>4.4650590589827033</v>
      </c>
      <c r="BB109" s="60">
        <f ca="1">BB$5-Y109</f>
        <v>-0.64940727261887332</v>
      </c>
      <c r="BC109" s="60">
        <f ca="1">BC$5-Z109</f>
        <v>13.437465909882164</v>
      </c>
      <c r="BD109" s="60">
        <f ca="1">BD$5-AA109</f>
        <v>3.936518664382362</v>
      </c>
      <c r="BE109" s="60">
        <f ca="1">BE$5-AB109</f>
        <v>-2.170609408007806</v>
      </c>
      <c r="BF109" s="60">
        <f ca="1">BF$5-AC109</f>
        <v>3.0173043164770803</v>
      </c>
      <c r="BG109" s="60">
        <f ca="1">BG$5-AD109</f>
        <v>-4.0147412949814907</v>
      </c>
      <c r="BH109" s="60">
        <f ca="1">BH$5-AE109</f>
        <v>-9.0454077696324333</v>
      </c>
      <c r="BI109" s="60">
        <f ca="1">BI$5-AF109</f>
        <v>-9.3914944887451952</v>
      </c>
      <c r="BJ109" s="60">
        <f ca="1">BJ$5-AG109</f>
        <v>-2.56044894232123</v>
      </c>
      <c r="BK109" s="60" t="e">
        <f>BK$5-AH109</f>
        <v>#N/A</v>
      </c>
      <c r="BL109" s="60" t="e">
        <f>BL$5-AI109</f>
        <v>#N/A</v>
      </c>
      <c r="BM109" s="60" t="e">
        <f>BM$5-AJ109</f>
        <v>#N/A</v>
      </c>
      <c r="BN109" s="60" t="e">
        <f>BN$5-AK109</f>
        <v>#N/A</v>
      </c>
      <c r="BO109" s="60" t="e">
        <f>BO$5-AL109</f>
        <v>#N/A</v>
      </c>
      <c r="BP109" s="60" t="e">
        <f>BP$5-AM109</f>
        <v>#N/A</v>
      </c>
      <c r="BQ109" s="60" t="e">
        <f>BQ$5-AN109</f>
        <v>#N/A</v>
      </c>
      <c r="BR109" s="60" t="e">
        <f>BR$5-AO109</f>
        <v>#N/A</v>
      </c>
      <c r="BS109" s="60" t="e">
        <f>BS$5-AP109</f>
        <v>#N/A</v>
      </c>
      <c r="BT109" s="60" t="e">
        <f>BT$5-AQ109</f>
        <v>#N/A</v>
      </c>
      <c r="BV109" s="60" cm="1">
        <f t="array" aca="1" ref="BV109" ca="1">SQRT(SUMSQ(_xlfn._xlws.FILTER(AV109:BT109,ISNUMBER(AV109:BT109)))/COUNT(_xlfn._xlws.FILTER(AV109:BT109,ISNUMBER(AV109:BT109))))</f>
        <v>6.2182391516946209</v>
      </c>
    </row>
    <row r="110" spans="3:74" x14ac:dyDescent="0.2">
      <c r="C110" s="60" t="s">
        <v>272</v>
      </c>
      <c r="D110" s="60">
        <v>0</v>
      </c>
      <c r="E110" s="60">
        <v>-4</v>
      </c>
      <c r="F110" s="60">
        <v>-2</v>
      </c>
      <c r="G110" s="60">
        <v>0</v>
      </c>
      <c r="H110" s="60">
        <v>-4</v>
      </c>
      <c r="I110" s="60">
        <v>-2</v>
      </c>
      <c r="J110" s="60">
        <v>0</v>
      </c>
      <c r="K110" s="60">
        <v>-4</v>
      </c>
      <c r="L110" s="60">
        <v>-2</v>
      </c>
      <c r="M110" s="60">
        <v>0</v>
      </c>
      <c r="N110" s="60">
        <v>-4</v>
      </c>
      <c r="O110" s="60">
        <v>-2</v>
      </c>
      <c r="P110" s="60">
        <v>0</v>
      </c>
      <c r="R110" s="61">
        <f>(ROW(R110)-ROW($C$6))</f>
        <v>104</v>
      </c>
      <c r="S110" s="60">
        <f ca="1">100+HLOOKUP(S$4,$D$7:$P$336,$R110,FALSE)-HLOOKUP(S$3,$D$7:$P$336,$R110,FALSE)</f>
        <v>96</v>
      </c>
      <c r="T110" s="60">
        <f ca="1">100+HLOOKUP(T$4,$D$7:$P$336,$R110,FALSE)-HLOOKUP(T$3,$D$7:$P$336,$R110,FALSE)</f>
        <v>102</v>
      </c>
      <c r="U110" s="60">
        <f ca="1">100+HLOOKUP(U$4,$D$7:$P$336,$R110,FALSE)-HLOOKUP(U$3,$D$7:$P$336,$R110,FALSE)</f>
        <v>102</v>
      </c>
      <c r="V110" s="60">
        <f ca="1">100+HLOOKUP(V$4,$D$7:$P$336,$R110,FALSE)-HLOOKUP(V$3,$D$7:$P$336,$R110,FALSE)</f>
        <v>102</v>
      </c>
      <c r="W110" s="60">
        <f ca="1">100+HLOOKUP(W$4,$D$7:$P$336,$R110,FALSE)-HLOOKUP(W$3,$D$7:$P$336,$R110,FALSE)</f>
        <v>96</v>
      </c>
      <c r="X110" s="60">
        <f ca="1">100+HLOOKUP(X$4,$D$7:$P$336,$R110,FALSE)-HLOOKUP(X$3,$D$7:$P$336,$R110,FALSE)</f>
        <v>96</v>
      </c>
      <c r="Y110" s="60">
        <f ca="1">100+HLOOKUP(Y$4,$D$7:$P$336,$R110,FALSE)-HLOOKUP(Y$3,$D$7:$P$336,$R110,FALSE)</f>
        <v>102</v>
      </c>
      <c r="Z110" s="60">
        <f ca="1">100+HLOOKUP(Z$4,$D$7:$P$336,$R110,FALSE)-HLOOKUP(Z$3,$D$7:$P$336,$R110,FALSE)</f>
        <v>102</v>
      </c>
      <c r="AA110" s="60">
        <f ca="1">100+HLOOKUP(AA$4,$D$7:$P$336,$R110,FALSE)-HLOOKUP(AA$3,$D$7:$P$336,$R110,FALSE)</f>
        <v>102</v>
      </c>
      <c r="AB110" s="60">
        <f ca="1">100+HLOOKUP(AB$4,$D$7:$P$336,$R110,FALSE)-HLOOKUP(AB$3,$D$7:$P$336,$R110,FALSE)</f>
        <v>96</v>
      </c>
      <c r="AC110" s="60">
        <f ca="1">100+HLOOKUP(AC$4,$D$7:$P$336,$R110,FALSE)-HLOOKUP(AC$3,$D$7:$P$336,$R110,FALSE)</f>
        <v>102</v>
      </c>
      <c r="AD110" s="60">
        <f ca="1">100+HLOOKUP(AD$4,$D$7:$P$336,$R110,FALSE)-HLOOKUP(AD$3,$D$7:$P$336,$R110,FALSE)</f>
        <v>102</v>
      </c>
      <c r="AE110" s="60">
        <f ca="1">100+HLOOKUP(AE$4,$D$7:$P$336,$R110,FALSE)-HLOOKUP(AE$3,$D$7:$P$336,$R110,FALSE)</f>
        <v>96</v>
      </c>
      <c r="AF110" s="60">
        <f ca="1">100+HLOOKUP(AF$4,$D$7:$P$336,$R110,FALSE)-HLOOKUP(AF$3,$D$7:$P$336,$R110,FALSE)</f>
        <v>102</v>
      </c>
      <c r="AG110" s="60">
        <f ca="1">100+HLOOKUP(AG$4,$D$7:$P$336,$R110,FALSE)-HLOOKUP(AG$3,$D$7:$P$336,$R110,FALSE)</f>
        <v>102</v>
      </c>
      <c r="AH110" s="60" t="e">
        <f>100+HLOOKUP(AH$4,$D$7:$P$336,$R110,FALSE)-HLOOKUP(AH$3,$D$7:$P$336,$R110,FALSE)</f>
        <v>#N/A</v>
      </c>
      <c r="AI110" s="60" t="e">
        <f>100+HLOOKUP(AI$4,$D$7:$P$336,$R110,FALSE)-HLOOKUP(AI$3,$D$7:$P$336,$R110,FALSE)</f>
        <v>#N/A</v>
      </c>
      <c r="AJ110" s="60" t="e">
        <f>100+HLOOKUP(AJ$4,$D$7:$P$336,$R110,FALSE)-HLOOKUP(AJ$3,$D$7:$P$336,$R110,FALSE)</f>
        <v>#N/A</v>
      </c>
      <c r="AK110" s="60" t="e">
        <f>100+HLOOKUP(AK$4,$D$7:$P$336,$R110,FALSE)-HLOOKUP(AK$3,$D$7:$P$336,$R110,FALSE)</f>
        <v>#N/A</v>
      </c>
      <c r="AL110" s="60" t="e">
        <f>100+HLOOKUP(AL$4,$D$7:$P$336,$R110,FALSE)-HLOOKUP(AL$3,$D$7:$P$336,$R110,FALSE)</f>
        <v>#N/A</v>
      </c>
      <c r="AM110" s="60" t="e">
        <f>100+HLOOKUP(AM$4,$D$7:$P$336,$R110,FALSE)-HLOOKUP(AM$3,$D$7:$P$336,$R110,FALSE)</f>
        <v>#N/A</v>
      </c>
      <c r="AN110" s="60" t="e">
        <f>100+HLOOKUP(AN$4,$D$7:$P$336,$R110,FALSE)-HLOOKUP(AN$3,$D$7:$P$336,$R110,FALSE)</f>
        <v>#N/A</v>
      </c>
      <c r="AO110" s="60" t="e">
        <f>100+HLOOKUP(AO$4,$D$7:$P$336,$R110,FALSE)-HLOOKUP(AO$3,$D$7:$P$336,$R110,FALSE)</f>
        <v>#N/A</v>
      </c>
      <c r="AP110" s="60" t="e">
        <f>100+HLOOKUP(AP$4,$D$7:$P$336,$R110,FALSE)-HLOOKUP(AP$3,$D$7:$P$336,$R110,FALSE)</f>
        <v>#N/A</v>
      </c>
      <c r="AQ110" s="60" t="e">
        <f>100+HLOOKUP(AQ$4,$D$7:$P$336,$R110,FALSE)-HLOOKUP(AQ$3,$D$7:$P$336,$R110,FALSE)</f>
        <v>#N/A</v>
      </c>
      <c r="AV110" s="60">
        <f ca="1">AV$5-S110</f>
        <v>7.1903994267964322</v>
      </c>
      <c r="AW110" s="60">
        <f ca="1">AW$5-T110</f>
        <v>-7.7793494702422521</v>
      </c>
      <c r="AX110" s="60">
        <f ca="1">AX$5-U110</f>
        <v>-0.22408459633194866</v>
      </c>
      <c r="AY110" s="60">
        <f ca="1">AY$5-V110</f>
        <v>-8.3969855984721988</v>
      </c>
      <c r="AZ110" s="60">
        <f ca="1">AZ$5-W110</f>
        <v>1.4544821725960304</v>
      </c>
      <c r="BA110" s="60">
        <f ca="1">BA$5-X110</f>
        <v>2.4650590589827033</v>
      </c>
      <c r="BB110" s="60">
        <f ca="1">BB$5-Y110</f>
        <v>-8.6494072726188733</v>
      </c>
      <c r="BC110" s="60">
        <f ca="1">BC$5-Z110</f>
        <v>5.4374659098821638</v>
      </c>
      <c r="BD110" s="60">
        <f ca="1">BD$5-AA110</f>
        <v>-4.063481335617638</v>
      </c>
      <c r="BE110" s="60">
        <f ca="1">BE$5-AB110</f>
        <v>-4.170609408007806</v>
      </c>
      <c r="BF110" s="60">
        <f ca="1">BF$5-AC110</f>
        <v>-0.98269568352291969</v>
      </c>
      <c r="BG110" s="60">
        <f ca="1">BG$5-AD110</f>
        <v>1.9852587050185093</v>
      </c>
      <c r="BH110" s="60">
        <f ca="1">BH$5-AE110</f>
        <v>2.9545922303675667</v>
      </c>
      <c r="BI110" s="60">
        <f ca="1">BI$5-AF110</f>
        <v>-11.391494488745195</v>
      </c>
      <c r="BJ110" s="60">
        <f ca="1">BJ$5-AG110</f>
        <v>-10.56044894232123</v>
      </c>
      <c r="BK110" s="60" t="e">
        <f>BK$5-AH110</f>
        <v>#N/A</v>
      </c>
      <c r="BL110" s="60" t="e">
        <f>BL$5-AI110</f>
        <v>#N/A</v>
      </c>
      <c r="BM110" s="60" t="e">
        <f>BM$5-AJ110</f>
        <v>#N/A</v>
      </c>
      <c r="BN110" s="60" t="e">
        <f>BN$5-AK110</f>
        <v>#N/A</v>
      </c>
      <c r="BO110" s="60" t="e">
        <f>BO$5-AL110</f>
        <v>#N/A</v>
      </c>
      <c r="BP110" s="60" t="e">
        <f>BP$5-AM110</f>
        <v>#N/A</v>
      </c>
      <c r="BQ110" s="60" t="e">
        <f>BQ$5-AN110</f>
        <v>#N/A</v>
      </c>
      <c r="BR110" s="60" t="e">
        <f>BR$5-AO110</f>
        <v>#N/A</v>
      </c>
      <c r="BS110" s="60" t="e">
        <f>BS$5-AP110</f>
        <v>#N/A</v>
      </c>
      <c r="BT110" s="60" t="e">
        <f>BT$5-AQ110</f>
        <v>#N/A</v>
      </c>
      <c r="BV110" s="60" cm="1">
        <f t="array" aca="1" ref="BV110" ca="1">SQRT(SUMSQ(_xlfn._xlws.FILTER(AV110:BT110,ISNUMBER(AV110:BT110)))/COUNT(_xlfn._xlws.FILTER(AV110:BT110,ISNUMBER(AV110:BT110))))</f>
        <v>6.2406285448252063</v>
      </c>
    </row>
    <row r="111" spans="3:74" x14ac:dyDescent="0.2">
      <c r="C111" s="60" t="s">
        <v>299</v>
      </c>
      <c r="D111" s="60">
        <v>0</v>
      </c>
      <c r="E111" s="60">
        <v>-4</v>
      </c>
      <c r="F111" s="60">
        <v>-2</v>
      </c>
      <c r="G111" s="60">
        <v>0</v>
      </c>
      <c r="H111" s="60">
        <v>-4</v>
      </c>
      <c r="I111" s="60">
        <v>-2</v>
      </c>
      <c r="J111" s="60">
        <v>0</v>
      </c>
      <c r="K111" s="60">
        <v>-4</v>
      </c>
      <c r="L111" s="60">
        <v>-2</v>
      </c>
      <c r="M111" s="60">
        <v>0</v>
      </c>
      <c r="N111" s="60">
        <v>-4</v>
      </c>
      <c r="O111" s="60">
        <v>-2</v>
      </c>
      <c r="P111" s="60">
        <v>0</v>
      </c>
      <c r="R111" s="61">
        <f>(ROW(R111)-ROW($C$6))</f>
        <v>105</v>
      </c>
      <c r="S111" s="60">
        <f ca="1">100+HLOOKUP(S$4,$D$7:$P$336,$R111,FALSE)-HLOOKUP(S$3,$D$7:$P$336,$R111,FALSE)</f>
        <v>96</v>
      </c>
      <c r="T111" s="60">
        <f ca="1">100+HLOOKUP(T$4,$D$7:$P$336,$R111,FALSE)-HLOOKUP(T$3,$D$7:$P$336,$R111,FALSE)</f>
        <v>102</v>
      </c>
      <c r="U111" s="60">
        <f ca="1">100+HLOOKUP(U$4,$D$7:$P$336,$R111,FALSE)-HLOOKUP(U$3,$D$7:$P$336,$R111,FALSE)</f>
        <v>102</v>
      </c>
      <c r="V111" s="60">
        <f ca="1">100+HLOOKUP(V$4,$D$7:$P$336,$R111,FALSE)-HLOOKUP(V$3,$D$7:$P$336,$R111,FALSE)</f>
        <v>102</v>
      </c>
      <c r="W111" s="60">
        <f ca="1">100+HLOOKUP(W$4,$D$7:$P$336,$R111,FALSE)-HLOOKUP(W$3,$D$7:$P$336,$R111,FALSE)</f>
        <v>96</v>
      </c>
      <c r="X111" s="60">
        <f ca="1">100+HLOOKUP(X$4,$D$7:$P$336,$R111,FALSE)-HLOOKUP(X$3,$D$7:$P$336,$R111,FALSE)</f>
        <v>96</v>
      </c>
      <c r="Y111" s="60">
        <f ca="1">100+HLOOKUP(Y$4,$D$7:$P$336,$R111,FALSE)-HLOOKUP(Y$3,$D$7:$P$336,$R111,FALSE)</f>
        <v>102</v>
      </c>
      <c r="Z111" s="60">
        <f ca="1">100+HLOOKUP(Z$4,$D$7:$P$336,$R111,FALSE)-HLOOKUP(Z$3,$D$7:$P$336,$R111,FALSE)</f>
        <v>102</v>
      </c>
      <c r="AA111" s="60">
        <f ca="1">100+HLOOKUP(AA$4,$D$7:$P$336,$R111,FALSE)-HLOOKUP(AA$3,$D$7:$P$336,$R111,FALSE)</f>
        <v>102</v>
      </c>
      <c r="AB111" s="60">
        <f ca="1">100+HLOOKUP(AB$4,$D$7:$P$336,$R111,FALSE)-HLOOKUP(AB$3,$D$7:$P$336,$R111,FALSE)</f>
        <v>96</v>
      </c>
      <c r="AC111" s="60">
        <f ca="1">100+HLOOKUP(AC$4,$D$7:$P$336,$R111,FALSE)-HLOOKUP(AC$3,$D$7:$P$336,$R111,FALSE)</f>
        <v>102</v>
      </c>
      <c r="AD111" s="60">
        <f ca="1">100+HLOOKUP(AD$4,$D$7:$P$336,$R111,FALSE)-HLOOKUP(AD$3,$D$7:$P$336,$R111,FALSE)</f>
        <v>102</v>
      </c>
      <c r="AE111" s="60">
        <f ca="1">100+HLOOKUP(AE$4,$D$7:$P$336,$R111,FALSE)-HLOOKUP(AE$3,$D$7:$P$336,$R111,FALSE)</f>
        <v>96</v>
      </c>
      <c r="AF111" s="60">
        <f ca="1">100+HLOOKUP(AF$4,$D$7:$P$336,$R111,FALSE)-HLOOKUP(AF$3,$D$7:$P$336,$R111,FALSE)</f>
        <v>102</v>
      </c>
      <c r="AG111" s="60">
        <f ca="1">100+HLOOKUP(AG$4,$D$7:$P$336,$R111,FALSE)-HLOOKUP(AG$3,$D$7:$P$336,$R111,FALSE)</f>
        <v>102</v>
      </c>
      <c r="AH111" s="60" t="e">
        <f>100+HLOOKUP(AH$4,$D$7:$P$336,$R111,FALSE)-HLOOKUP(AH$3,$D$7:$P$336,$R111,FALSE)</f>
        <v>#N/A</v>
      </c>
      <c r="AI111" s="60" t="e">
        <f>100+HLOOKUP(AI$4,$D$7:$P$336,$R111,FALSE)-HLOOKUP(AI$3,$D$7:$P$336,$R111,FALSE)</f>
        <v>#N/A</v>
      </c>
      <c r="AJ111" s="60" t="e">
        <f>100+HLOOKUP(AJ$4,$D$7:$P$336,$R111,FALSE)-HLOOKUP(AJ$3,$D$7:$P$336,$R111,FALSE)</f>
        <v>#N/A</v>
      </c>
      <c r="AK111" s="60" t="e">
        <f>100+HLOOKUP(AK$4,$D$7:$P$336,$R111,FALSE)-HLOOKUP(AK$3,$D$7:$P$336,$R111,FALSE)</f>
        <v>#N/A</v>
      </c>
      <c r="AL111" s="60" t="e">
        <f>100+HLOOKUP(AL$4,$D$7:$P$336,$R111,FALSE)-HLOOKUP(AL$3,$D$7:$P$336,$R111,FALSE)</f>
        <v>#N/A</v>
      </c>
      <c r="AM111" s="60" t="e">
        <f>100+HLOOKUP(AM$4,$D$7:$P$336,$R111,FALSE)-HLOOKUP(AM$3,$D$7:$P$336,$R111,FALSE)</f>
        <v>#N/A</v>
      </c>
      <c r="AN111" s="60" t="e">
        <f>100+HLOOKUP(AN$4,$D$7:$P$336,$R111,FALSE)-HLOOKUP(AN$3,$D$7:$P$336,$R111,FALSE)</f>
        <v>#N/A</v>
      </c>
      <c r="AO111" s="60" t="e">
        <f>100+HLOOKUP(AO$4,$D$7:$P$336,$R111,FALSE)-HLOOKUP(AO$3,$D$7:$P$336,$R111,FALSE)</f>
        <v>#N/A</v>
      </c>
      <c r="AP111" s="60" t="e">
        <f>100+HLOOKUP(AP$4,$D$7:$P$336,$R111,FALSE)-HLOOKUP(AP$3,$D$7:$P$336,$R111,FALSE)</f>
        <v>#N/A</v>
      </c>
      <c r="AQ111" s="60" t="e">
        <f>100+HLOOKUP(AQ$4,$D$7:$P$336,$R111,FALSE)-HLOOKUP(AQ$3,$D$7:$P$336,$R111,FALSE)</f>
        <v>#N/A</v>
      </c>
      <c r="AV111" s="60">
        <f ca="1">AV$5-S111</f>
        <v>7.1903994267964322</v>
      </c>
      <c r="AW111" s="60">
        <f ca="1">AW$5-T111</f>
        <v>-7.7793494702422521</v>
      </c>
      <c r="AX111" s="60">
        <f ca="1">AX$5-U111</f>
        <v>-0.22408459633194866</v>
      </c>
      <c r="AY111" s="60">
        <f ca="1">AY$5-V111</f>
        <v>-8.3969855984721988</v>
      </c>
      <c r="AZ111" s="60">
        <f ca="1">AZ$5-W111</f>
        <v>1.4544821725960304</v>
      </c>
      <c r="BA111" s="60">
        <f ca="1">BA$5-X111</f>
        <v>2.4650590589827033</v>
      </c>
      <c r="BB111" s="60">
        <f ca="1">BB$5-Y111</f>
        <v>-8.6494072726188733</v>
      </c>
      <c r="BC111" s="60">
        <f ca="1">BC$5-Z111</f>
        <v>5.4374659098821638</v>
      </c>
      <c r="BD111" s="60">
        <f ca="1">BD$5-AA111</f>
        <v>-4.063481335617638</v>
      </c>
      <c r="BE111" s="60">
        <f ca="1">BE$5-AB111</f>
        <v>-4.170609408007806</v>
      </c>
      <c r="BF111" s="60">
        <f ca="1">BF$5-AC111</f>
        <v>-0.98269568352291969</v>
      </c>
      <c r="BG111" s="60">
        <f ca="1">BG$5-AD111</f>
        <v>1.9852587050185093</v>
      </c>
      <c r="BH111" s="60">
        <f ca="1">BH$5-AE111</f>
        <v>2.9545922303675667</v>
      </c>
      <c r="BI111" s="60">
        <f ca="1">BI$5-AF111</f>
        <v>-11.391494488745195</v>
      </c>
      <c r="BJ111" s="60">
        <f ca="1">BJ$5-AG111</f>
        <v>-10.56044894232123</v>
      </c>
      <c r="BK111" s="60" t="e">
        <f>BK$5-AH111</f>
        <v>#N/A</v>
      </c>
      <c r="BL111" s="60" t="e">
        <f>BL$5-AI111</f>
        <v>#N/A</v>
      </c>
      <c r="BM111" s="60" t="e">
        <f>BM$5-AJ111</f>
        <v>#N/A</v>
      </c>
      <c r="BN111" s="60" t="e">
        <f>BN$5-AK111</f>
        <v>#N/A</v>
      </c>
      <c r="BO111" s="60" t="e">
        <f>BO$5-AL111</f>
        <v>#N/A</v>
      </c>
      <c r="BP111" s="60" t="e">
        <f>BP$5-AM111</f>
        <v>#N/A</v>
      </c>
      <c r="BQ111" s="60" t="e">
        <f>BQ$5-AN111</f>
        <v>#N/A</v>
      </c>
      <c r="BR111" s="60" t="e">
        <f>BR$5-AO111</f>
        <v>#N/A</v>
      </c>
      <c r="BS111" s="60" t="e">
        <f>BS$5-AP111</f>
        <v>#N/A</v>
      </c>
      <c r="BT111" s="60" t="e">
        <f>BT$5-AQ111</f>
        <v>#N/A</v>
      </c>
      <c r="BV111" s="60" cm="1">
        <f t="array" aca="1" ref="BV111" ca="1">SQRT(SUMSQ(_xlfn._xlws.FILTER(AV111:BT111,ISNUMBER(AV111:BT111)))/COUNT(_xlfn._xlws.FILTER(AV111:BT111,ISNUMBER(AV111:BT111))))</f>
        <v>6.2406285448252063</v>
      </c>
    </row>
    <row r="112" spans="3:74" x14ac:dyDescent="0.2">
      <c r="C112" s="60" t="s">
        <v>202</v>
      </c>
      <c r="D112" s="60">
        <v>0</v>
      </c>
      <c r="E112" s="60">
        <v>1</v>
      </c>
      <c r="F112" s="60">
        <v>3</v>
      </c>
      <c r="G112" s="60">
        <v>-3</v>
      </c>
      <c r="H112" s="60">
        <v>-9</v>
      </c>
      <c r="I112" s="60">
        <v>-8</v>
      </c>
      <c r="J112" s="60">
        <v>-6</v>
      </c>
      <c r="K112" s="60">
        <v>-5</v>
      </c>
      <c r="L112" s="60">
        <v>-4</v>
      </c>
      <c r="M112" s="60">
        <v>-3</v>
      </c>
      <c r="N112" s="60">
        <v>-2</v>
      </c>
      <c r="O112" s="60">
        <v>-1</v>
      </c>
      <c r="P112" s="60">
        <v>0</v>
      </c>
      <c r="R112" s="61">
        <f>(ROW(R112)-ROW($C$6))</f>
        <v>106</v>
      </c>
      <c r="S112" s="60">
        <f ca="1">100+HLOOKUP(S$4,$D$7:$P$336,$R112,FALSE)-HLOOKUP(S$3,$D$7:$P$336,$R112,FALSE)</f>
        <v>94</v>
      </c>
      <c r="T112" s="60">
        <f ca="1">100+HLOOKUP(T$4,$D$7:$P$336,$R112,FALSE)-HLOOKUP(T$3,$D$7:$P$336,$R112,FALSE)</f>
        <v>95</v>
      </c>
      <c r="U112" s="60">
        <f ca="1">100+HLOOKUP(U$4,$D$7:$P$336,$R112,FALSE)-HLOOKUP(U$3,$D$7:$P$336,$R112,FALSE)</f>
        <v>95</v>
      </c>
      <c r="V112" s="60">
        <f ca="1">100+HLOOKUP(V$4,$D$7:$P$336,$R112,FALSE)-HLOOKUP(V$3,$D$7:$P$336,$R112,FALSE)</f>
        <v>94</v>
      </c>
      <c r="W112" s="60">
        <f ca="1">100+HLOOKUP(W$4,$D$7:$P$336,$R112,FALSE)-HLOOKUP(W$3,$D$7:$P$336,$R112,FALSE)</f>
        <v>95</v>
      </c>
      <c r="X112" s="60">
        <f ca="1">100+HLOOKUP(X$4,$D$7:$P$336,$R112,FALSE)-HLOOKUP(X$3,$D$7:$P$336,$R112,FALSE)</f>
        <v>94</v>
      </c>
      <c r="Y112" s="60">
        <f ca="1">100+HLOOKUP(Y$4,$D$7:$P$336,$R112,FALSE)-HLOOKUP(Y$3,$D$7:$P$336,$R112,FALSE)</f>
        <v>95</v>
      </c>
      <c r="Z112" s="60">
        <f ca="1">100+HLOOKUP(Z$4,$D$7:$P$336,$R112,FALSE)-HLOOKUP(Z$3,$D$7:$P$336,$R112,FALSE)</f>
        <v>95</v>
      </c>
      <c r="AA112" s="60">
        <f ca="1">100+HLOOKUP(AA$4,$D$7:$P$336,$R112,FALSE)-HLOOKUP(AA$3,$D$7:$P$336,$R112,FALSE)</f>
        <v>94</v>
      </c>
      <c r="AB112" s="60">
        <f ca="1">100+HLOOKUP(AB$4,$D$7:$P$336,$R112,FALSE)-HLOOKUP(AB$3,$D$7:$P$336,$R112,FALSE)</f>
        <v>95</v>
      </c>
      <c r="AC112" s="60">
        <f ca="1">100+HLOOKUP(AC$4,$D$7:$P$336,$R112,FALSE)-HLOOKUP(AC$3,$D$7:$P$336,$R112,FALSE)</f>
        <v>94</v>
      </c>
      <c r="AD112" s="60">
        <f ca="1">100+HLOOKUP(AD$4,$D$7:$P$336,$R112,FALSE)-HLOOKUP(AD$3,$D$7:$P$336,$R112,FALSE)</f>
        <v>108</v>
      </c>
      <c r="AE112" s="60">
        <f ca="1">100+HLOOKUP(AE$4,$D$7:$P$336,$R112,FALSE)-HLOOKUP(AE$3,$D$7:$P$336,$R112,FALSE)</f>
        <v>107</v>
      </c>
      <c r="AF112" s="60">
        <f ca="1">100+HLOOKUP(AF$4,$D$7:$P$336,$R112,FALSE)-HLOOKUP(AF$3,$D$7:$P$336,$R112,FALSE)</f>
        <v>101</v>
      </c>
      <c r="AG112" s="60">
        <f ca="1">100+HLOOKUP(AG$4,$D$7:$P$336,$R112,FALSE)-HLOOKUP(AG$3,$D$7:$P$336,$R112,FALSE)</f>
        <v>94</v>
      </c>
      <c r="AH112" s="60" t="e">
        <f>100+HLOOKUP(AH$4,$D$7:$P$336,$R112,FALSE)-HLOOKUP(AH$3,$D$7:$P$336,$R112,FALSE)</f>
        <v>#N/A</v>
      </c>
      <c r="AI112" s="60" t="e">
        <f>100+HLOOKUP(AI$4,$D$7:$P$336,$R112,FALSE)-HLOOKUP(AI$3,$D$7:$P$336,$R112,FALSE)</f>
        <v>#N/A</v>
      </c>
      <c r="AJ112" s="60" t="e">
        <f>100+HLOOKUP(AJ$4,$D$7:$P$336,$R112,FALSE)-HLOOKUP(AJ$3,$D$7:$P$336,$R112,FALSE)</f>
        <v>#N/A</v>
      </c>
      <c r="AK112" s="60" t="e">
        <f>100+HLOOKUP(AK$4,$D$7:$P$336,$R112,FALSE)-HLOOKUP(AK$3,$D$7:$P$336,$R112,FALSE)</f>
        <v>#N/A</v>
      </c>
      <c r="AL112" s="60" t="e">
        <f>100+HLOOKUP(AL$4,$D$7:$P$336,$R112,FALSE)-HLOOKUP(AL$3,$D$7:$P$336,$R112,FALSE)</f>
        <v>#N/A</v>
      </c>
      <c r="AM112" s="60" t="e">
        <f>100+HLOOKUP(AM$4,$D$7:$P$336,$R112,FALSE)-HLOOKUP(AM$3,$D$7:$P$336,$R112,FALSE)</f>
        <v>#N/A</v>
      </c>
      <c r="AN112" s="60" t="e">
        <f>100+HLOOKUP(AN$4,$D$7:$P$336,$R112,FALSE)-HLOOKUP(AN$3,$D$7:$P$336,$R112,FALSE)</f>
        <v>#N/A</v>
      </c>
      <c r="AO112" s="60" t="e">
        <f>100+HLOOKUP(AO$4,$D$7:$P$336,$R112,FALSE)-HLOOKUP(AO$3,$D$7:$P$336,$R112,FALSE)</f>
        <v>#N/A</v>
      </c>
      <c r="AP112" s="60" t="e">
        <f>100+HLOOKUP(AP$4,$D$7:$P$336,$R112,FALSE)-HLOOKUP(AP$3,$D$7:$P$336,$R112,FALSE)</f>
        <v>#N/A</v>
      </c>
      <c r="AQ112" s="60" t="e">
        <f>100+HLOOKUP(AQ$4,$D$7:$P$336,$R112,FALSE)-HLOOKUP(AQ$3,$D$7:$P$336,$R112,FALSE)</f>
        <v>#N/A</v>
      </c>
      <c r="AV112" s="60">
        <f ca="1">AV$5-S112</f>
        <v>9.1903994267964322</v>
      </c>
      <c r="AW112" s="60">
        <f ca="1">AW$5-T112</f>
        <v>-0.7793494702422521</v>
      </c>
      <c r="AX112" s="60">
        <f ca="1">AX$5-U112</f>
        <v>6.7759154036680513</v>
      </c>
      <c r="AY112" s="60">
        <f ca="1">AY$5-V112</f>
        <v>-0.39698559847219883</v>
      </c>
      <c r="AZ112" s="60">
        <f ca="1">AZ$5-W112</f>
        <v>2.4544821725960304</v>
      </c>
      <c r="BA112" s="60">
        <f ca="1">BA$5-X112</f>
        <v>4.4650590589827033</v>
      </c>
      <c r="BB112" s="60">
        <f ca="1">BB$5-Y112</f>
        <v>-1.6494072726188733</v>
      </c>
      <c r="BC112" s="60">
        <f ca="1">BC$5-Z112</f>
        <v>12.437465909882164</v>
      </c>
      <c r="BD112" s="60">
        <f ca="1">BD$5-AA112</f>
        <v>3.936518664382362</v>
      </c>
      <c r="BE112" s="60">
        <f ca="1">BE$5-AB112</f>
        <v>-3.170609408007806</v>
      </c>
      <c r="BF112" s="60">
        <f ca="1">BF$5-AC112</f>
        <v>7.0173043164770803</v>
      </c>
      <c r="BG112" s="60">
        <f ca="1">BG$5-AD112</f>
        <v>-4.0147412949814907</v>
      </c>
      <c r="BH112" s="60">
        <f ca="1">BH$5-AE112</f>
        <v>-8.0454077696324333</v>
      </c>
      <c r="BI112" s="60">
        <f ca="1">BI$5-AF112</f>
        <v>-10.391494488745195</v>
      </c>
      <c r="BJ112" s="60">
        <f ca="1">BJ$5-AG112</f>
        <v>-2.56044894232123</v>
      </c>
      <c r="BK112" s="60" t="e">
        <f>BK$5-AH112</f>
        <v>#N/A</v>
      </c>
      <c r="BL112" s="60" t="e">
        <f>BL$5-AI112</f>
        <v>#N/A</v>
      </c>
      <c r="BM112" s="60" t="e">
        <f>BM$5-AJ112</f>
        <v>#N/A</v>
      </c>
      <c r="BN112" s="60" t="e">
        <f>BN$5-AK112</f>
        <v>#N/A</v>
      </c>
      <c r="BO112" s="60" t="e">
        <f>BO$5-AL112</f>
        <v>#N/A</v>
      </c>
      <c r="BP112" s="60" t="e">
        <f>BP$5-AM112</f>
        <v>#N/A</v>
      </c>
      <c r="BQ112" s="60" t="e">
        <f>BQ$5-AN112</f>
        <v>#N/A</v>
      </c>
      <c r="BR112" s="60" t="e">
        <f>BR$5-AO112</f>
        <v>#N/A</v>
      </c>
      <c r="BS112" s="60" t="e">
        <f>BS$5-AP112</f>
        <v>#N/A</v>
      </c>
      <c r="BT112" s="60" t="e">
        <f>BT$5-AQ112</f>
        <v>#N/A</v>
      </c>
      <c r="BV112" s="60" cm="1">
        <f t="array" aca="1" ref="BV112" ca="1">SQRT(SUMSQ(_xlfn._xlws.FILTER(AV112:BT112,ISNUMBER(AV112:BT112)))/COUNT(_xlfn._xlws.FILTER(AV112:BT112,ISNUMBER(AV112:BT112))))</f>
        <v>6.2433489171250871</v>
      </c>
    </row>
    <row r="113" spans="3:74" x14ac:dyDescent="0.2">
      <c r="C113" s="60" t="s">
        <v>281</v>
      </c>
      <c r="D113" s="60">
        <v>0</v>
      </c>
      <c r="E113" s="60">
        <v>0</v>
      </c>
      <c r="F113" s="60">
        <v>-2</v>
      </c>
      <c r="G113" s="60">
        <v>-6</v>
      </c>
      <c r="H113" s="60">
        <v>-10</v>
      </c>
      <c r="I113" s="60">
        <v>-8</v>
      </c>
      <c r="J113" s="60">
        <v>-8</v>
      </c>
      <c r="K113" s="60">
        <v>-6</v>
      </c>
      <c r="L113" s="60">
        <v>-6</v>
      </c>
      <c r="M113" s="60">
        <v>-4</v>
      </c>
      <c r="N113" s="60">
        <v>-4</v>
      </c>
      <c r="O113" s="60">
        <v>-2</v>
      </c>
      <c r="P113" s="60">
        <v>0</v>
      </c>
      <c r="R113" s="61">
        <f>(ROW(R113)-ROW($C$6))</f>
        <v>107</v>
      </c>
      <c r="S113" s="60">
        <f ca="1">100+HLOOKUP(S$4,$D$7:$P$336,$R113,FALSE)-HLOOKUP(S$3,$D$7:$P$336,$R113,FALSE)</f>
        <v>94</v>
      </c>
      <c r="T113" s="60">
        <f ca="1">100+HLOOKUP(T$4,$D$7:$P$336,$R113,FALSE)-HLOOKUP(T$3,$D$7:$P$336,$R113,FALSE)</f>
        <v>94</v>
      </c>
      <c r="U113" s="60">
        <f ca="1">100+HLOOKUP(U$4,$D$7:$P$336,$R113,FALSE)-HLOOKUP(U$3,$D$7:$P$336,$R113,FALSE)</f>
        <v>94</v>
      </c>
      <c r="V113" s="60">
        <f ca="1">100+HLOOKUP(V$4,$D$7:$P$336,$R113,FALSE)-HLOOKUP(V$3,$D$7:$P$336,$R113,FALSE)</f>
        <v>96</v>
      </c>
      <c r="W113" s="60">
        <f ca="1">100+HLOOKUP(W$4,$D$7:$P$336,$R113,FALSE)-HLOOKUP(W$3,$D$7:$P$336,$R113,FALSE)</f>
        <v>94</v>
      </c>
      <c r="X113" s="60">
        <f ca="1">100+HLOOKUP(X$4,$D$7:$P$336,$R113,FALSE)-HLOOKUP(X$3,$D$7:$P$336,$R113,FALSE)</f>
        <v>94</v>
      </c>
      <c r="Y113" s="60">
        <f ca="1">100+HLOOKUP(Y$4,$D$7:$P$336,$R113,FALSE)-HLOOKUP(Y$3,$D$7:$P$336,$R113,FALSE)</f>
        <v>94</v>
      </c>
      <c r="Z113" s="60">
        <f ca="1">100+HLOOKUP(Z$4,$D$7:$P$336,$R113,FALSE)-HLOOKUP(Z$3,$D$7:$P$336,$R113,FALSE)</f>
        <v>94</v>
      </c>
      <c r="AA113" s="60">
        <f ca="1">100+HLOOKUP(AA$4,$D$7:$P$336,$R113,FALSE)-HLOOKUP(AA$3,$D$7:$P$336,$R113,FALSE)</f>
        <v>96</v>
      </c>
      <c r="AB113" s="60">
        <f ca="1">100+HLOOKUP(AB$4,$D$7:$P$336,$R113,FALSE)-HLOOKUP(AB$3,$D$7:$P$336,$R113,FALSE)</f>
        <v>94</v>
      </c>
      <c r="AC113" s="60">
        <f ca="1">100+HLOOKUP(AC$4,$D$7:$P$336,$R113,FALSE)-HLOOKUP(AC$3,$D$7:$P$336,$R113,FALSE)</f>
        <v>98</v>
      </c>
      <c r="AD113" s="60">
        <f ca="1">100+HLOOKUP(AD$4,$D$7:$P$336,$R113,FALSE)-HLOOKUP(AD$3,$D$7:$P$336,$R113,FALSE)</f>
        <v>108</v>
      </c>
      <c r="AE113" s="60">
        <f ca="1">100+HLOOKUP(AE$4,$D$7:$P$336,$R113,FALSE)-HLOOKUP(AE$3,$D$7:$P$336,$R113,FALSE)</f>
        <v>108</v>
      </c>
      <c r="AF113" s="60">
        <f ca="1">100+HLOOKUP(AF$4,$D$7:$P$336,$R113,FALSE)-HLOOKUP(AF$3,$D$7:$P$336,$R113,FALSE)</f>
        <v>100</v>
      </c>
      <c r="AG113" s="60">
        <f ca="1">100+HLOOKUP(AG$4,$D$7:$P$336,$R113,FALSE)-HLOOKUP(AG$3,$D$7:$P$336,$R113,FALSE)</f>
        <v>96</v>
      </c>
      <c r="AH113" s="60" t="e">
        <f>100+HLOOKUP(AH$4,$D$7:$P$336,$R113,FALSE)-HLOOKUP(AH$3,$D$7:$P$336,$R113,FALSE)</f>
        <v>#N/A</v>
      </c>
      <c r="AI113" s="60" t="e">
        <f>100+HLOOKUP(AI$4,$D$7:$P$336,$R113,FALSE)-HLOOKUP(AI$3,$D$7:$P$336,$R113,FALSE)</f>
        <v>#N/A</v>
      </c>
      <c r="AJ113" s="60" t="e">
        <f>100+HLOOKUP(AJ$4,$D$7:$P$336,$R113,FALSE)-HLOOKUP(AJ$3,$D$7:$P$336,$R113,FALSE)</f>
        <v>#N/A</v>
      </c>
      <c r="AK113" s="60" t="e">
        <f>100+HLOOKUP(AK$4,$D$7:$P$336,$R113,FALSE)-HLOOKUP(AK$3,$D$7:$P$336,$R113,FALSE)</f>
        <v>#N/A</v>
      </c>
      <c r="AL113" s="60" t="e">
        <f>100+HLOOKUP(AL$4,$D$7:$P$336,$R113,FALSE)-HLOOKUP(AL$3,$D$7:$P$336,$R113,FALSE)</f>
        <v>#N/A</v>
      </c>
      <c r="AM113" s="60" t="e">
        <f>100+HLOOKUP(AM$4,$D$7:$P$336,$R113,FALSE)-HLOOKUP(AM$3,$D$7:$P$336,$R113,FALSE)</f>
        <v>#N/A</v>
      </c>
      <c r="AN113" s="60" t="e">
        <f>100+HLOOKUP(AN$4,$D$7:$P$336,$R113,FALSE)-HLOOKUP(AN$3,$D$7:$P$336,$R113,FALSE)</f>
        <v>#N/A</v>
      </c>
      <c r="AO113" s="60" t="e">
        <f>100+HLOOKUP(AO$4,$D$7:$P$336,$R113,FALSE)-HLOOKUP(AO$3,$D$7:$P$336,$R113,FALSE)</f>
        <v>#N/A</v>
      </c>
      <c r="AP113" s="60" t="e">
        <f>100+HLOOKUP(AP$4,$D$7:$P$336,$R113,FALSE)-HLOOKUP(AP$3,$D$7:$P$336,$R113,FALSE)</f>
        <v>#N/A</v>
      </c>
      <c r="AQ113" s="60" t="e">
        <f>100+HLOOKUP(AQ$4,$D$7:$P$336,$R113,FALSE)-HLOOKUP(AQ$3,$D$7:$P$336,$R113,FALSE)</f>
        <v>#N/A</v>
      </c>
      <c r="AV113" s="60">
        <f ca="1">AV$5-S113</f>
        <v>9.1903994267964322</v>
      </c>
      <c r="AW113" s="60">
        <f ca="1">AW$5-T113</f>
        <v>0.2206505297577479</v>
      </c>
      <c r="AX113" s="60">
        <f ca="1">AX$5-U113</f>
        <v>7.7759154036680513</v>
      </c>
      <c r="AY113" s="60">
        <f ca="1">AY$5-V113</f>
        <v>-2.3969855984721988</v>
      </c>
      <c r="AZ113" s="60">
        <f ca="1">AZ$5-W113</f>
        <v>3.4544821725960304</v>
      </c>
      <c r="BA113" s="60">
        <f ca="1">BA$5-X113</f>
        <v>4.4650590589827033</v>
      </c>
      <c r="BB113" s="60">
        <f ca="1">BB$5-Y113</f>
        <v>-0.64940727261887332</v>
      </c>
      <c r="BC113" s="60">
        <f ca="1">BC$5-Z113</f>
        <v>13.437465909882164</v>
      </c>
      <c r="BD113" s="60">
        <f ca="1">BD$5-AA113</f>
        <v>1.936518664382362</v>
      </c>
      <c r="BE113" s="60">
        <f ca="1">BE$5-AB113</f>
        <v>-2.170609408007806</v>
      </c>
      <c r="BF113" s="60">
        <f ca="1">BF$5-AC113</f>
        <v>3.0173043164770803</v>
      </c>
      <c r="BG113" s="60">
        <f ca="1">BG$5-AD113</f>
        <v>-4.0147412949814907</v>
      </c>
      <c r="BH113" s="60">
        <f ca="1">BH$5-AE113</f>
        <v>-9.0454077696324333</v>
      </c>
      <c r="BI113" s="60">
        <f ca="1">BI$5-AF113</f>
        <v>-9.3914944887451952</v>
      </c>
      <c r="BJ113" s="60">
        <f ca="1">BJ$5-AG113</f>
        <v>-4.56044894232123</v>
      </c>
      <c r="BK113" s="60" t="e">
        <f>BK$5-AH113</f>
        <v>#N/A</v>
      </c>
      <c r="BL113" s="60" t="e">
        <f>BL$5-AI113</f>
        <v>#N/A</v>
      </c>
      <c r="BM113" s="60" t="e">
        <f>BM$5-AJ113</f>
        <v>#N/A</v>
      </c>
      <c r="BN113" s="60" t="e">
        <f>BN$5-AK113</f>
        <v>#N/A</v>
      </c>
      <c r="BO113" s="60" t="e">
        <f>BO$5-AL113</f>
        <v>#N/A</v>
      </c>
      <c r="BP113" s="60" t="e">
        <f>BP$5-AM113</f>
        <v>#N/A</v>
      </c>
      <c r="BQ113" s="60" t="e">
        <f>BQ$5-AN113</f>
        <v>#N/A</v>
      </c>
      <c r="BR113" s="60" t="e">
        <f>BR$5-AO113</f>
        <v>#N/A</v>
      </c>
      <c r="BS113" s="60" t="e">
        <f>BS$5-AP113</f>
        <v>#N/A</v>
      </c>
      <c r="BT113" s="60" t="e">
        <f>BT$5-AQ113</f>
        <v>#N/A</v>
      </c>
      <c r="BV113" s="60" cm="1">
        <f t="array" aca="1" ref="BV113" ca="1">SQRT(SUMSQ(_xlfn._xlws.FILTER(AV113:BT113,ISNUMBER(AV113:BT113)))/COUNT(_xlfn._xlws.FILTER(AV113:BT113,ISNUMBER(AV113:BT113))))</f>
        <v>6.2614222863534854</v>
      </c>
    </row>
    <row r="114" spans="3:74" x14ac:dyDescent="0.2">
      <c r="C114" s="60" t="s">
        <v>449</v>
      </c>
      <c r="D114" s="60">
        <v>0</v>
      </c>
      <c r="E114" s="60">
        <v>1.95</v>
      </c>
      <c r="F114" s="60">
        <v>-0.5</v>
      </c>
      <c r="G114" s="60">
        <v>-11.71</v>
      </c>
      <c r="H114" s="60">
        <v>-4.83</v>
      </c>
      <c r="I114" s="60">
        <v>-8.2100000000000009</v>
      </c>
      <c r="J114" s="60">
        <v>-0.97</v>
      </c>
      <c r="K114" s="60">
        <v>-3.12</v>
      </c>
      <c r="L114" s="60">
        <v>-7.38</v>
      </c>
      <c r="M114" s="60">
        <v>-5.43</v>
      </c>
      <c r="N114" s="60">
        <v>0.02</v>
      </c>
      <c r="O114" s="60">
        <v>1.98</v>
      </c>
      <c r="P114" s="60">
        <v>0</v>
      </c>
      <c r="R114" s="61">
        <f>(ROW(R114)-ROW($C$6))</f>
        <v>108</v>
      </c>
      <c r="S114" s="60">
        <f ca="1">100+HLOOKUP(S$4,$D$7:$P$336,$R114,FALSE)-HLOOKUP(S$3,$D$7:$P$336,$R114,FALSE)</f>
        <v>100.6</v>
      </c>
      <c r="T114" s="60">
        <f ca="1">100+HLOOKUP(T$4,$D$7:$P$336,$R114,FALSE)-HLOOKUP(T$3,$D$7:$P$336,$R114,FALSE)</f>
        <v>97.05</v>
      </c>
      <c r="U114" s="60">
        <f ca="1">100+HLOOKUP(U$4,$D$7:$P$336,$R114,FALSE)-HLOOKUP(U$3,$D$7:$P$336,$R114,FALSE)</f>
        <v>90.67</v>
      </c>
      <c r="V114" s="60">
        <f ca="1">100+HLOOKUP(V$4,$D$7:$P$336,$R114,FALSE)-HLOOKUP(V$3,$D$7:$P$336,$R114,FALSE)</f>
        <v>91.77</v>
      </c>
      <c r="W114" s="60">
        <f ca="1">100+HLOOKUP(W$4,$D$7:$P$336,$R114,FALSE)-HLOOKUP(W$3,$D$7:$P$336,$R114,FALSE)</f>
        <v>96.88</v>
      </c>
      <c r="X114" s="60">
        <f ca="1">100+HLOOKUP(X$4,$D$7:$P$336,$R114,FALSE)-HLOOKUP(X$3,$D$7:$P$336,$R114,FALSE)</f>
        <v>100.6</v>
      </c>
      <c r="Y114" s="60">
        <f ca="1">100+HLOOKUP(Y$4,$D$7:$P$336,$R114,FALSE)-HLOOKUP(Y$3,$D$7:$P$336,$R114,FALSE)</f>
        <v>97.05</v>
      </c>
      <c r="Z114" s="60">
        <f ca="1">100+HLOOKUP(Z$4,$D$7:$P$336,$R114,FALSE)-HLOOKUP(Z$3,$D$7:$P$336,$R114,FALSE)</f>
        <v>90.67</v>
      </c>
      <c r="AA114" s="60">
        <f ca="1">100+HLOOKUP(AA$4,$D$7:$P$336,$R114,FALSE)-HLOOKUP(AA$3,$D$7:$P$336,$R114,FALSE)</f>
        <v>91.77</v>
      </c>
      <c r="AB114" s="60">
        <f ca="1">100+HLOOKUP(AB$4,$D$7:$P$336,$R114,FALSE)-HLOOKUP(AB$3,$D$7:$P$336,$R114,FALSE)</f>
        <v>96.88</v>
      </c>
      <c r="AC114" s="60">
        <f ca="1">100+HLOOKUP(AC$4,$D$7:$P$336,$R114,FALSE)-HLOOKUP(AC$3,$D$7:$P$336,$R114,FALSE)</f>
        <v>95.07</v>
      </c>
      <c r="AD114" s="60">
        <f ca="1">100+HLOOKUP(AD$4,$D$7:$P$336,$R114,FALSE)-HLOOKUP(AD$3,$D$7:$P$336,$R114,FALSE)</f>
        <v>106.81</v>
      </c>
      <c r="AE114" s="60">
        <f ca="1">100+HLOOKUP(AE$4,$D$7:$P$336,$R114,FALSE)-HLOOKUP(AE$3,$D$7:$P$336,$R114,FALSE)</f>
        <v>102.92</v>
      </c>
      <c r="AF114" s="60">
        <f ca="1">100+HLOOKUP(AF$4,$D$7:$P$336,$R114,FALSE)-HLOOKUP(AF$3,$D$7:$P$336,$R114,FALSE)</f>
        <v>95.669999999999987</v>
      </c>
      <c r="AG114" s="60">
        <f ca="1">100+HLOOKUP(AG$4,$D$7:$P$336,$R114,FALSE)-HLOOKUP(AG$3,$D$7:$P$336,$R114,FALSE)</f>
        <v>91.77</v>
      </c>
      <c r="AH114" s="60" t="e">
        <f>100+HLOOKUP(AH$4,$D$7:$P$336,$R114,FALSE)-HLOOKUP(AH$3,$D$7:$P$336,$R114,FALSE)</f>
        <v>#N/A</v>
      </c>
      <c r="AI114" s="60" t="e">
        <f>100+HLOOKUP(AI$4,$D$7:$P$336,$R114,FALSE)-HLOOKUP(AI$3,$D$7:$P$336,$R114,FALSE)</f>
        <v>#N/A</v>
      </c>
      <c r="AJ114" s="60" t="e">
        <f>100+HLOOKUP(AJ$4,$D$7:$P$336,$R114,FALSE)-HLOOKUP(AJ$3,$D$7:$P$336,$R114,FALSE)</f>
        <v>#N/A</v>
      </c>
      <c r="AK114" s="60" t="e">
        <f>100+HLOOKUP(AK$4,$D$7:$P$336,$R114,FALSE)-HLOOKUP(AK$3,$D$7:$P$336,$R114,FALSE)</f>
        <v>#N/A</v>
      </c>
      <c r="AL114" s="60" t="e">
        <f>100+HLOOKUP(AL$4,$D$7:$P$336,$R114,FALSE)-HLOOKUP(AL$3,$D$7:$P$336,$R114,FALSE)</f>
        <v>#N/A</v>
      </c>
      <c r="AM114" s="60" t="e">
        <f>100+HLOOKUP(AM$4,$D$7:$P$336,$R114,FALSE)-HLOOKUP(AM$3,$D$7:$P$336,$R114,FALSE)</f>
        <v>#N/A</v>
      </c>
      <c r="AN114" s="60" t="e">
        <f>100+HLOOKUP(AN$4,$D$7:$P$336,$R114,FALSE)-HLOOKUP(AN$3,$D$7:$P$336,$R114,FALSE)</f>
        <v>#N/A</v>
      </c>
      <c r="AO114" s="60" t="e">
        <f>100+HLOOKUP(AO$4,$D$7:$P$336,$R114,FALSE)-HLOOKUP(AO$3,$D$7:$P$336,$R114,FALSE)</f>
        <v>#N/A</v>
      </c>
      <c r="AP114" s="60" t="e">
        <f>100+HLOOKUP(AP$4,$D$7:$P$336,$R114,FALSE)-HLOOKUP(AP$3,$D$7:$P$336,$R114,FALSE)</f>
        <v>#N/A</v>
      </c>
      <c r="AQ114" s="60" t="e">
        <f>100+HLOOKUP(AQ$4,$D$7:$P$336,$R114,FALSE)-HLOOKUP(AQ$3,$D$7:$P$336,$R114,FALSE)</f>
        <v>#N/A</v>
      </c>
      <c r="AV114" s="60">
        <f ca="1">AV$5-S114</f>
        <v>2.5903994267964379</v>
      </c>
      <c r="AW114" s="60">
        <f ca="1">AW$5-T114</f>
        <v>-2.8293494702422493</v>
      </c>
      <c r="AX114" s="60">
        <f ca="1">AX$5-U114</f>
        <v>11.10591540366805</v>
      </c>
      <c r="AY114" s="60">
        <f ca="1">AY$5-V114</f>
        <v>1.8330144015278051</v>
      </c>
      <c r="AZ114" s="60">
        <f ca="1">AZ$5-W114</f>
        <v>0.57448217259603496</v>
      </c>
      <c r="BA114" s="60">
        <f ca="1">BA$5-X114</f>
        <v>-2.134940941017291</v>
      </c>
      <c r="BB114" s="60">
        <f ca="1">BB$5-Y114</f>
        <v>-3.6994072726188705</v>
      </c>
      <c r="BC114" s="60">
        <f ca="1">BC$5-Z114</f>
        <v>16.767465909882162</v>
      </c>
      <c r="BD114" s="60">
        <f ca="1">BD$5-AA114</f>
        <v>6.166518664382366</v>
      </c>
      <c r="BE114" s="60">
        <f ca="1">BE$5-AB114</f>
        <v>-5.0506094080078014</v>
      </c>
      <c r="BF114" s="60">
        <f ca="1">BF$5-AC114</f>
        <v>5.9473043164770871</v>
      </c>
      <c r="BG114" s="60">
        <f ca="1">BG$5-AD114</f>
        <v>-2.824741294981493</v>
      </c>
      <c r="BH114" s="60">
        <f ca="1">BH$5-AE114</f>
        <v>-3.965407769632435</v>
      </c>
      <c r="BI114" s="60">
        <f ca="1">BI$5-AF114</f>
        <v>-5.0614944887451827</v>
      </c>
      <c r="BJ114" s="60">
        <f ca="1">BJ$5-AG114</f>
        <v>-0.33044894232122601</v>
      </c>
      <c r="BK114" s="60" t="e">
        <f>BK$5-AH114</f>
        <v>#N/A</v>
      </c>
      <c r="BL114" s="60" t="e">
        <f>BL$5-AI114</f>
        <v>#N/A</v>
      </c>
      <c r="BM114" s="60" t="e">
        <f>BM$5-AJ114</f>
        <v>#N/A</v>
      </c>
      <c r="BN114" s="60" t="e">
        <f>BN$5-AK114</f>
        <v>#N/A</v>
      </c>
      <c r="BO114" s="60" t="e">
        <f>BO$5-AL114</f>
        <v>#N/A</v>
      </c>
      <c r="BP114" s="60" t="e">
        <f>BP$5-AM114</f>
        <v>#N/A</v>
      </c>
      <c r="BQ114" s="60" t="e">
        <f>BQ$5-AN114</f>
        <v>#N/A</v>
      </c>
      <c r="BR114" s="60" t="e">
        <f>BR$5-AO114</f>
        <v>#N/A</v>
      </c>
      <c r="BS114" s="60" t="e">
        <f>BS$5-AP114</f>
        <v>#N/A</v>
      </c>
      <c r="BT114" s="60" t="e">
        <f>BT$5-AQ114</f>
        <v>#N/A</v>
      </c>
      <c r="BV114" s="60" cm="1">
        <f t="array" aca="1" ref="BV114" ca="1">SQRT(SUMSQ(_xlfn._xlws.FILTER(AV114:BT114,ISNUMBER(AV114:BT114)))/COUNT(_xlfn._xlws.FILTER(AV114:BT114,ISNUMBER(AV114:BT114))))</f>
        <v>6.2688372007898954</v>
      </c>
    </row>
    <row r="115" spans="3:74" x14ac:dyDescent="0.2">
      <c r="C115" s="60" t="s">
        <v>203</v>
      </c>
      <c r="D115" s="60">
        <v>0</v>
      </c>
      <c r="E115" s="60">
        <v>1.4550000000000001</v>
      </c>
      <c r="F115" s="60">
        <v>2.91</v>
      </c>
      <c r="G115" s="60">
        <v>-2.8650000000000002</v>
      </c>
      <c r="H115" s="60">
        <v>-8.64</v>
      </c>
      <c r="I115" s="60">
        <v>-7.6849999999999996</v>
      </c>
      <c r="J115" s="60">
        <v>-6.23</v>
      </c>
      <c r="K115" s="60">
        <v>-4.7750000000000004</v>
      </c>
      <c r="L115" s="60">
        <v>-3.82</v>
      </c>
      <c r="M115" s="60">
        <v>-2.8650000000000002</v>
      </c>
      <c r="N115" s="60">
        <v>-1.91</v>
      </c>
      <c r="O115" s="60">
        <v>-0.95499999999999996</v>
      </c>
      <c r="P115" s="60">
        <v>0</v>
      </c>
      <c r="R115" s="61">
        <f>(ROW(R115)-ROW($C$6))</f>
        <v>109</v>
      </c>
      <c r="S115" s="60">
        <f ca="1">100+HLOOKUP(S$4,$D$7:$P$336,$R115,FALSE)-HLOOKUP(S$3,$D$7:$P$336,$R115,FALSE)</f>
        <v>94.224999999999994</v>
      </c>
      <c r="T115" s="60">
        <f ca="1">100+HLOOKUP(T$4,$D$7:$P$336,$R115,FALSE)-HLOOKUP(T$3,$D$7:$P$336,$R115,FALSE)</f>
        <v>94.724999999999994</v>
      </c>
      <c r="U115" s="60">
        <f ca="1">100+HLOOKUP(U$4,$D$7:$P$336,$R115,FALSE)-HLOOKUP(U$3,$D$7:$P$336,$R115,FALSE)</f>
        <v>94.725000000000009</v>
      </c>
      <c r="V115" s="60">
        <f ca="1">100+HLOOKUP(V$4,$D$7:$P$336,$R115,FALSE)-HLOOKUP(V$3,$D$7:$P$336,$R115,FALSE)</f>
        <v>94.224999999999994</v>
      </c>
      <c r="W115" s="60">
        <f ca="1">100+HLOOKUP(W$4,$D$7:$P$336,$R115,FALSE)-HLOOKUP(W$3,$D$7:$P$336,$R115,FALSE)</f>
        <v>95.224999999999994</v>
      </c>
      <c r="X115" s="60">
        <f ca="1">100+HLOOKUP(X$4,$D$7:$P$336,$R115,FALSE)-HLOOKUP(X$3,$D$7:$P$336,$R115,FALSE)</f>
        <v>94.224999999999994</v>
      </c>
      <c r="Y115" s="60">
        <f ca="1">100+HLOOKUP(Y$4,$D$7:$P$336,$R115,FALSE)-HLOOKUP(Y$3,$D$7:$P$336,$R115,FALSE)</f>
        <v>94.724999999999994</v>
      </c>
      <c r="Z115" s="60">
        <f ca="1">100+HLOOKUP(Z$4,$D$7:$P$336,$R115,FALSE)-HLOOKUP(Z$3,$D$7:$P$336,$R115,FALSE)</f>
        <v>94.725000000000009</v>
      </c>
      <c r="AA115" s="60">
        <f ca="1">100+HLOOKUP(AA$4,$D$7:$P$336,$R115,FALSE)-HLOOKUP(AA$3,$D$7:$P$336,$R115,FALSE)</f>
        <v>94.224999999999994</v>
      </c>
      <c r="AB115" s="60">
        <f ca="1">100+HLOOKUP(AB$4,$D$7:$P$336,$R115,FALSE)-HLOOKUP(AB$3,$D$7:$P$336,$R115,FALSE)</f>
        <v>95.224999999999994</v>
      </c>
      <c r="AC115" s="60">
        <f ca="1">100+HLOOKUP(AC$4,$D$7:$P$336,$R115,FALSE)-HLOOKUP(AC$3,$D$7:$P$336,$R115,FALSE)</f>
        <v>94.225000000000009</v>
      </c>
      <c r="AD115" s="60">
        <f ca="1">100+HLOOKUP(AD$4,$D$7:$P$336,$R115,FALSE)-HLOOKUP(AD$3,$D$7:$P$336,$R115,FALSE)</f>
        <v>107.685</v>
      </c>
      <c r="AE115" s="60">
        <f ca="1">100+HLOOKUP(AE$4,$D$7:$P$336,$R115,FALSE)-HLOOKUP(AE$3,$D$7:$P$336,$R115,FALSE)</f>
        <v>107.685</v>
      </c>
      <c r="AF115" s="60">
        <f ca="1">100+HLOOKUP(AF$4,$D$7:$P$336,$R115,FALSE)-HLOOKUP(AF$3,$D$7:$P$336,$R115,FALSE)</f>
        <v>100.955</v>
      </c>
      <c r="AG115" s="60">
        <f ca="1">100+HLOOKUP(AG$4,$D$7:$P$336,$R115,FALSE)-HLOOKUP(AG$3,$D$7:$P$336,$R115,FALSE)</f>
        <v>94.224999999999994</v>
      </c>
      <c r="AH115" s="60" t="e">
        <f>100+HLOOKUP(AH$4,$D$7:$P$336,$R115,FALSE)-HLOOKUP(AH$3,$D$7:$P$336,$R115,FALSE)</f>
        <v>#N/A</v>
      </c>
      <c r="AI115" s="60" t="e">
        <f>100+HLOOKUP(AI$4,$D$7:$P$336,$R115,FALSE)-HLOOKUP(AI$3,$D$7:$P$336,$R115,FALSE)</f>
        <v>#N/A</v>
      </c>
      <c r="AJ115" s="60" t="e">
        <f>100+HLOOKUP(AJ$4,$D$7:$P$336,$R115,FALSE)-HLOOKUP(AJ$3,$D$7:$P$336,$R115,FALSE)</f>
        <v>#N/A</v>
      </c>
      <c r="AK115" s="60" t="e">
        <f>100+HLOOKUP(AK$4,$D$7:$P$336,$R115,FALSE)-HLOOKUP(AK$3,$D$7:$P$336,$R115,FALSE)</f>
        <v>#N/A</v>
      </c>
      <c r="AL115" s="60" t="e">
        <f>100+HLOOKUP(AL$4,$D$7:$P$336,$R115,FALSE)-HLOOKUP(AL$3,$D$7:$P$336,$R115,FALSE)</f>
        <v>#N/A</v>
      </c>
      <c r="AM115" s="60" t="e">
        <f>100+HLOOKUP(AM$4,$D$7:$P$336,$R115,FALSE)-HLOOKUP(AM$3,$D$7:$P$336,$R115,FALSE)</f>
        <v>#N/A</v>
      </c>
      <c r="AN115" s="60" t="e">
        <f>100+HLOOKUP(AN$4,$D$7:$P$336,$R115,FALSE)-HLOOKUP(AN$3,$D$7:$P$336,$R115,FALSE)</f>
        <v>#N/A</v>
      </c>
      <c r="AO115" s="60" t="e">
        <f>100+HLOOKUP(AO$4,$D$7:$P$336,$R115,FALSE)-HLOOKUP(AO$3,$D$7:$P$336,$R115,FALSE)</f>
        <v>#N/A</v>
      </c>
      <c r="AP115" s="60" t="e">
        <f>100+HLOOKUP(AP$4,$D$7:$P$336,$R115,FALSE)-HLOOKUP(AP$3,$D$7:$P$336,$R115,FALSE)</f>
        <v>#N/A</v>
      </c>
      <c r="AQ115" s="60" t="e">
        <f>100+HLOOKUP(AQ$4,$D$7:$P$336,$R115,FALSE)-HLOOKUP(AQ$3,$D$7:$P$336,$R115,FALSE)</f>
        <v>#N/A</v>
      </c>
      <c r="AV115" s="60">
        <f ca="1">AV$5-S115</f>
        <v>8.9653994267964379</v>
      </c>
      <c r="AW115" s="60">
        <f ca="1">AW$5-T115</f>
        <v>-0.50434947024224641</v>
      </c>
      <c r="AX115" s="60">
        <f ca="1">AX$5-U115</f>
        <v>7.0509154036680428</v>
      </c>
      <c r="AY115" s="60">
        <f ca="1">AY$5-V115</f>
        <v>-0.62198559847219315</v>
      </c>
      <c r="AZ115" s="60">
        <f ca="1">AZ$5-W115</f>
        <v>2.2294821725960361</v>
      </c>
      <c r="BA115" s="60">
        <f ca="1">BA$5-X115</f>
        <v>4.240059058982709</v>
      </c>
      <c r="BB115" s="60">
        <f ca="1">BB$5-Y115</f>
        <v>-1.3744072726188676</v>
      </c>
      <c r="BC115" s="60">
        <f ca="1">BC$5-Z115</f>
        <v>12.712465909882155</v>
      </c>
      <c r="BD115" s="60">
        <f ca="1">BD$5-AA115</f>
        <v>3.7115186643823677</v>
      </c>
      <c r="BE115" s="60">
        <f ca="1">BE$5-AB115</f>
        <v>-3.3956094080078003</v>
      </c>
      <c r="BF115" s="60">
        <f ca="1">BF$5-AC115</f>
        <v>6.7923043164770718</v>
      </c>
      <c r="BG115" s="60">
        <f ca="1">BG$5-AD115</f>
        <v>-3.699741294981493</v>
      </c>
      <c r="BH115" s="60">
        <f ca="1">BH$5-AE115</f>
        <v>-8.7304077696324356</v>
      </c>
      <c r="BI115" s="60">
        <f ca="1">BI$5-AF115</f>
        <v>-10.346494488745194</v>
      </c>
      <c r="BJ115" s="60">
        <f ca="1">BJ$5-AG115</f>
        <v>-2.7854489423212243</v>
      </c>
      <c r="BK115" s="60" t="e">
        <f>BK$5-AH115</f>
        <v>#N/A</v>
      </c>
      <c r="BL115" s="60" t="e">
        <f>BL$5-AI115</f>
        <v>#N/A</v>
      </c>
      <c r="BM115" s="60" t="e">
        <f>BM$5-AJ115</f>
        <v>#N/A</v>
      </c>
      <c r="BN115" s="60" t="e">
        <f>BN$5-AK115</f>
        <v>#N/A</v>
      </c>
      <c r="BO115" s="60" t="e">
        <f>BO$5-AL115</f>
        <v>#N/A</v>
      </c>
      <c r="BP115" s="60" t="e">
        <f>BP$5-AM115</f>
        <v>#N/A</v>
      </c>
      <c r="BQ115" s="60" t="e">
        <f>BQ$5-AN115</f>
        <v>#N/A</v>
      </c>
      <c r="BR115" s="60" t="e">
        <f>BR$5-AO115</f>
        <v>#N/A</v>
      </c>
      <c r="BS115" s="60" t="e">
        <f>BS$5-AP115</f>
        <v>#N/A</v>
      </c>
      <c r="BT115" s="60" t="e">
        <f>BT$5-AQ115</f>
        <v>#N/A</v>
      </c>
      <c r="BV115" s="60" cm="1">
        <f t="array" aca="1" ref="BV115" ca="1">SQRT(SUMSQ(_xlfn._xlws.FILTER(AV115:BT115,ISNUMBER(AV115:BT115)))/COUNT(_xlfn._xlws.FILTER(AV115:BT115,ISNUMBER(AV115:BT115))))</f>
        <v>6.2893413396118554</v>
      </c>
    </row>
    <row r="116" spans="3:74" x14ac:dyDescent="0.2">
      <c r="C116" s="60" t="s">
        <v>183</v>
      </c>
      <c r="D116" s="60">
        <v>0</v>
      </c>
      <c r="E116" s="60">
        <v>-2</v>
      </c>
      <c r="F116" s="60">
        <v>-5</v>
      </c>
      <c r="G116" s="60">
        <v>-7</v>
      </c>
      <c r="H116" s="60">
        <v>-9</v>
      </c>
      <c r="I116" s="60">
        <v>-9</v>
      </c>
      <c r="J116" s="60">
        <v>-9</v>
      </c>
      <c r="K116" s="60">
        <v>-9</v>
      </c>
      <c r="L116" s="60">
        <v>-9</v>
      </c>
      <c r="M116" s="60">
        <v>-6</v>
      </c>
      <c r="N116" s="60">
        <v>-4</v>
      </c>
      <c r="O116" s="60">
        <v>-2</v>
      </c>
      <c r="P116" s="60">
        <v>0</v>
      </c>
      <c r="R116" s="61">
        <f>(ROW(R116)-ROW($C$6))</f>
        <v>110</v>
      </c>
      <c r="S116" s="60">
        <f ca="1">100+HLOOKUP(S$4,$D$7:$P$336,$R116,FALSE)-HLOOKUP(S$3,$D$7:$P$336,$R116,FALSE)</f>
        <v>97</v>
      </c>
      <c r="T116" s="60">
        <f ca="1">100+HLOOKUP(T$4,$D$7:$P$336,$R116,FALSE)-HLOOKUP(T$3,$D$7:$P$336,$R116,FALSE)</f>
        <v>93</v>
      </c>
      <c r="U116" s="60">
        <f ca="1">100+HLOOKUP(U$4,$D$7:$P$336,$R116,FALSE)-HLOOKUP(U$3,$D$7:$P$336,$R116,FALSE)</f>
        <v>93</v>
      </c>
      <c r="V116" s="60">
        <f ca="1">100+HLOOKUP(V$4,$D$7:$P$336,$R116,FALSE)-HLOOKUP(V$3,$D$7:$P$336,$R116,FALSE)</f>
        <v>95</v>
      </c>
      <c r="W116" s="60">
        <f ca="1">100+HLOOKUP(W$4,$D$7:$P$336,$R116,FALSE)-HLOOKUP(W$3,$D$7:$P$336,$R116,FALSE)</f>
        <v>91</v>
      </c>
      <c r="X116" s="60">
        <f ca="1">100+HLOOKUP(X$4,$D$7:$P$336,$R116,FALSE)-HLOOKUP(X$3,$D$7:$P$336,$R116,FALSE)</f>
        <v>97</v>
      </c>
      <c r="Y116" s="60">
        <f ca="1">100+HLOOKUP(Y$4,$D$7:$P$336,$R116,FALSE)-HLOOKUP(Y$3,$D$7:$P$336,$R116,FALSE)</f>
        <v>93</v>
      </c>
      <c r="Z116" s="60">
        <f ca="1">100+HLOOKUP(Z$4,$D$7:$P$336,$R116,FALSE)-HLOOKUP(Z$3,$D$7:$P$336,$R116,FALSE)</f>
        <v>93</v>
      </c>
      <c r="AA116" s="60">
        <f ca="1">100+HLOOKUP(AA$4,$D$7:$P$336,$R116,FALSE)-HLOOKUP(AA$3,$D$7:$P$336,$R116,FALSE)</f>
        <v>95</v>
      </c>
      <c r="AB116" s="60">
        <f ca="1">100+HLOOKUP(AB$4,$D$7:$P$336,$R116,FALSE)-HLOOKUP(AB$3,$D$7:$P$336,$R116,FALSE)</f>
        <v>91</v>
      </c>
      <c r="AC116" s="60">
        <f ca="1">100+HLOOKUP(AC$4,$D$7:$P$336,$R116,FALSE)-HLOOKUP(AC$3,$D$7:$P$336,$R116,FALSE)</f>
        <v>99</v>
      </c>
      <c r="AD116" s="60">
        <f ca="1">100+HLOOKUP(AD$4,$D$7:$P$336,$R116,FALSE)-HLOOKUP(AD$3,$D$7:$P$336,$R116,FALSE)</f>
        <v>107</v>
      </c>
      <c r="AE116" s="60">
        <f ca="1">100+HLOOKUP(AE$4,$D$7:$P$336,$R116,FALSE)-HLOOKUP(AE$3,$D$7:$P$336,$R116,FALSE)</f>
        <v>107</v>
      </c>
      <c r="AF116" s="60">
        <f ca="1">100+HLOOKUP(AF$4,$D$7:$P$336,$R116,FALSE)-HLOOKUP(AF$3,$D$7:$P$336,$R116,FALSE)</f>
        <v>102</v>
      </c>
      <c r="AG116" s="60">
        <f ca="1">100+HLOOKUP(AG$4,$D$7:$P$336,$R116,FALSE)-HLOOKUP(AG$3,$D$7:$P$336,$R116,FALSE)</f>
        <v>95</v>
      </c>
      <c r="AH116" s="60" t="e">
        <f>100+HLOOKUP(AH$4,$D$7:$P$336,$R116,FALSE)-HLOOKUP(AH$3,$D$7:$P$336,$R116,FALSE)</f>
        <v>#N/A</v>
      </c>
      <c r="AI116" s="60" t="e">
        <f>100+HLOOKUP(AI$4,$D$7:$P$336,$R116,FALSE)-HLOOKUP(AI$3,$D$7:$P$336,$R116,FALSE)</f>
        <v>#N/A</v>
      </c>
      <c r="AJ116" s="60" t="e">
        <f>100+HLOOKUP(AJ$4,$D$7:$P$336,$R116,FALSE)-HLOOKUP(AJ$3,$D$7:$P$336,$R116,FALSE)</f>
        <v>#N/A</v>
      </c>
      <c r="AK116" s="60" t="e">
        <f>100+HLOOKUP(AK$4,$D$7:$P$336,$R116,FALSE)-HLOOKUP(AK$3,$D$7:$P$336,$R116,FALSE)</f>
        <v>#N/A</v>
      </c>
      <c r="AL116" s="60" t="e">
        <f>100+HLOOKUP(AL$4,$D$7:$P$336,$R116,FALSE)-HLOOKUP(AL$3,$D$7:$P$336,$R116,FALSE)</f>
        <v>#N/A</v>
      </c>
      <c r="AM116" s="60" t="e">
        <f>100+HLOOKUP(AM$4,$D$7:$P$336,$R116,FALSE)-HLOOKUP(AM$3,$D$7:$P$336,$R116,FALSE)</f>
        <v>#N/A</v>
      </c>
      <c r="AN116" s="60" t="e">
        <f>100+HLOOKUP(AN$4,$D$7:$P$336,$R116,FALSE)-HLOOKUP(AN$3,$D$7:$P$336,$R116,FALSE)</f>
        <v>#N/A</v>
      </c>
      <c r="AO116" s="60" t="e">
        <f>100+HLOOKUP(AO$4,$D$7:$P$336,$R116,FALSE)-HLOOKUP(AO$3,$D$7:$P$336,$R116,FALSE)</f>
        <v>#N/A</v>
      </c>
      <c r="AP116" s="60" t="e">
        <f>100+HLOOKUP(AP$4,$D$7:$P$336,$R116,FALSE)-HLOOKUP(AP$3,$D$7:$P$336,$R116,FALSE)</f>
        <v>#N/A</v>
      </c>
      <c r="AQ116" s="60" t="e">
        <f>100+HLOOKUP(AQ$4,$D$7:$P$336,$R116,FALSE)-HLOOKUP(AQ$3,$D$7:$P$336,$R116,FALSE)</f>
        <v>#N/A</v>
      </c>
      <c r="AV116" s="60">
        <f ca="1">AV$5-S116</f>
        <v>6.1903994267964322</v>
      </c>
      <c r="AW116" s="60">
        <f ca="1">AW$5-T116</f>
        <v>1.2206505297577479</v>
      </c>
      <c r="AX116" s="60">
        <f ca="1">AX$5-U116</f>
        <v>8.7759154036680513</v>
      </c>
      <c r="AY116" s="60">
        <f ca="1">AY$5-V116</f>
        <v>-1.3969855984721988</v>
      </c>
      <c r="AZ116" s="60">
        <f ca="1">AZ$5-W116</f>
        <v>6.4544821725960304</v>
      </c>
      <c r="BA116" s="60">
        <f ca="1">BA$5-X116</f>
        <v>1.4650590589827033</v>
      </c>
      <c r="BB116" s="60">
        <f ca="1">BB$5-Y116</f>
        <v>0.35059272738112668</v>
      </c>
      <c r="BC116" s="60">
        <f ca="1">BC$5-Z116</f>
        <v>14.437465909882164</v>
      </c>
      <c r="BD116" s="60">
        <f ca="1">BD$5-AA116</f>
        <v>2.936518664382362</v>
      </c>
      <c r="BE116" s="60">
        <f ca="1">BE$5-AB116</f>
        <v>0.829390591992194</v>
      </c>
      <c r="BF116" s="60">
        <f ca="1">BF$5-AC116</f>
        <v>2.0173043164770803</v>
      </c>
      <c r="BG116" s="60">
        <f ca="1">BG$5-AD116</f>
        <v>-3.0147412949814907</v>
      </c>
      <c r="BH116" s="60">
        <f ca="1">BH$5-AE116</f>
        <v>-8.0454077696324333</v>
      </c>
      <c r="BI116" s="60">
        <f ca="1">BI$5-AF116</f>
        <v>-11.391494488745195</v>
      </c>
      <c r="BJ116" s="60">
        <f ca="1">BJ$5-AG116</f>
        <v>-3.56044894232123</v>
      </c>
      <c r="BK116" s="60" t="e">
        <f>BK$5-AH116</f>
        <v>#N/A</v>
      </c>
      <c r="BL116" s="60" t="e">
        <f>BL$5-AI116</f>
        <v>#N/A</v>
      </c>
      <c r="BM116" s="60" t="e">
        <f>BM$5-AJ116</f>
        <v>#N/A</v>
      </c>
      <c r="BN116" s="60" t="e">
        <f>BN$5-AK116</f>
        <v>#N/A</v>
      </c>
      <c r="BO116" s="60" t="e">
        <f>BO$5-AL116</f>
        <v>#N/A</v>
      </c>
      <c r="BP116" s="60" t="e">
        <f>BP$5-AM116</f>
        <v>#N/A</v>
      </c>
      <c r="BQ116" s="60" t="e">
        <f>BQ$5-AN116</f>
        <v>#N/A</v>
      </c>
      <c r="BR116" s="60" t="e">
        <f>BR$5-AO116</f>
        <v>#N/A</v>
      </c>
      <c r="BS116" s="60" t="e">
        <f>BS$5-AP116</f>
        <v>#N/A</v>
      </c>
      <c r="BT116" s="60" t="e">
        <f>BT$5-AQ116</f>
        <v>#N/A</v>
      </c>
      <c r="BV116" s="60" cm="1">
        <f t="array" aca="1" ref="BV116" ca="1">SQRT(SUMSQ(_xlfn._xlws.FILTER(AV116:BT116,ISNUMBER(AV116:BT116)))/COUNT(_xlfn._xlws.FILTER(AV116:BT116,ISNUMBER(AV116:BT116))))</f>
        <v>6.3287181955214864</v>
      </c>
    </row>
    <row r="117" spans="3:74" x14ac:dyDescent="0.2">
      <c r="C117" s="60" t="s">
        <v>421</v>
      </c>
      <c r="D117" s="60">
        <v>0</v>
      </c>
      <c r="E117" s="60">
        <v>-1</v>
      </c>
      <c r="F117" s="60">
        <v>-2</v>
      </c>
      <c r="G117" s="60">
        <v>-3</v>
      </c>
      <c r="H117" s="60">
        <v>-4</v>
      </c>
      <c r="I117" s="60">
        <v>-5</v>
      </c>
      <c r="J117" s="60">
        <v>-6</v>
      </c>
      <c r="K117" s="60">
        <v>-7</v>
      </c>
      <c r="L117" s="60">
        <v>-8</v>
      </c>
      <c r="M117" s="60">
        <v>-3</v>
      </c>
      <c r="N117" s="60">
        <v>2</v>
      </c>
      <c r="O117" s="60">
        <v>1</v>
      </c>
      <c r="P117" s="60">
        <v>0</v>
      </c>
      <c r="R117" s="61">
        <f>(ROW(R117)-ROW($C$6))</f>
        <v>111</v>
      </c>
      <c r="S117" s="60">
        <f ca="1">100+HLOOKUP(S$4,$D$7:$P$336,$R117,FALSE)-HLOOKUP(S$3,$D$7:$P$336,$R117,FALSE)</f>
        <v>99</v>
      </c>
      <c r="T117" s="60">
        <f ca="1">100+HLOOKUP(T$4,$D$7:$P$336,$R117,FALSE)-HLOOKUP(T$3,$D$7:$P$336,$R117,FALSE)</f>
        <v>93</v>
      </c>
      <c r="U117" s="60">
        <f ca="1">100+HLOOKUP(U$4,$D$7:$P$336,$R117,FALSE)-HLOOKUP(U$3,$D$7:$P$336,$R117,FALSE)</f>
        <v>93</v>
      </c>
      <c r="V117" s="60">
        <f ca="1">100+HLOOKUP(V$4,$D$7:$P$336,$R117,FALSE)-HLOOKUP(V$3,$D$7:$P$336,$R117,FALSE)</f>
        <v>93</v>
      </c>
      <c r="W117" s="60">
        <f ca="1">100+HLOOKUP(W$4,$D$7:$P$336,$R117,FALSE)-HLOOKUP(W$3,$D$7:$P$336,$R117,FALSE)</f>
        <v>93</v>
      </c>
      <c r="X117" s="60">
        <f ca="1">100+HLOOKUP(X$4,$D$7:$P$336,$R117,FALSE)-HLOOKUP(X$3,$D$7:$P$336,$R117,FALSE)</f>
        <v>99</v>
      </c>
      <c r="Y117" s="60">
        <f ca="1">100+HLOOKUP(Y$4,$D$7:$P$336,$R117,FALSE)-HLOOKUP(Y$3,$D$7:$P$336,$R117,FALSE)</f>
        <v>93</v>
      </c>
      <c r="Z117" s="60">
        <f ca="1">100+HLOOKUP(Z$4,$D$7:$P$336,$R117,FALSE)-HLOOKUP(Z$3,$D$7:$P$336,$R117,FALSE)</f>
        <v>93</v>
      </c>
      <c r="AA117" s="60">
        <f ca="1">100+HLOOKUP(AA$4,$D$7:$P$336,$R117,FALSE)-HLOOKUP(AA$3,$D$7:$P$336,$R117,FALSE)</f>
        <v>93</v>
      </c>
      <c r="AB117" s="60">
        <f ca="1">100+HLOOKUP(AB$4,$D$7:$P$336,$R117,FALSE)-HLOOKUP(AB$3,$D$7:$P$336,$R117,FALSE)</f>
        <v>93</v>
      </c>
      <c r="AC117" s="60">
        <f ca="1">100+HLOOKUP(AC$4,$D$7:$P$336,$R117,FALSE)-HLOOKUP(AC$3,$D$7:$P$336,$R117,FALSE)</f>
        <v>99</v>
      </c>
      <c r="AD117" s="60">
        <f ca="1">100+HLOOKUP(AD$4,$D$7:$P$336,$R117,FALSE)-HLOOKUP(AD$3,$D$7:$P$336,$R117,FALSE)</f>
        <v>105</v>
      </c>
      <c r="AE117" s="60">
        <f ca="1">100+HLOOKUP(AE$4,$D$7:$P$336,$R117,FALSE)-HLOOKUP(AE$3,$D$7:$P$336,$R117,FALSE)</f>
        <v>105</v>
      </c>
      <c r="AF117" s="60">
        <f ca="1">100+HLOOKUP(AF$4,$D$7:$P$336,$R117,FALSE)-HLOOKUP(AF$3,$D$7:$P$336,$R117,FALSE)</f>
        <v>105</v>
      </c>
      <c r="AG117" s="60">
        <f ca="1">100+HLOOKUP(AG$4,$D$7:$P$336,$R117,FALSE)-HLOOKUP(AG$3,$D$7:$P$336,$R117,FALSE)</f>
        <v>93</v>
      </c>
      <c r="AH117" s="60" t="e">
        <f>100+HLOOKUP(AH$4,$D$7:$P$336,$R117,FALSE)-HLOOKUP(AH$3,$D$7:$P$336,$R117,FALSE)</f>
        <v>#N/A</v>
      </c>
      <c r="AI117" s="60" t="e">
        <f>100+HLOOKUP(AI$4,$D$7:$P$336,$R117,FALSE)-HLOOKUP(AI$3,$D$7:$P$336,$R117,FALSE)</f>
        <v>#N/A</v>
      </c>
      <c r="AJ117" s="60" t="e">
        <f>100+HLOOKUP(AJ$4,$D$7:$P$336,$R117,FALSE)-HLOOKUP(AJ$3,$D$7:$P$336,$R117,FALSE)</f>
        <v>#N/A</v>
      </c>
      <c r="AK117" s="60" t="e">
        <f>100+HLOOKUP(AK$4,$D$7:$P$336,$R117,FALSE)-HLOOKUP(AK$3,$D$7:$P$336,$R117,FALSE)</f>
        <v>#N/A</v>
      </c>
      <c r="AL117" s="60" t="e">
        <f>100+HLOOKUP(AL$4,$D$7:$P$336,$R117,FALSE)-HLOOKUP(AL$3,$D$7:$P$336,$R117,FALSE)</f>
        <v>#N/A</v>
      </c>
      <c r="AM117" s="60" t="e">
        <f>100+HLOOKUP(AM$4,$D$7:$P$336,$R117,FALSE)-HLOOKUP(AM$3,$D$7:$P$336,$R117,FALSE)</f>
        <v>#N/A</v>
      </c>
      <c r="AN117" s="60" t="e">
        <f>100+HLOOKUP(AN$4,$D$7:$P$336,$R117,FALSE)-HLOOKUP(AN$3,$D$7:$P$336,$R117,FALSE)</f>
        <v>#N/A</v>
      </c>
      <c r="AO117" s="60" t="e">
        <f>100+HLOOKUP(AO$4,$D$7:$P$336,$R117,FALSE)-HLOOKUP(AO$3,$D$7:$P$336,$R117,FALSE)</f>
        <v>#N/A</v>
      </c>
      <c r="AP117" s="60" t="e">
        <f>100+HLOOKUP(AP$4,$D$7:$P$336,$R117,FALSE)-HLOOKUP(AP$3,$D$7:$P$336,$R117,FALSE)</f>
        <v>#N/A</v>
      </c>
      <c r="AQ117" s="60" t="e">
        <f>100+HLOOKUP(AQ$4,$D$7:$P$336,$R117,FALSE)-HLOOKUP(AQ$3,$D$7:$P$336,$R117,FALSE)</f>
        <v>#N/A</v>
      </c>
      <c r="AV117" s="60">
        <f ca="1">AV$5-S117</f>
        <v>4.1903994267964322</v>
      </c>
      <c r="AW117" s="60">
        <f ca="1">AW$5-T117</f>
        <v>1.2206505297577479</v>
      </c>
      <c r="AX117" s="60">
        <f ca="1">AX$5-U117</f>
        <v>8.7759154036680513</v>
      </c>
      <c r="AY117" s="60">
        <f ca="1">AY$5-V117</f>
        <v>0.60301440152780117</v>
      </c>
      <c r="AZ117" s="60">
        <f ca="1">AZ$5-W117</f>
        <v>4.4544821725960304</v>
      </c>
      <c r="BA117" s="60">
        <f ca="1">BA$5-X117</f>
        <v>-0.53494094101729672</v>
      </c>
      <c r="BB117" s="60">
        <f ca="1">BB$5-Y117</f>
        <v>0.35059272738112668</v>
      </c>
      <c r="BC117" s="60">
        <f ca="1">BC$5-Z117</f>
        <v>14.437465909882164</v>
      </c>
      <c r="BD117" s="60">
        <f ca="1">BD$5-AA117</f>
        <v>4.936518664382362</v>
      </c>
      <c r="BE117" s="60">
        <f ca="1">BE$5-AB117</f>
        <v>-1.170609408007806</v>
      </c>
      <c r="BF117" s="60">
        <f ca="1">BF$5-AC117</f>
        <v>2.0173043164770803</v>
      </c>
      <c r="BG117" s="60">
        <f ca="1">BG$5-AD117</f>
        <v>-1.0147412949814907</v>
      </c>
      <c r="BH117" s="60">
        <f ca="1">BH$5-AE117</f>
        <v>-6.0454077696324333</v>
      </c>
      <c r="BI117" s="60">
        <f ca="1">BI$5-AF117</f>
        <v>-14.391494488745195</v>
      </c>
      <c r="BJ117" s="60">
        <f ca="1">BJ$5-AG117</f>
        <v>-1.56044894232123</v>
      </c>
      <c r="BK117" s="60" t="e">
        <f>BK$5-AH117</f>
        <v>#N/A</v>
      </c>
      <c r="BL117" s="60" t="e">
        <f>BL$5-AI117</f>
        <v>#N/A</v>
      </c>
      <c r="BM117" s="60" t="e">
        <f>BM$5-AJ117</f>
        <v>#N/A</v>
      </c>
      <c r="BN117" s="60" t="e">
        <f>BN$5-AK117</f>
        <v>#N/A</v>
      </c>
      <c r="BO117" s="60" t="e">
        <f>BO$5-AL117</f>
        <v>#N/A</v>
      </c>
      <c r="BP117" s="60" t="e">
        <f>BP$5-AM117</f>
        <v>#N/A</v>
      </c>
      <c r="BQ117" s="60" t="e">
        <f>BQ$5-AN117</f>
        <v>#N/A</v>
      </c>
      <c r="BR117" s="60" t="e">
        <f>BR$5-AO117</f>
        <v>#N/A</v>
      </c>
      <c r="BS117" s="60" t="e">
        <f>BS$5-AP117</f>
        <v>#N/A</v>
      </c>
      <c r="BT117" s="60" t="e">
        <f>BT$5-AQ117</f>
        <v>#N/A</v>
      </c>
      <c r="BV117" s="60" cm="1">
        <f t="array" aca="1" ref="BV117" ca="1">SQRT(SUMSQ(_xlfn._xlws.FILTER(AV117:BT117,ISNUMBER(AV117:BT117)))/COUNT(_xlfn._xlws.FILTER(AV117:BT117,ISNUMBER(AV117:BT117))))</f>
        <v>6.3353899755883116</v>
      </c>
    </row>
    <row r="118" spans="3:74" x14ac:dyDescent="0.2">
      <c r="C118" s="60" t="s">
        <v>254</v>
      </c>
      <c r="D118" s="60">
        <v>0</v>
      </c>
      <c r="E118" s="60">
        <v>-2</v>
      </c>
      <c r="F118" s="60">
        <v>-5</v>
      </c>
      <c r="G118" s="60">
        <v>-7</v>
      </c>
      <c r="H118" s="60">
        <v>-10</v>
      </c>
      <c r="I118" s="60">
        <v>-8</v>
      </c>
      <c r="J118" s="60">
        <v>-10</v>
      </c>
      <c r="K118" s="60">
        <v>-10</v>
      </c>
      <c r="L118" s="60">
        <v>-8</v>
      </c>
      <c r="M118" s="60">
        <v>-6</v>
      </c>
      <c r="N118" s="60">
        <v>-4</v>
      </c>
      <c r="O118" s="60">
        <v>-2</v>
      </c>
      <c r="P118" s="60">
        <v>0</v>
      </c>
      <c r="R118" s="61">
        <f>(ROW(R118)-ROW($C$6))</f>
        <v>112</v>
      </c>
      <c r="S118" s="60">
        <f ca="1">100+HLOOKUP(S$4,$D$7:$P$336,$R118,FALSE)-HLOOKUP(S$3,$D$7:$P$336,$R118,FALSE)</f>
        <v>96</v>
      </c>
      <c r="T118" s="60">
        <f ca="1">100+HLOOKUP(T$4,$D$7:$P$336,$R118,FALSE)-HLOOKUP(T$3,$D$7:$P$336,$R118,FALSE)</f>
        <v>92</v>
      </c>
      <c r="U118" s="60">
        <f ca="1">100+HLOOKUP(U$4,$D$7:$P$336,$R118,FALSE)-HLOOKUP(U$3,$D$7:$P$336,$R118,FALSE)</f>
        <v>94</v>
      </c>
      <c r="V118" s="60">
        <f ca="1">100+HLOOKUP(V$4,$D$7:$P$336,$R118,FALSE)-HLOOKUP(V$3,$D$7:$P$336,$R118,FALSE)</f>
        <v>96</v>
      </c>
      <c r="W118" s="60">
        <f ca="1">100+HLOOKUP(W$4,$D$7:$P$336,$R118,FALSE)-HLOOKUP(W$3,$D$7:$P$336,$R118,FALSE)</f>
        <v>90</v>
      </c>
      <c r="X118" s="60">
        <f ca="1">100+HLOOKUP(X$4,$D$7:$P$336,$R118,FALSE)-HLOOKUP(X$3,$D$7:$P$336,$R118,FALSE)</f>
        <v>96</v>
      </c>
      <c r="Y118" s="60">
        <f ca="1">100+HLOOKUP(Y$4,$D$7:$P$336,$R118,FALSE)-HLOOKUP(Y$3,$D$7:$P$336,$R118,FALSE)</f>
        <v>92</v>
      </c>
      <c r="Z118" s="60">
        <f ca="1">100+HLOOKUP(Z$4,$D$7:$P$336,$R118,FALSE)-HLOOKUP(Z$3,$D$7:$P$336,$R118,FALSE)</f>
        <v>94</v>
      </c>
      <c r="AA118" s="60">
        <f ca="1">100+HLOOKUP(AA$4,$D$7:$P$336,$R118,FALSE)-HLOOKUP(AA$3,$D$7:$P$336,$R118,FALSE)</f>
        <v>96</v>
      </c>
      <c r="AB118" s="60">
        <f ca="1">100+HLOOKUP(AB$4,$D$7:$P$336,$R118,FALSE)-HLOOKUP(AB$3,$D$7:$P$336,$R118,FALSE)</f>
        <v>90</v>
      </c>
      <c r="AC118" s="60">
        <f ca="1">100+HLOOKUP(AC$4,$D$7:$P$336,$R118,FALSE)-HLOOKUP(AC$3,$D$7:$P$336,$R118,FALSE)</f>
        <v>99</v>
      </c>
      <c r="AD118" s="60">
        <f ca="1">100+HLOOKUP(AD$4,$D$7:$P$336,$R118,FALSE)-HLOOKUP(AD$3,$D$7:$P$336,$R118,FALSE)</f>
        <v>108</v>
      </c>
      <c r="AE118" s="60">
        <f ca="1">100+HLOOKUP(AE$4,$D$7:$P$336,$R118,FALSE)-HLOOKUP(AE$3,$D$7:$P$336,$R118,FALSE)</f>
        <v>108</v>
      </c>
      <c r="AF118" s="60">
        <f ca="1">100+HLOOKUP(AF$4,$D$7:$P$336,$R118,FALSE)-HLOOKUP(AF$3,$D$7:$P$336,$R118,FALSE)</f>
        <v>101</v>
      </c>
      <c r="AG118" s="60">
        <f ca="1">100+HLOOKUP(AG$4,$D$7:$P$336,$R118,FALSE)-HLOOKUP(AG$3,$D$7:$P$336,$R118,FALSE)</f>
        <v>96</v>
      </c>
      <c r="AH118" s="60" t="e">
        <f>100+HLOOKUP(AH$4,$D$7:$P$336,$R118,FALSE)-HLOOKUP(AH$3,$D$7:$P$336,$R118,FALSE)</f>
        <v>#N/A</v>
      </c>
      <c r="AI118" s="60" t="e">
        <f>100+HLOOKUP(AI$4,$D$7:$P$336,$R118,FALSE)-HLOOKUP(AI$3,$D$7:$P$336,$R118,FALSE)</f>
        <v>#N/A</v>
      </c>
      <c r="AJ118" s="60" t="e">
        <f>100+HLOOKUP(AJ$4,$D$7:$P$336,$R118,FALSE)-HLOOKUP(AJ$3,$D$7:$P$336,$R118,FALSE)</f>
        <v>#N/A</v>
      </c>
      <c r="AK118" s="60" t="e">
        <f>100+HLOOKUP(AK$4,$D$7:$P$336,$R118,FALSE)-HLOOKUP(AK$3,$D$7:$P$336,$R118,FALSE)</f>
        <v>#N/A</v>
      </c>
      <c r="AL118" s="60" t="e">
        <f>100+HLOOKUP(AL$4,$D$7:$P$336,$R118,FALSE)-HLOOKUP(AL$3,$D$7:$P$336,$R118,FALSE)</f>
        <v>#N/A</v>
      </c>
      <c r="AM118" s="60" t="e">
        <f>100+HLOOKUP(AM$4,$D$7:$P$336,$R118,FALSE)-HLOOKUP(AM$3,$D$7:$P$336,$R118,FALSE)</f>
        <v>#N/A</v>
      </c>
      <c r="AN118" s="60" t="e">
        <f>100+HLOOKUP(AN$4,$D$7:$P$336,$R118,FALSE)-HLOOKUP(AN$3,$D$7:$P$336,$R118,FALSE)</f>
        <v>#N/A</v>
      </c>
      <c r="AO118" s="60" t="e">
        <f>100+HLOOKUP(AO$4,$D$7:$P$336,$R118,FALSE)-HLOOKUP(AO$3,$D$7:$P$336,$R118,FALSE)</f>
        <v>#N/A</v>
      </c>
      <c r="AP118" s="60" t="e">
        <f>100+HLOOKUP(AP$4,$D$7:$P$336,$R118,FALSE)-HLOOKUP(AP$3,$D$7:$P$336,$R118,FALSE)</f>
        <v>#N/A</v>
      </c>
      <c r="AQ118" s="60" t="e">
        <f>100+HLOOKUP(AQ$4,$D$7:$P$336,$R118,FALSE)-HLOOKUP(AQ$3,$D$7:$P$336,$R118,FALSE)</f>
        <v>#N/A</v>
      </c>
      <c r="AV118" s="60">
        <f ca="1">AV$5-S118</f>
        <v>7.1903994267964322</v>
      </c>
      <c r="AW118" s="60">
        <f ca="1">AW$5-T118</f>
        <v>2.2206505297577479</v>
      </c>
      <c r="AX118" s="60">
        <f ca="1">AX$5-U118</f>
        <v>7.7759154036680513</v>
      </c>
      <c r="AY118" s="60">
        <f ca="1">AY$5-V118</f>
        <v>-2.3969855984721988</v>
      </c>
      <c r="AZ118" s="60">
        <f ca="1">AZ$5-W118</f>
        <v>7.4544821725960304</v>
      </c>
      <c r="BA118" s="60">
        <f ca="1">BA$5-X118</f>
        <v>2.4650590589827033</v>
      </c>
      <c r="BB118" s="60">
        <f ca="1">BB$5-Y118</f>
        <v>1.3505927273811267</v>
      </c>
      <c r="BC118" s="60">
        <f ca="1">BC$5-Z118</f>
        <v>13.437465909882164</v>
      </c>
      <c r="BD118" s="60">
        <f ca="1">BD$5-AA118</f>
        <v>1.936518664382362</v>
      </c>
      <c r="BE118" s="60">
        <f ca="1">BE$5-AB118</f>
        <v>1.829390591992194</v>
      </c>
      <c r="BF118" s="60">
        <f ca="1">BF$5-AC118</f>
        <v>2.0173043164770803</v>
      </c>
      <c r="BG118" s="60">
        <f ca="1">BG$5-AD118</f>
        <v>-4.0147412949814907</v>
      </c>
      <c r="BH118" s="60">
        <f ca="1">BH$5-AE118</f>
        <v>-9.0454077696324333</v>
      </c>
      <c r="BI118" s="60">
        <f ca="1">BI$5-AF118</f>
        <v>-10.391494488745195</v>
      </c>
      <c r="BJ118" s="60">
        <f ca="1">BJ$5-AG118</f>
        <v>-4.56044894232123</v>
      </c>
      <c r="BK118" s="60" t="e">
        <f>BK$5-AH118</f>
        <v>#N/A</v>
      </c>
      <c r="BL118" s="60" t="e">
        <f>BL$5-AI118</f>
        <v>#N/A</v>
      </c>
      <c r="BM118" s="60" t="e">
        <f>BM$5-AJ118</f>
        <v>#N/A</v>
      </c>
      <c r="BN118" s="60" t="e">
        <f>BN$5-AK118</f>
        <v>#N/A</v>
      </c>
      <c r="BO118" s="60" t="e">
        <f>BO$5-AL118</f>
        <v>#N/A</v>
      </c>
      <c r="BP118" s="60" t="e">
        <f>BP$5-AM118</f>
        <v>#N/A</v>
      </c>
      <c r="BQ118" s="60" t="e">
        <f>BQ$5-AN118</f>
        <v>#N/A</v>
      </c>
      <c r="BR118" s="60" t="e">
        <f>BR$5-AO118</f>
        <v>#N/A</v>
      </c>
      <c r="BS118" s="60" t="e">
        <f>BS$5-AP118</f>
        <v>#N/A</v>
      </c>
      <c r="BT118" s="60" t="e">
        <f>BT$5-AQ118</f>
        <v>#N/A</v>
      </c>
      <c r="BV118" s="60" cm="1">
        <f t="array" aca="1" ref="BV118" ca="1">SQRT(SUMSQ(_xlfn._xlws.FILTER(AV118:BT118,ISNUMBER(AV118:BT118)))/COUNT(_xlfn._xlws.FILTER(AV118:BT118,ISNUMBER(AV118:BT118))))</f>
        <v>6.3496122572817661</v>
      </c>
    </row>
    <row r="119" spans="3:74" x14ac:dyDescent="0.2">
      <c r="C119" s="60" t="s">
        <v>464</v>
      </c>
      <c r="D119" s="60">
        <v>0</v>
      </c>
      <c r="E119" s="60">
        <v>-3</v>
      </c>
      <c r="F119" s="60">
        <v>-5</v>
      </c>
      <c r="G119" s="60">
        <v>-8</v>
      </c>
      <c r="H119" s="60">
        <v>-11</v>
      </c>
      <c r="I119" s="60">
        <v>-9</v>
      </c>
      <c r="J119" s="60">
        <v>-12</v>
      </c>
      <c r="K119" s="60">
        <v>-10</v>
      </c>
      <c r="L119" s="60">
        <v>-8</v>
      </c>
      <c r="M119" s="60">
        <v>-6</v>
      </c>
      <c r="N119" s="60">
        <v>-4</v>
      </c>
      <c r="O119" s="60">
        <v>-2</v>
      </c>
      <c r="P119" s="60">
        <v>0</v>
      </c>
      <c r="R119" s="61">
        <f>(ROW(R119)-ROW($C$6))</f>
        <v>113</v>
      </c>
      <c r="S119" s="60">
        <f ca="1">100+HLOOKUP(S$4,$D$7:$P$336,$R119,FALSE)-HLOOKUP(S$3,$D$7:$P$336,$R119,FALSE)</f>
        <v>95</v>
      </c>
      <c r="T119" s="60">
        <f ca="1">100+HLOOKUP(T$4,$D$7:$P$336,$R119,FALSE)-HLOOKUP(T$3,$D$7:$P$336,$R119,FALSE)</f>
        <v>90</v>
      </c>
      <c r="U119" s="60">
        <f ca="1">100+HLOOKUP(U$4,$D$7:$P$336,$R119,FALSE)-HLOOKUP(U$3,$D$7:$P$336,$R119,FALSE)</f>
        <v>95</v>
      </c>
      <c r="V119" s="60">
        <f ca="1">100+HLOOKUP(V$4,$D$7:$P$336,$R119,FALSE)-HLOOKUP(V$3,$D$7:$P$336,$R119,FALSE)</f>
        <v>95</v>
      </c>
      <c r="W119" s="60">
        <f ca="1">100+HLOOKUP(W$4,$D$7:$P$336,$R119,FALSE)-HLOOKUP(W$3,$D$7:$P$336,$R119,FALSE)</f>
        <v>90</v>
      </c>
      <c r="X119" s="60">
        <f ca="1">100+HLOOKUP(X$4,$D$7:$P$336,$R119,FALSE)-HLOOKUP(X$3,$D$7:$P$336,$R119,FALSE)</f>
        <v>95</v>
      </c>
      <c r="Y119" s="60">
        <f ca="1">100+HLOOKUP(Y$4,$D$7:$P$336,$R119,FALSE)-HLOOKUP(Y$3,$D$7:$P$336,$R119,FALSE)</f>
        <v>90</v>
      </c>
      <c r="Z119" s="60">
        <f ca="1">100+HLOOKUP(Z$4,$D$7:$P$336,$R119,FALSE)-HLOOKUP(Z$3,$D$7:$P$336,$R119,FALSE)</f>
        <v>95</v>
      </c>
      <c r="AA119" s="60">
        <f ca="1">100+HLOOKUP(AA$4,$D$7:$P$336,$R119,FALSE)-HLOOKUP(AA$3,$D$7:$P$336,$R119,FALSE)</f>
        <v>95</v>
      </c>
      <c r="AB119" s="60">
        <f ca="1">100+HLOOKUP(AB$4,$D$7:$P$336,$R119,FALSE)-HLOOKUP(AB$3,$D$7:$P$336,$R119,FALSE)</f>
        <v>90</v>
      </c>
      <c r="AC119" s="60">
        <f ca="1">100+HLOOKUP(AC$4,$D$7:$P$336,$R119,FALSE)-HLOOKUP(AC$3,$D$7:$P$336,$R119,FALSE)</f>
        <v>99</v>
      </c>
      <c r="AD119" s="60">
        <f ca="1">100+HLOOKUP(AD$4,$D$7:$P$336,$R119,FALSE)-HLOOKUP(AD$3,$D$7:$P$336,$R119,FALSE)</f>
        <v>109</v>
      </c>
      <c r="AE119" s="60">
        <f ca="1">100+HLOOKUP(AE$4,$D$7:$P$336,$R119,FALSE)-HLOOKUP(AE$3,$D$7:$P$336,$R119,FALSE)</f>
        <v>109</v>
      </c>
      <c r="AF119" s="60">
        <f ca="1">100+HLOOKUP(AF$4,$D$7:$P$336,$R119,FALSE)-HLOOKUP(AF$3,$D$7:$P$336,$R119,FALSE)</f>
        <v>100</v>
      </c>
      <c r="AG119" s="60">
        <f ca="1">100+HLOOKUP(AG$4,$D$7:$P$336,$R119,FALSE)-HLOOKUP(AG$3,$D$7:$P$336,$R119,FALSE)</f>
        <v>95</v>
      </c>
      <c r="AH119" s="60" t="e">
        <f>100+HLOOKUP(AH$4,$D$7:$P$336,$R119,FALSE)-HLOOKUP(AH$3,$D$7:$P$336,$R119,FALSE)</f>
        <v>#N/A</v>
      </c>
      <c r="AI119" s="60" t="e">
        <f>100+HLOOKUP(AI$4,$D$7:$P$336,$R119,FALSE)-HLOOKUP(AI$3,$D$7:$P$336,$R119,FALSE)</f>
        <v>#N/A</v>
      </c>
      <c r="AJ119" s="60" t="e">
        <f>100+HLOOKUP(AJ$4,$D$7:$P$336,$R119,FALSE)-HLOOKUP(AJ$3,$D$7:$P$336,$R119,FALSE)</f>
        <v>#N/A</v>
      </c>
      <c r="AK119" s="60" t="e">
        <f>100+HLOOKUP(AK$4,$D$7:$P$336,$R119,FALSE)-HLOOKUP(AK$3,$D$7:$P$336,$R119,FALSE)</f>
        <v>#N/A</v>
      </c>
      <c r="AL119" s="60" t="e">
        <f>100+HLOOKUP(AL$4,$D$7:$P$336,$R119,FALSE)-HLOOKUP(AL$3,$D$7:$P$336,$R119,FALSE)</f>
        <v>#N/A</v>
      </c>
      <c r="AM119" s="60" t="e">
        <f>100+HLOOKUP(AM$4,$D$7:$P$336,$R119,FALSE)-HLOOKUP(AM$3,$D$7:$P$336,$R119,FALSE)</f>
        <v>#N/A</v>
      </c>
      <c r="AN119" s="60" t="e">
        <f>100+HLOOKUP(AN$4,$D$7:$P$336,$R119,FALSE)-HLOOKUP(AN$3,$D$7:$P$336,$R119,FALSE)</f>
        <v>#N/A</v>
      </c>
      <c r="AO119" s="60" t="e">
        <f>100+HLOOKUP(AO$4,$D$7:$P$336,$R119,FALSE)-HLOOKUP(AO$3,$D$7:$P$336,$R119,FALSE)</f>
        <v>#N/A</v>
      </c>
      <c r="AP119" s="60" t="e">
        <f>100+HLOOKUP(AP$4,$D$7:$P$336,$R119,FALSE)-HLOOKUP(AP$3,$D$7:$P$336,$R119,FALSE)</f>
        <v>#N/A</v>
      </c>
      <c r="AQ119" s="60" t="e">
        <f>100+HLOOKUP(AQ$4,$D$7:$P$336,$R119,FALSE)-HLOOKUP(AQ$3,$D$7:$P$336,$R119,FALSE)</f>
        <v>#N/A</v>
      </c>
      <c r="AV119" s="60">
        <f ca="1">AV$5-S119</f>
        <v>8.1903994267964322</v>
      </c>
      <c r="AW119" s="60">
        <f ca="1">AW$5-T119</f>
        <v>4.2206505297577479</v>
      </c>
      <c r="AX119" s="60">
        <f ca="1">AX$5-U119</f>
        <v>6.7759154036680513</v>
      </c>
      <c r="AY119" s="60">
        <f ca="1">AY$5-V119</f>
        <v>-1.3969855984721988</v>
      </c>
      <c r="AZ119" s="60">
        <f ca="1">AZ$5-W119</f>
        <v>7.4544821725960304</v>
      </c>
      <c r="BA119" s="60">
        <f ca="1">BA$5-X119</f>
        <v>3.4650590589827033</v>
      </c>
      <c r="BB119" s="60">
        <f ca="1">BB$5-Y119</f>
        <v>3.3505927273811267</v>
      </c>
      <c r="BC119" s="60">
        <f ca="1">BC$5-Z119</f>
        <v>12.437465909882164</v>
      </c>
      <c r="BD119" s="60">
        <f ca="1">BD$5-AA119</f>
        <v>2.936518664382362</v>
      </c>
      <c r="BE119" s="60">
        <f ca="1">BE$5-AB119</f>
        <v>1.829390591992194</v>
      </c>
      <c r="BF119" s="60">
        <f ca="1">BF$5-AC119</f>
        <v>2.0173043164770803</v>
      </c>
      <c r="BG119" s="60">
        <f ca="1">BG$5-AD119</f>
        <v>-5.0147412949814907</v>
      </c>
      <c r="BH119" s="60">
        <f ca="1">BH$5-AE119</f>
        <v>-10.045407769632433</v>
      </c>
      <c r="BI119" s="60">
        <f ca="1">BI$5-AF119</f>
        <v>-9.3914944887451952</v>
      </c>
      <c r="BJ119" s="60">
        <f ca="1">BJ$5-AG119</f>
        <v>-3.56044894232123</v>
      </c>
      <c r="BK119" s="60" t="e">
        <f>BK$5-AH119</f>
        <v>#N/A</v>
      </c>
      <c r="BL119" s="60" t="e">
        <f>BL$5-AI119</f>
        <v>#N/A</v>
      </c>
      <c r="BM119" s="60" t="e">
        <f>BM$5-AJ119</f>
        <v>#N/A</v>
      </c>
      <c r="BN119" s="60" t="e">
        <f>BN$5-AK119</f>
        <v>#N/A</v>
      </c>
      <c r="BO119" s="60" t="e">
        <f>BO$5-AL119</f>
        <v>#N/A</v>
      </c>
      <c r="BP119" s="60" t="e">
        <f>BP$5-AM119</f>
        <v>#N/A</v>
      </c>
      <c r="BQ119" s="60" t="e">
        <f>BQ$5-AN119</f>
        <v>#N/A</v>
      </c>
      <c r="BR119" s="60" t="e">
        <f>BR$5-AO119</f>
        <v>#N/A</v>
      </c>
      <c r="BS119" s="60" t="e">
        <f>BS$5-AP119</f>
        <v>#N/A</v>
      </c>
      <c r="BT119" s="60" t="e">
        <f>BT$5-AQ119</f>
        <v>#N/A</v>
      </c>
      <c r="BV119" s="60" cm="1">
        <f t="array" aca="1" ref="BV119" ca="1">SQRT(SUMSQ(_xlfn._xlws.FILTER(AV119:BT119,ISNUMBER(AV119:BT119)))/COUNT(_xlfn._xlws.FILTER(AV119:BT119,ISNUMBER(AV119:BT119))))</f>
        <v>6.3730068363333352</v>
      </c>
    </row>
    <row r="120" spans="3:74" x14ac:dyDescent="0.2">
      <c r="C120" s="60" t="s">
        <v>375</v>
      </c>
      <c r="D120" s="60">
        <v>0</v>
      </c>
      <c r="E120" s="60">
        <v>-2</v>
      </c>
      <c r="F120" s="60">
        <v>-3</v>
      </c>
      <c r="G120" s="60">
        <v>-4</v>
      </c>
      <c r="H120" s="60">
        <v>-4</v>
      </c>
      <c r="I120" s="60">
        <v>-6</v>
      </c>
      <c r="J120" s="60">
        <v>-6</v>
      </c>
      <c r="K120" s="60">
        <v>-6</v>
      </c>
      <c r="L120" s="60">
        <v>-8</v>
      </c>
      <c r="M120" s="60">
        <v>2</v>
      </c>
      <c r="N120" s="60">
        <v>1</v>
      </c>
      <c r="O120" s="60">
        <v>1</v>
      </c>
      <c r="P120" s="60">
        <v>0</v>
      </c>
      <c r="R120" s="61">
        <f>(ROW(R120)-ROW($C$6))</f>
        <v>114</v>
      </c>
      <c r="S120" s="60">
        <f ca="1">100+HLOOKUP(S$4,$D$7:$P$336,$R120,FALSE)-HLOOKUP(S$3,$D$7:$P$336,$R120,FALSE)</f>
        <v>94</v>
      </c>
      <c r="T120" s="60">
        <f ca="1">100+HLOOKUP(T$4,$D$7:$P$336,$R120,FALSE)-HLOOKUP(T$3,$D$7:$P$336,$R120,FALSE)</f>
        <v>93</v>
      </c>
      <c r="U120" s="60">
        <f ca="1">100+HLOOKUP(U$4,$D$7:$P$336,$R120,FALSE)-HLOOKUP(U$3,$D$7:$P$336,$R120,FALSE)</f>
        <v>94</v>
      </c>
      <c r="V120" s="60">
        <f ca="1">100+HLOOKUP(V$4,$D$7:$P$336,$R120,FALSE)-HLOOKUP(V$3,$D$7:$P$336,$R120,FALSE)</f>
        <v>93</v>
      </c>
      <c r="W120" s="60">
        <f ca="1">100+HLOOKUP(W$4,$D$7:$P$336,$R120,FALSE)-HLOOKUP(W$3,$D$7:$P$336,$R120,FALSE)</f>
        <v>94</v>
      </c>
      <c r="X120" s="60">
        <f ca="1">100+HLOOKUP(X$4,$D$7:$P$336,$R120,FALSE)-HLOOKUP(X$3,$D$7:$P$336,$R120,FALSE)</f>
        <v>94</v>
      </c>
      <c r="Y120" s="60">
        <f ca="1">100+HLOOKUP(Y$4,$D$7:$P$336,$R120,FALSE)-HLOOKUP(Y$3,$D$7:$P$336,$R120,FALSE)</f>
        <v>93</v>
      </c>
      <c r="Z120" s="60">
        <f ca="1">100+HLOOKUP(Z$4,$D$7:$P$336,$R120,FALSE)-HLOOKUP(Z$3,$D$7:$P$336,$R120,FALSE)</f>
        <v>94</v>
      </c>
      <c r="AA120" s="60">
        <f ca="1">100+HLOOKUP(AA$4,$D$7:$P$336,$R120,FALSE)-HLOOKUP(AA$3,$D$7:$P$336,$R120,FALSE)</f>
        <v>93</v>
      </c>
      <c r="AB120" s="60">
        <f ca="1">100+HLOOKUP(AB$4,$D$7:$P$336,$R120,FALSE)-HLOOKUP(AB$3,$D$7:$P$336,$R120,FALSE)</f>
        <v>94</v>
      </c>
      <c r="AC120" s="60">
        <f ca="1">100+HLOOKUP(AC$4,$D$7:$P$336,$R120,FALSE)-HLOOKUP(AC$3,$D$7:$P$336,$R120,FALSE)</f>
        <v>105</v>
      </c>
      <c r="AD120" s="60">
        <f ca="1">100+HLOOKUP(AD$4,$D$7:$P$336,$R120,FALSE)-HLOOKUP(AD$3,$D$7:$P$336,$R120,FALSE)</f>
        <v>105</v>
      </c>
      <c r="AE120" s="60">
        <f ca="1">100+HLOOKUP(AE$4,$D$7:$P$336,$R120,FALSE)-HLOOKUP(AE$3,$D$7:$P$336,$R120,FALSE)</f>
        <v>104</v>
      </c>
      <c r="AF120" s="60">
        <f ca="1">100+HLOOKUP(AF$4,$D$7:$P$336,$R120,FALSE)-HLOOKUP(AF$3,$D$7:$P$336,$R120,FALSE)</f>
        <v>104</v>
      </c>
      <c r="AG120" s="60">
        <f ca="1">100+HLOOKUP(AG$4,$D$7:$P$336,$R120,FALSE)-HLOOKUP(AG$3,$D$7:$P$336,$R120,FALSE)</f>
        <v>93</v>
      </c>
      <c r="AH120" s="60" t="e">
        <f>100+HLOOKUP(AH$4,$D$7:$P$336,$R120,FALSE)-HLOOKUP(AH$3,$D$7:$P$336,$R120,FALSE)</f>
        <v>#N/A</v>
      </c>
      <c r="AI120" s="60" t="e">
        <f>100+HLOOKUP(AI$4,$D$7:$P$336,$R120,FALSE)-HLOOKUP(AI$3,$D$7:$P$336,$R120,FALSE)</f>
        <v>#N/A</v>
      </c>
      <c r="AJ120" s="60" t="e">
        <f>100+HLOOKUP(AJ$4,$D$7:$P$336,$R120,FALSE)-HLOOKUP(AJ$3,$D$7:$P$336,$R120,FALSE)</f>
        <v>#N/A</v>
      </c>
      <c r="AK120" s="60" t="e">
        <f>100+HLOOKUP(AK$4,$D$7:$P$336,$R120,FALSE)-HLOOKUP(AK$3,$D$7:$P$336,$R120,FALSE)</f>
        <v>#N/A</v>
      </c>
      <c r="AL120" s="60" t="e">
        <f>100+HLOOKUP(AL$4,$D$7:$P$336,$R120,FALSE)-HLOOKUP(AL$3,$D$7:$P$336,$R120,FALSE)</f>
        <v>#N/A</v>
      </c>
      <c r="AM120" s="60" t="e">
        <f>100+HLOOKUP(AM$4,$D$7:$P$336,$R120,FALSE)-HLOOKUP(AM$3,$D$7:$P$336,$R120,FALSE)</f>
        <v>#N/A</v>
      </c>
      <c r="AN120" s="60" t="e">
        <f>100+HLOOKUP(AN$4,$D$7:$P$336,$R120,FALSE)-HLOOKUP(AN$3,$D$7:$P$336,$R120,FALSE)</f>
        <v>#N/A</v>
      </c>
      <c r="AO120" s="60" t="e">
        <f>100+HLOOKUP(AO$4,$D$7:$P$336,$R120,FALSE)-HLOOKUP(AO$3,$D$7:$P$336,$R120,FALSE)</f>
        <v>#N/A</v>
      </c>
      <c r="AP120" s="60" t="e">
        <f>100+HLOOKUP(AP$4,$D$7:$P$336,$R120,FALSE)-HLOOKUP(AP$3,$D$7:$P$336,$R120,FALSE)</f>
        <v>#N/A</v>
      </c>
      <c r="AQ120" s="60" t="e">
        <f>100+HLOOKUP(AQ$4,$D$7:$P$336,$R120,FALSE)-HLOOKUP(AQ$3,$D$7:$P$336,$R120,FALSE)</f>
        <v>#N/A</v>
      </c>
      <c r="AV120" s="60">
        <f ca="1">AV$5-S120</f>
        <v>9.1903994267964322</v>
      </c>
      <c r="AW120" s="60">
        <f ca="1">AW$5-T120</f>
        <v>1.2206505297577479</v>
      </c>
      <c r="AX120" s="60">
        <f ca="1">AX$5-U120</f>
        <v>7.7759154036680513</v>
      </c>
      <c r="AY120" s="60">
        <f ca="1">AY$5-V120</f>
        <v>0.60301440152780117</v>
      </c>
      <c r="AZ120" s="60">
        <f ca="1">AZ$5-W120</f>
        <v>3.4544821725960304</v>
      </c>
      <c r="BA120" s="60">
        <f ca="1">BA$5-X120</f>
        <v>4.4650590589827033</v>
      </c>
      <c r="BB120" s="60">
        <f ca="1">BB$5-Y120</f>
        <v>0.35059272738112668</v>
      </c>
      <c r="BC120" s="60">
        <f ca="1">BC$5-Z120</f>
        <v>13.437465909882164</v>
      </c>
      <c r="BD120" s="60">
        <f ca="1">BD$5-AA120</f>
        <v>4.936518664382362</v>
      </c>
      <c r="BE120" s="60">
        <f ca="1">BE$5-AB120</f>
        <v>-2.170609408007806</v>
      </c>
      <c r="BF120" s="60">
        <f ca="1">BF$5-AC120</f>
        <v>-3.9826956835229197</v>
      </c>
      <c r="BG120" s="60">
        <f ca="1">BG$5-AD120</f>
        <v>-1.0147412949814907</v>
      </c>
      <c r="BH120" s="60">
        <f ca="1">BH$5-AE120</f>
        <v>-5.0454077696324333</v>
      </c>
      <c r="BI120" s="60">
        <f ca="1">BI$5-AF120</f>
        <v>-13.391494488745195</v>
      </c>
      <c r="BJ120" s="60">
        <f ca="1">BJ$5-AG120</f>
        <v>-1.56044894232123</v>
      </c>
      <c r="BK120" s="60" t="e">
        <f>BK$5-AH120</f>
        <v>#N/A</v>
      </c>
      <c r="BL120" s="60" t="e">
        <f>BL$5-AI120</f>
        <v>#N/A</v>
      </c>
      <c r="BM120" s="60" t="e">
        <f>BM$5-AJ120</f>
        <v>#N/A</v>
      </c>
      <c r="BN120" s="60" t="e">
        <f>BN$5-AK120</f>
        <v>#N/A</v>
      </c>
      <c r="BO120" s="60" t="e">
        <f>BO$5-AL120</f>
        <v>#N/A</v>
      </c>
      <c r="BP120" s="60" t="e">
        <f>BP$5-AM120</f>
        <v>#N/A</v>
      </c>
      <c r="BQ120" s="60" t="e">
        <f>BQ$5-AN120</f>
        <v>#N/A</v>
      </c>
      <c r="BR120" s="60" t="e">
        <f>BR$5-AO120</f>
        <v>#N/A</v>
      </c>
      <c r="BS120" s="60" t="e">
        <f>BS$5-AP120</f>
        <v>#N/A</v>
      </c>
      <c r="BT120" s="60" t="e">
        <f>BT$5-AQ120</f>
        <v>#N/A</v>
      </c>
      <c r="BV120" s="60" cm="1">
        <f t="array" aca="1" ref="BV120" ca="1">SQRT(SUMSQ(_xlfn._xlws.FILTER(AV120:BT120,ISNUMBER(AV120:BT120)))/COUNT(_xlfn._xlws.FILTER(AV120:BT120,ISNUMBER(AV120:BT120))))</f>
        <v>6.3902848790373818</v>
      </c>
    </row>
    <row r="121" spans="3:74" x14ac:dyDescent="0.2">
      <c r="C121" s="60" t="s">
        <v>467</v>
      </c>
      <c r="D121" s="60">
        <v>0</v>
      </c>
      <c r="E121" s="60">
        <v>-1.9550000000000001</v>
      </c>
      <c r="F121" s="60">
        <v>-3.91</v>
      </c>
      <c r="G121" s="60">
        <v>-5.8650000000000002</v>
      </c>
      <c r="H121" s="60">
        <v>-7.82</v>
      </c>
      <c r="I121" s="60">
        <v>-9.7750000000000004</v>
      </c>
      <c r="J121" s="60">
        <v>-11.73</v>
      </c>
      <c r="K121" s="60">
        <v>-9.7750000000000004</v>
      </c>
      <c r="L121" s="60">
        <v>-7.82</v>
      </c>
      <c r="M121" s="60">
        <v>-5.8650000000000002</v>
      </c>
      <c r="N121" s="60">
        <v>-3.91</v>
      </c>
      <c r="O121" s="60">
        <v>-1.9550000000000001</v>
      </c>
      <c r="P121" s="60">
        <v>0</v>
      </c>
      <c r="R121" s="61">
        <f>(ROW(R121)-ROW($C$6))</f>
        <v>115</v>
      </c>
      <c r="S121" s="60">
        <f ca="1">100+HLOOKUP(S$4,$D$7:$P$336,$R121,FALSE)-HLOOKUP(S$3,$D$7:$P$336,$R121,FALSE)</f>
        <v>98.045000000000002</v>
      </c>
      <c r="T121" s="60">
        <f ca="1">100+HLOOKUP(T$4,$D$7:$P$336,$R121,FALSE)-HLOOKUP(T$3,$D$7:$P$336,$R121,FALSE)</f>
        <v>90.224999999999994</v>
      </c>
      <c r="U121" s="60">
        <f ca="1">100+HLOOKUP(U$4,$D$7:$P$336,$R121,FALSE)-HLOOKUP(U$3,$D$7:$P$336,$R121,FALSE)</f>
        <v>94.135000000000005</v>
      </c>
      <c r="V121" s="60">
        <f ca="1">100+HLOOKUP(V$4,$D$7:$P$336,$R121,FALSE)-HLOOKUP(V$3,$D$7:$P$336,$R121,FALSE)</f>
        <v>94.134999999999991</v>
      </c>
      <c r="W121" s="60">
        <f ca="1">100+HLOOKUP(W$4,$D$7:$P$336,$R121,FALSE)-HLOOKUP(W$3,$D$7:$P$336,$R121,FALSE)</f>
        <v>90.224999999999994</v>
      </c>
      <c r="X121" s="60">
        <f ca="1">100+HLOOKUP(X$4,$D$7:$P$336,$R121,FALSE)-HLOOKUP(X$3,$D$7:$P$336,$R121,FALSE)</f>
        <v>98.045000000000002</v>
      </c>
      <c r="Y121" s="60">
        <f ca="1">100+HLOOKUP(Y$4,$D$7:$P$336,$R121,FALSE)-HLOOKUP(Y$3,$D$7:$P$336,$R121,FALSE)</f>
        <v>90.224999999999994</v>
      </c>
      <c r="Z121" s="60">
        <f ca="1">100+HLOOKUP(Z$4,$D$7:$P$336,$R121,FALSE)-HLOOKUP(Z$3,$D$7:$P$336,$R121,FALSE)</f>
        <v>94.135000000000005</v>
      </c>
      <c r="AA121" s="60">
        <f ca="1">100+HLOOKUP(AA$4,$D$7:$P$336,$R121,FALSE)-HLOOKUP(AA$3,$D$7:$P$336,$R121,FALSE)</f>
        <v>94.134999999999991</v>
      </c>
      <c r="AB121" s="60">
        <f ca="1">100+HLOOKUP(AB$4,$D$7:$P$336,$R121,FALSE)-HLOOKUP(AB$3,$D$7:$P$336,$R121,FALSE)</f>
        <v>90.224999999999994</v>
      </c>
      <c r="AC121" s="60">
        <f ca="1">100+HLOOKUP(AC$4,$D$7:$P$336,$R121,FALSE)-HLOOKUP(AC$3,$D$7:$P$336,$R121,FALSE)</f>
        <v>98.045000000000002</v>
      </c>
      <c r="AD121" s="60">
        <f ca="1">100+HLOOKUP(AD$4,$D$7:$P$336,$R121,FALSE)-HLOOKUP(AD$3,$D$7:$P$336,$R121,FALSE)</f>
        <v>105.86500000000001</v>
      </c>
      <c r="AE121" s="60">
        <f ca="1">100+HLOOKUP(AE$4,$D$7:$P$336,$R121,FALSE)-HLOOKUP(AE$3,$D$7:$P$336,$R121,FALSE)</f>
        <v>109.77500000000001</v>
      </c>
      <c r="AF121" s="60">
        <f ca="1">100+HLOOKUP(AF$4,$D$7:$P$336,$R121,FALSE)-HLOOKUP(AF$3,$D$7:$P$336,$R121,FALSE)</f>
        <v>101.95500000000001</v>
      </c>
      <c r="AG121" s="60">
        <f ca="1">100+HLOOKUP(AG$4,$D$7:$P$336,$R121,FALSE)-HLOOKUP(AG$3,$D$7:$P$336,$R121,FALSE)</f>
        <v>94.134999999999991</v>
      </c>
      <c r="AH121" s="60" t="e">
        <f>100+HLOOKUP(AH$4,$D$7:$P$336,$R121,FALSE)-HLOOKUP(AH$3,$D$7:$P$336,$R121,FALSE)</f>
        <v>#N/A</v>
      </c>
      <c r="AI121" s="60" t="e">
        <f>100+HLOOKUP(AI$4,$D$7:$P$336,$R121,FALSE)-HLOOKUP(AI$3,$D$7:$P$336,$R121,FALSE)</f>
        <v>#N/A</v>
      </c>
      <c r="AJ121" s="60" t="e">
        <f>100+HLOOKUP(AJ$4,$D$7:$P$336,$R121,FALSE)-HLOOKUP(AJ$3,$D$7:$P$336,$R121,FALSE)</f>
        <v>#N/A</v>
      </c>
      <c r="AK121" s="60" t="e">
        <f>100+HLOOKUP(AK$4,$D$7:$P$336,$R121,FALSE)-HLOOKUP(AK$3,$D$7:$P$336,$R121,FALSE)</f>
        <v>#N/A</v>
      </c>
      <c r="AL121" s="60" t="e">
        <f>100+HLOOKUP(AL$4,$D$7:$P$336,$R121,FALSE)-HLOOKUP(AL$3,$D$7:$P$336,$R121,FALSE)</f>
        <v>#N/A</v>
      </c>
      <c r="AM121" s="60" t="e">
        <f>100+HLOOKUP(AM$4,$D$7:$P$336,$R121,FALSE)-HLOOKUP(AM$3,$D$7:$P$336,$R121,FALSE)</f>
        <v>#N/A</v>
      </c>
      <c r="AN121" s="60" t="e">
        <f>100+HLOOKUP(AN$4,$D$7:$P$336,$R121,FALSE)-HLOOKUP(AN$3,$D$7:$P$336,$R121,FALSE)</f>
        <v>#N/A</v>
      </c>
      <c r="AO121" s="60" t="e">
        <f>100+HLOOKUP(AO$4,$D$7:$P$336,$R121,FALSE)-HLOOKUP(AO$3,$D$7:$P$336,$R121,FALSE)</f>
        <v>#N/A</v>
      </c>
      <c r="AP121" s="60" t="e">
        <f>100+HLOOKUP(AP$4,$D$7:$P$336,$R121,FALSE)-HLOOKUP(AP$3,$D$7:$P$336,$R121,FALSE)</f>
        <v>#N/A</v>
      </c>
      <c r="AQ121" s="60" t="e">
        <f>100+HLOOKUP(AQ$4,$D$7:$P$336,$R121,FALSE)-HLOOKUP(AQ$3,$D$7:$P$336,$R121,FALSE)</f>
        <v>#N/A</v>
      </c>
      <c r="AV121" s="60">
        <f ca="1">AV$5-S121</f>
        <v>5.1453994267964305</v>
      </c>
      <c r="AW121" s="60">
        <f ca="1">AW$5-T121</f>
        <v>3.9956505297577536</v>
      </c>
      <c r="AX121" s="60">
        <f ca="1">AX$5-U121</f>
        <v>7.6409154036680462</v>
      </c>
      <c r="AY121" s="60">
        <f ca="1">AY$5-V121</f>
        <v>-0.53198559847218974</v>
      </c>
      <c r="AZ121" s="60">
        <f ca="1">AZ$5-W121</f>
        <v>7.2294821725960361</v>
      </c>
      <c r="BA121" s="60">
        <f ca="1">BA$5-X121</f>
        <v>0.42005905898270157</v>
      </c>
      <c r="BB121" s="60">
        <f ca="1">BB$5-Y121</f>
        <v>3.1255927273811324</v>
      </c>
      <c r="BC121" s="60">
        <f ca="1">BC$5-Z121</f>
        <v>13.302465909882159</v>
      </c>
      <c r="BD121" s="60">
        <f ca="1">BD$5-AA121</f>
        <v>3.8015186643823711</v>
      </c>
      <c r="BE121" s="60">
        <f ca="1">BE$5-AB121</f>
        <v>1.6043905919921997</v>
      </c>
      <c r="BF121" s="60">
        <f ca="1">BF$5-AC121</f>
        <v>2.9723043164770786</v>
      </c>
      <c r="BG121" s="60">
        <f ca="1">BG$5-AD121</f>
        <v>-1.8797412949814998</v>
      </c>
      <c r="BH121" s="60">
        <f ca="1">BH$5-AE121</f>
        <v>-10.820407769632439</v>
      </c>
      <c r="BI121" s="60">
        <f ca="1">BI$5-AF121</f>
        <v>-11.346494488745208</v>
      </c>
      <c r="BJ121" s="60">
        <f ca="1">BJ$5-AG121</f>
        <v>-2.6954489423212209</v>
      </c>
      <c r="BK121" s="60" t="e">
        <f>BK$5-AH121</f>
        <v>#N/A</v>
      </c>
      <c r="BL121" s="60" t="e">
        <f>BL$5-AI121</f>
        <v>#N/A</v>
      </c>
      <c r="BM121" s="60" t="e">
        <f>BM$5-AJ121</f>
        <v>#N/A</v>
      </c>
      <c r="BN121" s="60" t="e">
        <f>BN$5-AK121</f>
        <v>#N/A</v>
      </c>
      <c r="BO121" s="60" t="e">
        <f>BO$5-AL121</f>
        <v>#N/A</v>
      </c>
      <c r="BP121" s="60" t="e">
        <f>BP$5-AM121</f>
        <v>#N/A</v>
      </c>
      <c r="BQ121" s="60" t="e">
        <f>BQ$5-AN121</f>
        <v>#N/A</v>
      </c>
      <c r="BR121" s="60" t="e">
        <f>BR$5-AO121</f>
        <v>#N/A</v>
      </c>
      <c r="BS121" s="60" t="e">
        <f>BS$5-AP121</f>
        <v>#N/A</v>
      </c>
      <c r="BT121" s="60" t="e">
        <f>BT$5-AQ121</f>
        <v>#N/A</v>
      </c>
      <c r="BV121" s="60" cm="1">
        <f t="array" aca="1" ref="BV121" ca="1">SQRT(SUMSQ(_xlfn._xlws.FILTER(AV121:BT121,ISNUMBER(AV121:BT121)))/COUNT(_xlfn._xlws.FILTER(AV121:BT121,ISNUMBER(AV121:BT121))))</f>
        <v>6.4433789617778015</v>
      </c>
    </row>
    <row r="122" spans="3:74" x14ac:dyDescent="0.2">
      <c r="C122" s="60" t="s">
        <v>431</v>
      </c>
      <c r="D122" s="60">
        <v>0</v>
      </c>
      <c r="E122" s="60">
        <v>2</v>
      </c>
      <c r="F122" s="60">
        <v>4</v>
      </c>
      <c r="G122" s="60">
        <v>-6</v>
      </c>
      <c r="H122" s="60">
        <v>-4</v>
      </c>
      <c r="I122" s="60">
        <v>-2</v>
      </c>
      <c r="J122" s="60">
        <v>0</v>
      </c>
      <c r="K122" s="60">
        <v>2</v>
      </c>
      <c r="L122" s="60">
        <v>4</v>
      </c>
      <c r="M122" s="60">
        <v>6</v>
      </c>
      <c r="N122" s="60">
        <v>8</v>
      </c>
      <c r="O122" s="60">
        <v>-2</v>
      </c>
      <c r="P122" s="60">
        <v>0</v>
      </c>
      <c r="R122" s="61">
        <f>(ROW(R122)-ROW($C$6))</f>
        <v>116</v>
      </c>
      <c r="S122" s="60">
        <f ca="1">100+HLOOKUP(S$4,$D$7:$P$336,$R122,FALSE)-HLOOKUP(S$3,$D$7:$P$336,$R122,FALSE)</f>
        <v>90</v>
      </c>
      <c r="T122" s="60">
        <f ca="1">100+HLOOKUP(T$4,$D$7:$P$336,$R122,FALSE)-HLOOKUP(T$3,$D$7:$P$336,$R122,FALSE)</f>
        <v>102</v>
      </c>
      <c r="U122" s="60">
        <f ca="1">100+HLOOKUP(U$4,$D$7:$P$336,$R122,FALSE)-HLOOKUP(U$3,$D$7:$P$336,$R122,FALSE)</f>
        <v>102</v>
      </c>
      <c r="V122" s="60">
        <f ca="1">100+HLOOKUP(V$4,$D$7:$P$336,$R122,FALSE)-HLOOKUP(V$3,$D$7:$P$336,$R122,FALSE)</f>
        <v>90</v>
      </c>
      <c r="W122" s="60">
        <f ca="1">100+HLOOKUP(W$4,$D$7:$P$336,$R122,FALSE)-HLOOKUP(W$3,$D$7:$P$336,$R122,FALSE)</f>
        <v>102</v>
      </c>
      <c r="X122" s="60">
        <f ca="1">100+HLOOKUP(X$4,$D$7:$P$336,$R122,FALSE)-HLOOKUP(X$3,$D$7:$P$336,$R122,FALSE)</f>
        <v>90</v>
      </c>
      <c r="Y122" s="60">
        <f ca="1">100+HLOOKUP(Y$4,$D$7:$P$336,$R122,FALSE)-HLOOKUP(Y$3,$D$7:$P$336,$R122,FALSE)</f>
        <v>102</v>
      </c>
      <c r="Z122" s="60">
        <f ca="1">100+HLOOKUP(Z$4,$D$7:$P$336,$R122,FALSE)-HLOOKUP(Z$3,$D$7:$P$336,$R122,FALSE)</f>
        <v>102</v>
      </c>
      <c r="AA122" s="60">
        <f ca="1">100+HLOOKUP(AA$4,$D$7:$P$336,$R122,FALSE)-HLOOKUP(AA$3,$D$7:$P$336,$R122,FALSE)</f>
        <v>90</v>
      </c>
      <c r="AB122" s="60">
        <f ca="1">100+HLOOKUP(AB$4,$D$7:$P$336,$R122,FALSE)-HLOOKUP(AB$3,$D$7:$P$336,$R122,FALSE)</f>
        <v>102</v>
      </c>
      <c r="AC122" s="60">
        <f ca="1">100+HLOOKUP(AC$4,$D$7:$P$336,$R122,FALSE)-HLOOKUP(AC$3,$D$7:$P$336,$R122,FALSE)</f>
        <v>102</v>
      </c>
      <c r="AD122" s="60">
        <f ca="1">100+HLOOKUP(AD$4,$D$7:$P$336,$R122,FALSE)-HLOOKUP(AD$3,$D$7:$P$336,$R122,FALSE)</f>
        <v>102</v>
      </c>
      <c r="AE122" s="60">
        <f ca="1">100+HLOOKUP(AE$4,$D$7:$P$336,$R122,FALSE)-HLOOKUP(AE$3,$D$7:$P$336,$R122,FALSE)</f>
        <v>102</v>
      </c>
      <c r="AF122" s="60">
        <f ca="1">100+HLOOKUP(AF$4,$D$7:$P$336,$R122,FALSE)-HLOOKUP(AF$3,$D$7:$P$336,$R122,FALSE)</f>
        <v>90</v>
      </c>
      <c r="AG122" s="60">
        <f ca="1">100+HLOOKUP(AG$4,$D$7:$P$336,$R122,FALSE)-HLOOKUP(AG$3,$D$7:$P$336,$R122,FALSE)</f>
        <v>90</v>
      </c>
      <c r="AH122" s="60" t="e">
        <f>100+HLOOKUP(AH$4,$D$7:$P$336,$R122,FALSE)-HLOOKUP(AH$3,$D$7:$P$336,$R122,FALSE)</f>
        <v>#N/A</v>
      </c>
      <c r="AI122" s="60" t="e">
        <f>100+HLOOKUP(AI$4,$D$7:$P$336,$R122,FALSE)-HLOOKUP(AI$3,$D$7:$P$336,$R122,FALSE)</f>
        <v>#N/A</v>
      </c>
      <c r="AJ122" s="60" t="e">
        <f>100+HLOOKUP(AJ$4,$D$7:$P$336,$R122,FALSE)-HLOOKUP(AJ$3,$D$7:$P$336,$R122,FALSE)</f>
        <v>#N/A</v>
      </c>
      <c r="AK122" s="60" t="e">
        <f>100+HLOOKUP(AK$4,$D$7:$P$336,$R122,FALSE)-HLOOKUP(AK$3,$D$7:$P$336,$R122,FALSE)</f>
        <v>#N/A</v>
      </c>
      <c r="AL122" s="60" t="e">
        <f>100+HLOOKUP(AL$4,$D$7:$P$336,$R122,FALSE)-HLOOKUP(AL$3,$D$7:$P$336,$R122,FALSE)</f>
        <v>#N/A</v>
      </c>
      <c r="AM122" s="60" t="e">
        <f>100+HLOOKUP(AM$4,$D$7:$P$336,$R122,FALSE)-HLOOKUP(AM$3,$D$7:$P$336,$R122,FALSE)</f>
        <v>#N/A</v>
      </c>
      <c r="AN122" s="60" t="e">
        <f>100+HLOOKUP(AN$4,$D$7:$P$336,$R122,FALSE)-HLOOKUP(AN$3,$D$7:$P$336,$R122,FALSE)</f>
        <v>#N/A</v>
      </c>
      <c r="AO122" s="60" t="e">
        <f>100+HLOOKUP(AO$4,$D$7:$P$336,$R122,FALSE)-HLOOKUP(AO$3,$D$7:$P$336,$R122,FALSE)</f>
        <v>#N/A</v>
      </c>
      <c r="AP122" s="60" t="e">
        <f>100+HLOOKUP(AP$4,$D$7:$P$336,$R122,FALSE)-HLOOKUP(AP$3,$D$7:$P$336,$R122,FALSE)</f>
        <v>#N/A</v>
      </c>
      <c r="AQ122" s="60" t="e">
        <f>100+HLOOKUP(AQ$4,$D$7:$P$336,$R122,FALSE)-HLOOKUP(AQ$3,$D$7:$P$336,$R122,FALSE)</f>
        <v>#N/A</v>
      </c>
      <c r="AV122" s="60">
        <f ca="1">AV$5-S122</f>
        <v>13.190399426796432</v>
      </c>
      <c r="AW122" s="60">
        <f ca="1">AW$5-T122</f>
        <v>-7.7793494702422521</v>
      </c>
      <c r="AX122" s="60">
        <f ca="1">AX$5-U122</f>
        <v>-0.22408459633194866</v>
      </c>
      <c r="AY122" s="60">
        <f ca="1">AY$5-V122</f>
        <v>3.6030144015278012</v>
      </c>
      <c r="AZ122" s="60">
        <f ca="1">AZ$5-W122</f>
        <v>-4.5455178274039696</v>
      </c>
      <c r="BA122" s="60">
        <f ca="1">BA$5-X122</f>
        <v>8.4650590589827033</v>
      </c>
      <c r="BB122" s="60">
        <f ca="1">BB$5-Y122</f>
        <v>-8.6494072726188733</v>
      </c>
      <c r="BC122" s="60">
        <f ca="1">BC$5-Z122</f>
        <v>5.4374659098821638</v>
      </c>
      <c r="BD122" s="60">
        <f ca="1">BD$5-AA122</f>
        <v>7.936518664382362</v>
      </c>
      <c r="BE122" s="60">
        <f ca="1">BE$5-AB122</f>
        <v>-10.170609408007806</v>
      </c>
      <c r="BF122" s="60">
        <f ca="1">BF$5-AC122</f>
        <v>-0.98269568352291969</v>
      </c>
      <c r="BG122" s="60">
        <f ca="1">BG$5-AD122</f>
        <v>1.9852587050185093</v>
      </c>
      <c r="BH122" s="60">
        <f ca="1">BH$5-AE122</f>
        <v>-3.0454077696324333</v>
      </c>
      <c r="BI122" s="60">
        <f ca="1">BI$5-AF122</f>
        <v>0.60850551125480479</v>
      </c>
      <c r="BJ122" s="60">
        <f ca="1">BJ$5-AG122</f>
        <v>1.43955105767877</v>
      </c>
      <c r="BK122" s="60" t="e">
        <f>BK$5-AH122</f>
        <v>#N/A</v>
      </c>
      <c r="BL122" s="60" t="e">
        <f>BL$5-AI122</f>
        <v>#N/A</v>
      </c>
      <c r="BM122" s="60" t="e">
        <f>BM$5-AJ122</f>
        <v>#N/A</v>
      </c>
      <c r="BN122" s="60" t="e">
        <f>BN$5-AK122</f>
        <v>#N/A</v>
      </c>
      <c r="BO122" s="60" t="e">
        <f>BO$5-AL122</f>
        <v>#N/A</v>
      </c>
      <c r="BP122" s="60" t="e">
        <f>BP$5-AM122</f>
        <v>#N/A</v>
      </c>
      <c r="BQ122" s="60" t="e">
        <f>BQ$5-AN122</f>
        <v>#N/A</v>
      </c>
      <c r="BR122" s="60" t="e">
        <f>BR$5-AO122</f>
        <v>#N/A</v>
      </c>
      <c r="BS122" s="60" t="e">
        <f>BS$5-AP122</f>
        <v>#N/A</v>
      </c>
      <c r="BT122" s="60" t="e">
        <f>BT$5-AQ122</f>
        <v>#N/A</v>
      </c>
      <c r="BV122" s="60" cm="1">
        <f t="array" aca="1" ref="BV122" ca="1">SQRT(SUMSQ(_xlfn._xlws.FILTER(AV122:BT122,ISNUMBER(AV122:BT122)))/COUNT(_xlfn._xlws.FILTER(AV122:BT122,ISNUMBER(AV122:BT122))))</f>
        <v>6.4667753048096417</v>
      </c>
    </row>
    <row r="123" spans="3:74" x14ac:dyDescent="0.2">
      <c r="C123" s="60" t="s">
        <v>271</v>
      </c>
      <c r="D123" s="60">
        <v>0</v>
      </c>
      <c r="E123" s="60">
        <v>2</v>
      </c>
      <c r="F123" s="60">
        <v>0</v>
      </c>
      <c r="G123" s="60">
        <v>2</v>
      </c>
      <c r="H123" s="60">
        <v>0</v>
      </c>
      <c r="I123" s="60">
        <v>2</v>
      </c>
      <c r="J123" s="60">
        <v>0</v>
      </c>
      <c r="K123" s="60">
        <v>2</v>
      </c>
      <c r="L123" s="60">
        <v>0</v>
      </c>
      <c r="M123" s="60">
        <v>2</v>
      </c>
      <c r="N123" s="60">
        <v>0</v>
      </c>
      <c r="O123" s="60">
        <v>2</v>
      </c>
      <c r="P123" s="60">
        <v>0</v>
      </c>
      <c r="R123" s="61">
        <f>(ROW(R123)-ROW($C$6))</f>
        <v>117</v>
      </c>
      <c r="S123" s="60">
        <f ca="1">100+HLOOKUP(S$4,$D$7:$P$336,$R123,FALSE)-HLOOKUP(S$3,$D$7:$P$336,$R123,FALSE)</f>
        <v>98</v>
      </c>
      <c r="T123" s="60">
        <f ca="1">100+HLOOKUP(T$4,$D$7:$P$336,$R123,FALSE)-HLOOKUP(T$3,$D$7:$P$336,$R123,FALSE)</f>
        <v>98</v>
      </c>
      <c r="U123" s="60">
        <f ca="1">100+HLOOKUP(U$4,$D$7:$P$336,$R123,FALSE)-HLOOKUP(U$3,$D$7:$P$336,$R123,FALSE)</f>
        <v>98</v>
      </c>
      <c r="V123" s="60">
        <f ca="1">100+HLOOKUP(V$4,$D$7:$P$336,$R123,FALSE)-HLOOKUP(V$3,$D$7:$P$336,$R123,FALSE)</f>
        <v>102</v>
      </c>
      <c r="W123" s="60">
        <f ca="1">100+HLOOKUP(W$4,$D$7:$P$336,$R123,FALSE)-HLOOKUP(W$3,$D$7:$P$336,$R123,FALSE)</f>
        <v>102</v>
      </c>
      <c r="X123" s="60">
        <f ca="1">100+HLOOKUP(X$4,$D$7:$P$336,$R123,FALSE)-HLOOKUP(X$3,$D$7:$P$336,$R123,FALSE)</f>
        <v>98</v>
      </c>
      <c r="Y123" s="60">
        <f ca="1">100+HLOOKUP(Y$4,$D$7:$P$336,$R123,FALSE)-HLOOKUP(Y$3,$D$7:$P$336,$R123,FALSE)</f>
        <v>98</v>
      </c>
      <c r="Z123" s="60">
        <f ca="1">100+HLOOKUP(Z$4,$D$7:$P$336,$R123,FALSE)-HLOOKUP(Z$3,$D$7:$P$336,$R123,FALSE)</f>
        <v>98</v>
      </c>
      <c r="AA123" s="60">
        <f ca="1">100+HLOOKUP(AA$4,$D$7:$P$336,$R123,FALSE)-HLOOKUP(AA$3,$D$7:$P$336,$R123,FALSE)</f>
        <v>102</v>
      </c>
      <c r="AB123" s="60">
        <f ca="1">100+HLOOKUP(AB$4,$D$7:$P$336,$R123,FALSE)-HLOOKUP(AB$3,$D$7:$P$336,$R123,FALSE)</f>
        <v>102</v>
      </c>
      <c r="AC123" s="60">
        <f ca="1">100+HLOOKUP(AC$4,$D$7:$P$336,$R123,FALSE)-HLOOKUP(AC$3,$D$7:$P$336,$R123,FALSE)</f>
        <v>102</v>
      </c>
      <c r="AD123" s="60">
        <f ca="1">100+HLOOKUP(AD$4,$D$7:$P$336,$R123,FALSE)-HLOOKUP(AD$3,$D$7:$P$336,$R123,FALSE)</f>
        <v>102</v>
      </c>
      <c r="AE123" s="60">
        <f ca="1">100+HLOOKUP(AE$4,$D$7:$P$336,$R123,FALSE)-HLOOKUP(AE$3,$D$7:$P$336,$R123,FALSE)</f>
        <v>102</v>
      </c>
      <c r="AF123" s="60">
        <f ca="1">100+HLOOKUP(AF$4,$D$7:$P$336,$R123,FALSE)-HLOOKUP(AF$3,$D$7:$P$336,$R123,FALSE)</f>
        <v>102</v>
      </c>
      <c r="AG123" s="60">
        <f ca="1">100+HLOOKUP(AG$4,$D$7:$P$336,$R123,FALSE)-HLOOKUP(AG$3,$D$7:$P$336,$R123,FALSE)</f>
        <v>102</v>
      </c>
      <c r="AH123" s="60" t="e">
        <f>100+HLOOKUP(AH$4,$D$7:$P$336,$R123,FALSE)-HLOOKUP(AH$3,$D$7:$P$336,$R123,FALSE)</f>
        <v>#N/A</v>
      </c>
      <c r="AI123" s="60" t="e">
        <f>100+HLOOKUP(AI$4,$D$7:$P$336,$R123,FALSE)-HLOOKUP(AI$3,$D$7:$P$336,$R123,FALSE)</f>
        <v>#N/A</v>
      </c>
      <c r="AJ123" s="60" t="e">
        <f>100+HLOOKUP(AJ$4,$D$7:$P$336,$R123,FALSE)-HLOOKUP(AJ$3,$D$7:$P$336,$R123,FALSE)</f>
        <v>#N/A</v>
      </c>
      <c r="AK123" s="60" t="e">
        <f>100+HLOOKUP(AK$4,$D$7:$P$336,$R123,FALSE)-HLOOKUP(AK$3,$D$7:$P$336,$R123,FALSE)</f>
        <v>#N/A</v>
      </c>
      <c r="AL123" s="60" t="e">
        <f>100+HLOOKUP(AL$4,$D$7:$P$336,$R123,FALSE)-HLOOKUP(AL$3,$D$7:$P$336,$R123,FALSE)</f>
        <v>#N/A</v>
      </c>
      <c r="AM123" s="60" t="e">
        <f>100+HLOOKUP(AM$4,$D$7:$P$336,$R123,FALSE)-HLOOKUP(AM$3,$D$7:$P$336,$R123,FALSE)</f>
        <v>#N/A</v>
      </c>
      <c r="AN123" s="60" t="e">
        <f>100+HLOOKUP(AN$4,$D$7:$P$336,$R123,FALSE)-HLOOKUP(AN$3,$D$7:$P$336,$R123,FALSE)</f>
        <v>#N/A</v>
      </c>
      <c r="AO123" s="60" t="e">
        <f>100+HLOOKUP(AO$4,$D$7:$P$336,$R123,FALSE)-HLOOKUP(AO$3,$D$7:$P$336,$R123,FALSE)</f>
        <v>#N/A</v>
      </c>
      <c r="AP123" s="60" t="e">
        <f>100+HLOOKUP(AP$4,$D$7:$P$336,$R123,FALSE)-HLOOKUP(AP$3,$D$7:$P$336,$R123,FALSE)</f>
        <v>#N/A</v>
      </c>
      <c r="AQ123" s="60" t="e">
        <f>100+HLOOKUP(AQ$4,$D$7:$P$336,$R123,FALSE)-HLOOKUP(AQ$3,$D$7:$P$336,$R123,FALSE)</f>
        <v>#N/A</v>
      </c>
      <c r="AV123" s="60">
        <f ca="1">AV$5-S123</f>
        <v>5.1903994267964322</v>
      </c>
      <c r="AW123" s="60">
        <f ca="1">AW$5-T123</f>
        <v>-3.7793494702422521</v>
      </c>
      <c r="AX123" s="60">
        <f ca="1">AX$5-U123</f>
        <v>3.7759154036680513</v>
      </c>
      <c r="AY123" s="60">
        <f ca="1">AY$5-V123</f>
        <v>-8.3969855984721988</v>
      </c>
      <c r="AZ123" s="60">
        <f ca="1">AZ$5-W123</f>
        <v>-4.5455178274039696</v>
      </c>
      <c r="BA123" s="60">
        <f ca="1">BA$5-X123</f>
        <v>0.46505905898270328</v>
      </c>
      <c r="BB123" s="60">
        <f ca="1">BB$5-Y123</f>
        <v>-4.6494072726188733</v>
      </c>
      <c r="BC123" s="60">
        <f ca="1">BC$5-Z123</f>
        <v>9.4374659098821638</v>
      </c>
      <c r="BD123" s="60">
        <f ca="1">BD$5-AA123</f>
        <v>-4.063481335617638</v>
      </c>
      <c r="BE123" s="60">
        <f ca="1">BE$5-AB123</f>
        <v>-10.170609408007806</v>
      </c>
      <c r="BF123" s="60">
        <f ca="1">BF$5-AC123</f>
        <v>-0.98269568352291969</v>
      </c>
      <c r="BG123" s="60">
        <f ca="1">BG$5-AD123</f>
        <v>1.9852587050185093</v>
      </c>
      <c r="BH123" s="60">
        <f ca="1">BH$5-AE123</f>
        <v>-3.0454077696324333</v>
      </c>
      <c r="BI123" s="60">
        <f ca="1">BI$5-AF123</f>
        <v>-11.391494488745195</v>
      </c>
      <c r="BJ123" s="60">
        <f ca="1">BJ$5-AG123</f>
        <v>-10.56044894232123</v>
      </c>
      <c r="BK123" s="60" t="e">
        <f>BK$5-AH123</f>
        <v>#N/A</v>
      </c>
      <c r="BL123" s="60" t="e">
        <f>BL$5-AI123</f>
        <v>#N/A</v>
      </c>
      <c r="BM123" s="60" t="e">
        <f>BM$5-AJ123</f>
        <v>#N/A</v>
      </c>
      <c r="BN123" s="60" t="e">
        <f>BN$5-AK123</f>
        <v>#N/A</v>
      </c>
      <c r="BO123" s="60" t="e">
        <f>BO$5-AL123</f>
        <v>#N/A</v>
      </c>
      <c r="BP123" s="60" t="e">
        <f>BP$5-AM123</f>
        <v>#N/A</v>
      </c>
      <c r="BQ123" s="60" t="e">
        <f>BQ$5-AN123</f>
        <v>#N/A</v>
      </c>
      <c r="BR123" s="60" t="e">
        <f>BR$5-AO123</f>
        <v>#N/A</v>
      </c>
      <c r="BS123" s="60" t="e">
        <f>BS$5-AP123</f>
        <v>#N/A</v>
      </c>
      <c r="BT123" s="60" t="e">
        <f>BT$5-AQ123</f>
        <v>#N/A</v>
      </c>
      <c r="BV123" s="60" cm="1">
        <f t="array" aca="1" ref="BV123" ca="1">SQRT(SUMSQ(_xlfn._xlws.FILTER(AV123:BT123,ISNUMBER(AV123:BT123)))/COUNT(_xlfn._xlws.FILTER(AV123:BT123,ISNUMBER(AV123:BT123))))</f>
        <v>6.4960257193673643</v>
      </c>
    </row>
    <row r="124" spans="3:74" x14ac:dyDescent="0.2">
      <c r="C124" s="60" t="s">
        <v>300</v>
      </c>
      <c r="D124" s="60">
        <v>0</v>
      </c>
      <c r="E124" s="60">
        <v>2</v>
      </c>
      <c r="F124" s="60">
        <v>0</v>
      </c>
      <c r="G124" s="60">
        <v>2</v>
      </c>
      <c r="H124" s="60">
        <v>0</v>
      </c>
      <c r="I124" s="60">
        <v>2</v>
      </c>
      <c r="J124" s="60">
        <v>0</v>
      </c>
      <c r="K124" s="60">
        <v>2</v>
      </c>
      <c r="L124" s="60">
        <v>0</v>
      </c>
      <c r="M124" s="60">
        <v>2</v>
      </c>
      <c r="N124" s="60">
        <v>0</v>
      </c>
      <c r="O124" s="60">
        <v>2</v>
      </c>
      <c r="P124" s="60">
        <v>0</v>
      </c>
      <c r="R124" s="61">
        <f>(ROW(R124)-ROW($C$6))</f>
        <v>118</v>
      </c>
      <c r="S124" s="60">
        <f ca="1">100+HLOOKUP(S$4,$D$7:$P$336,$R124,FALSE)-HLOOKUP(S$3,$D$7:$P$336,$R124,FALSE)</f>
        <v>98</v>
      </c>
      <c r="T124" s="60">
        <f ca="1">100+HLOOKUP(T$4,$D$7:$P$336,$R124,FALSE)-HLOOKUP(T$3,$D$7:$P$336,$R124,FALSE)</f>
        <v>98</v>
      </c>
      <c r="U124" s="60">
        <f ca="1">100+HLOOKUP(U$4,$D$7:$P$336,$R124,FALSE)-HLOOKUP(U$3,$D$7:$P$336,$R124,FALSE)</f>
        <v>98</v>
      </c>
      <c r="V124" s="60">
        <f ca="1">100+HLOOKUP(V$4,$D$7:$P$336,$R124,FALSE)-HLOOKUP(V$3,$D$7:$P$336,$R124,FALSE)</f>
        <v>102</v>
      </c>
      <c r="W124" s="60">
        <f ca="1">100+HLOOKUP(W$4,$D$7:$P$336,$R124,FALSE)-HLOOKUP(W$3,$D$7:$P$336,$R124,FALSE)</f>
        <v>102</v>
      </c>
      <c r="X124" s="60">
        <f ca="1">100+HLOOKUP(X$4,$D$7:$P$336,$R124,FALSE)-HLOOKUP(X$3,$D$7:$P$336,$R124,FALSE)</f>
        <v>98</v>
      </c>
      <c r="Y124" s="60">
        <f ca="1">100+HLOOKUP(Y$4,$D$7:$P$336,$R124,FALSE)-HLOOKUP(Y$3,$D$7:$P$336,$R124,FALSE)</f>
        <v>98</v>
      </c>
      <c r="Z124" s="60">
        <f ca="1">100+HLOOKUP(Z$4,$D$7:$P$336,$R124,FALSE)-HLOOKUP(Z$3,$D$7:$P$336,$R124,FALSE)</f>
        <v>98</v>
      </c>
      <c r="AA124" s="60">
        <f ca="1">100+HLOOKUP(AA$4,$D$7:$P$336,$R124,FALSE)-HLOOKUP(AA$3,$D$7:$P$336,$R124,FALSE)</f>
        <v>102</v>
      </c>
      <c r="AB124" s="60">
        <f ca="1">100+HLOOKUP(AB$4,$D$7:$P$336,$R124,FALSE)-HLOOKUP(AB$3,$D$7:$P$336,$R124,FALSE)</f>
        <v>102</v>
      </c>
      <c r="AC124" s="60">
        <f ca="1">100+HLOOKUP(AC$4,$D$7:$P$336,$R124,FALSE)-HLOOKUP(AC$3,$D$7:$P$336,$R124,FALSE)</f>
        <v>102</v>
      </c>
      <c r="AD124" s="60">
        <f ca="1">100+HLOOKUP(AD$4,$D$7:$P$336,$R124,FALSE)-HLOOKUP(AD$3,$D$7:$P$336,$R124,FALSE)</f>
        <v>102</v>
      </c>
      <c r="AE124" s="60">
        <f ca="1">100+HLOOKUP(AE$4,$D$7:$P$336,$R124,FALSE)-HLOOKUP(AE$3,$D$7:$P$336,$R124,FALSE)</f>
        <v>102</v>
      </c>
      <c r="AF124" s="60">
        <f ca="1">100+HLOOKUP(AF$4,$D$7:$P$336,$R124,FALSE)-HLOOKUP(AF$3,$D$7:$P$336,$R124,FALSE)</f>
        <v>102</v>
      </c>
      <c r="AG124" s="60">
        <f ca="1">100+HLOOKUP(AG$4,$D$7:$P$336,$R124,FALSE)-HLOOKUP(AG$3,$D$7:$P$336,$R124,FALSE)</f>
        <v>102</v>
      </c>
      <c r="AH124" s="60" t="e">
        <f>100+HLOOKUP(AH$4,$D$7:$P$336,$R124,FALSE)-HLOOKUP(AH$3,$D$7:$P$336,$R124,FALSE)</f>
        <v>#N/A</v>
      </c>
      <c r="AI124" s="60" t="e">
        <f>100+HLOOKUP(AI$4,$D$7:$P$336,$R124,FALSE)-HLOOKUP(AI$3,$D$7:$P$336,$R124,FALSE)</f>
        <v>#N/A</v>
      </c>
      <c r="AJ124" s="60" t="e">
        <f>100+HLOOKUP(AJ$4,$D$7:$P$336,$R124,FALSE)-HLOOKUP(AJ$3,$D$7:$P$336,$R124,FALSE)</f>
        <v>#N/A</v>
      </c>
      <c r="AK124" s="60" t="e">
        <f>100+HLOOKUP(AK$4,$D$7:$P$336,$R124,FALSE)-HLOOKUP(AK$3,$D$7:$P$336,$R124,FALSE)</f>
        <v>#N/A</v>
      </c>
      <c r="AL124" s="60" t="e">
        <f>100+HLOOKUP(AL$4,$D$7:$P$336,$R124,FALSE)-HLOOKUP(AL$3,$D$7:$P$336,$R124,FALSE)</f>
        <v>#N/A</v>
      </c>
      <c r="AM124" s="60" t="e">
        <f>100+HLOOKUP(AM$4,$D$7:$P$336,$R124,FALSE)-HLOOKUP(AM$3,$D$7:$P$336,$R124,FALSE)</f>
        <v>#N/A</v>
      </c>
      <c r="AN124" s="60" t="e">
        <f>100+HLOOKUP(AN$4,$D$7:$P$336,$R124,FALSE)-HLOOKUP(AN$3,$D$7:$P$336,$R124,FALSE)</f>
        <v>#N/A</v>
      </c>
      <c r="AO124" s="60" t="e">
        <f>100+HLOOKUP(AO$4,$D$7:$P$336,$R124,FALSE)-HLOOKUP(AO$3,$D$7:$P$336,$R124,FALSE)</f>
        <v>#N/A</v>
      </c>
      <c r="AP124" s="60" t="e">
        <f>100+HLOOKUP(AP$4,$D$7:$P$336,$R124,FALSE)-HLOOKUP(AP$3,$D$7:$P$336,$R124,FALSE)</f>
        <v>#N/A</v>
      </c>
      <c r="AQ124" s="60" t="e">
        <f>100+HLOOKUP(AQ$4,$D$7:$P$336,$R124,FALSE)-HLOOKUP(AQ$3,$D$7:$P$336,$R124,FALSE)</f>
        <v>#N/A</v>
      </c>
      <c r="AV124" s="60">
        <f ca="1">AV$5-S124</f>
        <v>5.1903994267964322</v>
      </c>
      <c r="AW124" s="60">
        <f ca="1">AW$5-T124</f>
        <v>-3.7793494702422521</v>
      </c>
      <c r="AX124" s="60">
        <f ca="1">AX$5-U124</f>
        <v>3.7759154036680513</v>
      </c>
      <c r="AY124" s="60">
        <f ca="1">AY$5-V124</f>
        <v>-8.3969855984721988</v>
      </c>
      <c r="AZ124" s="60">
        <f ca="1">AZ$5-W124</f>
        <v>-4.5455178274039696</v>
      </c>
      <c r="BA124" s="60">
        <f ca="1">BA$5-X124</f>
        <v>0.46505905898270328</v>
      </c>
      <c r="BB124" s="60">
        <f ca="1">BB$5-Y124</f>
        <v>-4.6494072726188733</v>
      </c>
      <c r="BC124" s="60">
        <f ca="1">BC$5-Z124</f>
        <v>9.4374659098821638</v>
      </c>
      <c r="BD124" s="60">
        <f ca="1">BD$5-AA124</f>
        <v>-4.063481335617638</v>
      </c>
      <c r="BE124" s="60">
        <f ca="1">BE$5-AB124</f>
        <v>-10.170609408007806</v>
      </c>
      <c r="BF124" s="60">
        <f ca="1">BF$5-AC124</f>
        <v>-0.98269568352291969</v>
      </c>
      <c r="BG124" s="60">
        <f ca="1">BG$5-AD124</f>
        <v>1.9852587050185093</v>
      </c>
      <c r="BH124" s="60">
        <f ca="1">BH$5-AE124</f>
        <v>-3.0454077696324333</v>
      </c>
      <c r="BI124" s="60">
        <f ca="1">BI$5-AF124</f>
        <v>-11.391494488745195</v>
      </c>
      <c r="BJ124" s="60">
        <f ca="1">BJ$5-AG124</f>
        <v>-10.56044894232123</v>
      </c>
      <c r="BK124" s="60" t="e">
        <f>BK$5-AH124</f>
        <v>#N/A</v>
      </c>
      <c r="BL124" s="60" t="e">
        <f>BL$5-AI124</f>
        <v>#N/A</v>
      </c>
      <c r="BM124" s="60" t="e">
        <f>BM$5-AJ124</f>
        <v>#N/A</v>
      </c>
      <c r="BN124" s="60" t="e">
        <f>BN$5-AK124</f>
        <v>#N/A</v>
      </c>
      <c r="BO124" s="60" t="e">
        <f>BO$5-AL124</f>
        <v>#N/A</v>
      </c>
      <c r="BP124" s="60" t="e">
        <f>BP$5-AM124</f>
        <v>#N/A</v>
      </c>
      <c r="BQ124" s="60" t="e">
        <f>BQ$5-AN124</f>
        <v>#N/A</v>
      </c>
      <c r="BR124" s="60" t="e">
        <f>BR$5-AO124</f>
        <v>#N/A</v>
      </c>
      <c r="BS124" s="60" t="e">
        <f>BS$5-AP124</f>
        <v>#N/A</v>
      </c>
      <c r="BT124" s="60" t="e">
        <f>BT$5-AQ124</f>
        <v>#N/A</v>
      </c>
      <c r="BV124" s="60" cm="1">
        <f t="array" aca="1" ref="BV124" ca="1">SQRT(SUMSQ(_xlfn._xlws.FILTER(AV124:BT124,ISNUMBER(AV124:BT124)))/COUNT(_xlfn._xlws.FILTER(AV124:BT124,ISNUMBER(AV124:BT124))))</f>
        <v>6.4960257193673643</v>
      </c>
    </row>
    <row r="125" spans="3:74" x14ac:dyDescent="0.2">
      <c r="C125" s="60" t="s">
        <v>466</v>
      </c>
      <c r="D125" s="60">
        <v>0</v>
      </c>
      <c r="E125" s="60">
        <v>-2</v>
      </c>
      <c r="F125" s="60">
        <v>-4</v>
      </c>
      <c r="G125" s="60">
        <v>-6</v>
      </c>
      <c r="H125" s="60">
        <v>-8</v>
      </c>
      <c r="I125" s="60">
        <v>-10</v>
      </c>
      <c r="J125" s="60">
        <v>-12</v>
      </c>
      <c r="K125" s="60">
        <v>-10</v>
      </c>
      <c r="L125" s="60">
        <v>-8</v>
      </c>
      <c r="M125" s="60">
        <v>-6</v>
      </c>
      <c r="N125" s="60">
        <v>-4</v>
      </c>
      <c r="O125" s="60">
        <v>-2</v>
      </c>
      <c r="P125" s="60">
        <v>0</v>
      </c>
      <c r="R125" s="61">
        <f>(ROW(R125)-ROW($C$6))</f>
        <v>119</v>
      </c>
      <c r="S125" s="60">
        <f ca="1">100+HLOOKUP(S$4,$D$7:$P$336,$R125,FALSE)-HLOOKUP(S$3,$D$7:$P$336,$R125,FALSE)</f>
        <v>98</v>
      </c>
      <c r="T125" s="60">
        <f ca="1">100+HLOOKUP(T$4,$D$7:$P$336,$R125,FALSE)-HLOOKUP(T$3,$D$7:$P$336,$R125,FALSE)</f>
        <v>90</v>
      </c>
      <c r="U125" s="60">
        <f ca="1">100+HLOOKUP(U$4,$D$7:$P$336,$R125,FALSE)-HLOOKUP(U$3,$D$7:$P$336,$R125,FALSE)</f>
        <v>94</v>
      </c>
      <c r="V125" s="60">
        <f ca="1">100+HLOOKUP(V$4,$D$7:$P$336,$R125,FALSE)-HLOOKUP(V$3,$D$7:$P$336,$R125,FALSE)</f>
        <v>94</v>
      </c>
      <c r="W125" s="60">
        <f ca="1">100+HLOOKUP(W$4,$D$7:$P$336,$R125,FALSE)-HLOOKUP(W$3,$D$7:$P$336,$R125,FALSE)</f>
        <v>90</v>
      </c>
      <c r="X125" s="60">
        <f ca="1">100+HLOOKUP(X$4,$D$7:$P$336,$R125,FALSE)-HLOOKUP(X$3,$D$7:$P$336,$R125,FALSE)</f>
        <v>98</v>
      </c>
      <c r="Y125" s="60">
        <f ca="1">100+HLOOKUP(Y$4,$D$7:$P$336,$R125,FALSE)-HLOOKUP(Y$3,$D$7:$P$336,$R125,FALSE)</f>
        <v>90</v>
      </c>
      <c r="Z125" s="60">
        <f ca="1">100+HLOOKUP(Z$4,$D$7:$P$336,$R125,FALSE)-HLOOKUP(Z$3,$D$7:$P$336,$R125,FALSE)</f>
        <v>94</v>
      </c>
      <c r="AA125" s="60">
        <f ca="1">100+HLOOKUP(AA$4,$D$7:$P$336,$R125,FALSE)-HLOOKUP(AA$3,$D$7:$P$336,$R125,FALSE)</f>
        <v>94</v>
      </c>
      <c r="AB125" s="60">
        <f ca="1">100+HLOOKUP(AB$4,$D$7:$P$336,$R125,FALSE)-HLOOKUP(AB$3,$D$7:$P$336,$R125,FALSE)</f>
        <v>90</v>
      </c>
      <c r="AC125" s="60">
        <f ca="1">100+HLOOKUP(AC$4,$D$7:$P$336,$R125,FALSE)-HLOOKUP(AC$3,$D$7:$P$336,$R125,FALSE)</f>
        <v>98</v>
      </c>
      <c r="AD125" s="60">
        <f ca="1">100+HLOOKUP(AD$4,$D$7:$P$336,$R125,FALSE)-HLOOKUP(AD$3,$D$7:$P$336,$R125,FALSE)</f>
        <v>106</v>
      </c>
      <c r="AE125" s="60">
        <f ca="1">100+HLOOKUP(AE$4,$D$7:$P$336,$R125,FALSE)-HLOOKUP(AE$3,$D$7:$P$336,$R125,FALSE)</f>
        <v>110</v>
      </c>
      <c r="AF125" s="60">
        <f ca="1">100+HLOOKUP(AF$4,$D$7:$P$336,$R125,FALSE)-HLOOKUP(AF$3,$D$7:$P$336,$R125,FALSE)</f>
        <v>102</v>
      </c>
      <c r="AG125" s="60">
        <f ca="1">100+HLOOKUP(AG$4,$D$7:$P$336,$R125,FALSE)-HLOOKUP(AG$3,$D$7:$P$336,$R125,FALSE)</f>
        <v>94</v>
      </c>
      <c r="AH125" s="60" t="e">
        <f>100+HLOOKUP(AH$4,$D$7:$P$336,$R125,FALSE)-HLOOKUP(AH$3,$D$7:$P$336,$R125,FALSE)</f>
        <v>#N/A</v>
      </c>
      <c r="AI125" s="60" t="e">
        <f>100+HLOOKUP(AI$4,$D$7:$P$336,$R125,FALSE)-HLOOKUP(AI$3,$D$7:$P$336,$R125,FALSE)</f>
        <v>#N/A</v>
      </c>
      <c r="AJ125" s="60" t="e">
        <f>100+HLOOKUP(AJ$4,$D$7:$P$336,$R125,FALSE)-HLOOKUP(AJ$3,$D$7:$P$336,$R125,FALSE)</f>
        <v>#N/A</v>
      </c>
      <c r="AK125" s="60" t="e">
        <f>100+HLOOKUP(AK$4,$D$7:$P$336,$R125,FALSE)-HLOOKUP(AK$3,$D$7:$P$336,$R125,FALSE)</f>
        <v>#N/A</v>
      </c>
      <c r="AL125" s="60" t="e">
        <f>100+HLOOKUP(AL$4,$D$7:$P$336,$R125,FALSE)-HLOOKUP(AL$3,$D$7:$P$336,$R125,FALSE)</f>
        <v>#N/A</v>
      </c>
      <c r="AM125" s="60" t="e">
        <f>100+HLOOKUP(AM$4,$D$7:$P$336,$R125,FALSE)-HLOOKUP(AM$3,$D$7:$P$336,$R125,FALSE)</f>
        <v>#N/A</v>
      </c>
      <c r="AN125" s="60" t="e">
        <f>100+HLOOKUP(AN$4,$D$7:$P$336,$R125,FALSE)-HLOOKUP(AN$3,$D$7:$P$336,$R125,FALSE)</f>
        <v>#N/A</v>
      </c>
      <c r="AO125" s="60" t="e">
        <f>100+HLOOKUP(AO$4,$D$7:$P$336,$R125,FALSE)-HLOOKUP(AO$3,$D$7:$P$336,$R125,FALSE)</f>
        <v>#N/A</v>
      </c>
      <c r="AP125" s="60" t="e">
        <f>100+HLOOKUP(AP$4,$D$7:$P$336,$R125,FALSE)-HLOOKUP(AP$3,$D$7:$P$336,$R125,FALSE)</f>
        <v>#N/A</v>
      </c>
      <c r="AQ125" s="60" t="e">
        <f>100+HLOOKUP(AQ$4,$D$7:$P$336,$R125,FALSE)-HLOOKUP(AQ$3,$D$7:$P$336,$R125,FALSE)</f>
        <v>#N/A</v>
      </c>
      <c r="AV125" s="60">
        <f ca="1">AV$5-S125</f>
        <v>5.1903994267964322</v>
      </c>
      <c r="AW125" s="60">
        <f ca="1">AW$5-T125</f>
        <v>4.2206505297577479</v>
      </c>
      <c r="AX125" s="60">
        <f ca="1">AX$5-U125</f>
        <v>7.7759154036680513</v>
      </c>
      <c r="AY125" s="60">
        <f ca="1">AY$5-V125</f>
        <v>-0.39698559847219883</v>
      </c>
      <c r="AZ125" s="60">
        <f ca="1">AZ$5-W125</f>
        <v>7.4544821725960304</v>
      </c>
      <c r="BA125" s="60">
        <f ca="1">BA$5-X125</f>
        <v>0.46505905898270328</v>
      </c>
      <c r="BB125" s="60">
        <f ca="1">BB$5-Y125</f>
        <v>3.3505927273811267</v>
      </c>
      <c r="BC125" s="60">
        <f ca="1">BC$5-Z125</f>
        <v>13.437465909882164</v>
      </c>
      <c r="BD125" s="60">
        <f ca="1">BD$5-AA125</f>
        <v>3.936518664382362</v>
      </c>
      <c r="BE125" s="60">
        <f ca="1">BE$5-AB125</f>
        <v>1.829390591992194</v>
      </c>
      <c r="BF125" s="60">
        <f ca="1">BF$5-AC125</f>
        <v>3.0173043164770803</v>
      </c>
      <c r="BG125" s="60">
        <f ca="1">BG$5-AD125</f>
        <v>-2.0147412949814907</v>
      </c>
      <c r="BH125" s="60">
        <f ca="1">BH$5-AE125</f>
        <v>-11.045407769632433</v>
      </c>
      <c r="BI125" s="60">
        <f ca="1">BI$5-AF125</f>
        <v>-11.391494488745195</v>
      </c>
      <c r="BJ125" s="60">
        <f ca="1">BJ$5-AG125</f>
        <v>-2.56044894232123</v>
      </c>
      <c r="BK125" s="60" t="e">
        <f>BK$5-AH125</f>
        <v>#N/A</v>
      </c>
      <c r="BL125" s="60" t="e">
        <f>BL$5-AI125</f>
        <v>#N/A</v>
      </c>
      <c r="BM125" s="60" t="e">
        <f>BM$5-AJ125</f>
        <v>#N/A</v>
      </c>
      <c r="BN125" s="60" t="e">
        <f>BN$5-AK125</f>
        <v>#N/A</v>
      </c>
      <c r="BO125" s="60" t="e">
        <f>BO$5-AL125</f>
        <v>#N/A</v>
      </c>
      <c r="BP125" s="60" t="e">
        <f>BP$5-AM125</f>
        <v>#N/A</v>
      </c>
      <c r="BQ125" s="60" t="e">
        <f>BQ$5-AN125</f>
        <v>#N/A</v>
      </c>
      <c r="BR125" s="60" t="e">
        <f>BR$5-AO125</f>
        <v>#N/A</v>
      </c>
      <c r="BS125" s="60" t="e">
        <f>BS$5-AP125</f>
        <v>#N/A</v>
      </c>
      <c r="BT125" s="60" t="e">
        <f>BT$5-AQ125</f>
        <v>#N/A</v>
      </c>
      <c r="BV125" s="60" cm="1">
        <f t="array" aca="1" ref="BV125" ca="1">SQRT(SUMSQ(_xlfn._xlws.FILTER(AV125:BT125,ISNUMBER(AV125:BT125)))/COUNT(_xlfn._xlws.FILTER(AV125:BT125,ISNUMBER(AV125:BT125))))</f>
        <v>6.5487066222076029</v>
      </c>
    </row>
    <row r="126" spans="3:74" x14ac:dyDescent="0.2">
      <c r="C126" s="60" t="s">
        <v>447</v>
      </c>
      <c r="D126" s="60">
        <v>0</v>
      </c>
      <c r="E126" s="60">
        <v>-1</v>
      </c>
      <c r="F126" s="60">
        <v>-13</v>
      </c>
      <c r="G126" s="60">
        <v>-8</v>
      </c>
      <c r="H126" s="60">
        <v>-6</v>
      </c>
      <c r="I126" s="60">
        <v>-4</v>
      </c>
      <c r="J126" s="60">
        <v>-5</v>
      </c>
      <c r="K126" s="60">
        <v>-10</v>
      </c>
      <c r="L126" s="60">
        <v>-8</v>
      </c>
      <c r="M126" s="60">
        <v>-3</v>
      </c>
      <c r="N126" s="60">
        <v>-1</v>
      </c>
      <c r="O126" s="60">
        <v>-2</v>
      </c>
      <c r="P126" s="60">
        <v>0</v>
      </c>
      <c r="R126" s="61">
        <f>(ROW(R126)-ROW($C$6))</f>
        <v>120</v>
      </c>
      <c r="S126" s="60">
        <f ca="1">100+HLOOKUP(S$4,$D$7:$P$336,$R126,FALSE)-HLOOKUP(S$3,$D$7:$P$336,$R126,FALSE)</f>
        <v>97</v>
      </c>
      <c r="T126" s="60">
        <f ca="1">100+HLOOKUP(T$4,$D$7:$P$336,$R126,FALSE)-HLOOKUP(T$3,$D$7:$P$336,$R126,FALSE)</f>
        <v>97</v>
      </c>
      <c r="U126" s="60">
        <f ca="1">100+HLOOKUP(U$4,$D$7:$P$336,$R126,FALSE)-HLOOKUP(U$3,$D$7:$P$336,$R126,FALSE)</f>
        <v>93</v>
      </c>
      <c r="V126" s="60">
        <f ca="1">100+HLOOKUP(V$4,$D$7:$P$336,$R126,FALSE)-HLOOKUP(V$3,$D$7:$P$336,$R126,FALSE)</f>
        <v>97</v>
      </c>
      <c r="W126" s="60">
        <f ca="1">100+HLOOKUP(W$4,$D$7:$P$336,$R126,FALSE)-HLOOKUP(W$3,$D$7:$P$336,$R126,FALSE)</f>
        <v>90</v>
      </c>
      <c r="X126" s="60">
        <f ca="1">100+HLOOKUP(X$4,$D$7:$P$336,$R126,FALSE)-HLOOKUP(X$3,$D$7:$P$336,$R126,FALSE)</f>
        <v>97</v>
      </c>
      <c r="Y126" s="60">
        <f ca="1">100+HLOOKUP(Y$4,$D$7:$P$336,$R126,FALSE)-HLOOKUP(Y$3,$D$7:$P$336,$R126,FALSE)</f>
        <v>97</v>
      </c>
      <c r="Z126" s="60">
        <f ca="1">100+HLOOKUP(Z$4,$D$7:$P$336,$R126,FALSE)-HLOOKUP(Z$3,$D$7:$P$336,$R126,FALSE)</f>
        <v>93</v>
      </c>
      <c r="AA126" s="60">
        <f ca="1">100+HLOOKUP(AA$4,$D$7:$P$336,$R126,FALSE)-HLOOKUP(AA$3,$D$7:$P$336,$R126,FALSE)</f>
        <v>97</v>
      </c>
      <c r="AB126" s="60">
        <f ca="1">100+HLOOKUP(AB$4,$D$7:$P$336,$R126,FALSE)-HLOOKUP(AB$3,$D$7:$P$336,$R126,FALSE)</f>
        <v>90</v>
      </c>
      <c r="AC126" s="60">
        <f ca="1">100+HLOOKUP(AC$4,$D$7:$P$336,$R126,FALSE)-HLOOKUP(AC$3,$D$7:$P$336,$R126,FALSE)</f>
        <v>110</v>
      </c>
      <c r="AD126" s="60">
        <f ca="1">100+HLOOKUP(AD$4,$D$7:$P$336,$R126,FALSE)-HLOOKUP(AD$3,$D$7:$P$336,$R126,FALSE)</f>
        <v>104</v>
      </c>
      <c r="AE126" s="60">
        <f ca="1">100+HLOOKUP(AE$4,$D$7:$P$336,$R126,FALSE)-HLOOKUP(AE$3,$D$7:$P$336,$R126,FALSE)</f>
        <v>104</v>
      </c>
      <c r="AF126" s="60">
        <f ca="1">100+HLOOKUP(AF$4,$D$7:$P$336,$R126,FALSE)-HLOOKUP(AF$3,$D$7:$P$336,$R126,FALSE)</f>
        <v>100</v>
      </c>
      <c r="AG126" s="60">
        <f ca="1">100+HLOOKUP(AG$4,$D$7:$P$336,$R126,FALSE)-HLOOKUP(AG$3,$D$7:$P$336,$R126,FALSE)</f>
        <v>97</v>
      </c>
      <c r="AH126" s="60" t="e">
        <f>100+HLOOKUP(AH$4,$D$7:$P$336,$R126,FALSE)-HLOOKUP(AH$3,$D$7:$P$336,$R126,FALSE)</f>
        <v>#N/A</v>
      </c>
      <c r="AI126" s="60" t="e">
        <f>100+HLOOKUP(AI$4,$D$7:$P$336,$R126,FALSE)-HLOOKUP(AI$3,$D$7:$P$336,$R126,FALSE)</f>
        <v>#N/A</v>
      </c>
      <c r="AJ126" s="60" t="e">
        <f>100+HLOOKUP(AJ$4,$D$7:$P$336,$R126,FALSE)-HLOOKUP(AJ$3,$D$7:$P$336,$R126,FALSE)</f>
        <v>#N/A</v>
      </c>
      <c r="AK126" s="60" t="e">
        <f>100+HLOOKUP(AK$4,$D$7:$P$336,$R126,FALSE)-HLOOKUP(AK$3,$D$7:$P$336,$R126,FALSE)</f>
        <v>#N/A</v>
      </c>
      <c r="AL126" s="60" t="e">
        <f>100+HLOOKUP(AL$4,$D$7:$P$336,$R126,FALSE)-HLOOKUP(AL$3,$D$7:$P$336,$R126,FALSE)</f>
        <v>#N/A</v>
      </c>
      <c r="AM126" s="60" t="e">
        <f>100+HLOOKUP(AM$4,$D$7:$P$336,$R126,FALSE)-HLOOKUP(AM$3,$D$7:$P$336,$R126,FALSE)</f>
        <v>#N/A</v>
      </c>
      <c r="AN126" s="60" t="e">
        <f>100+HLOOKUP(AN$4,$D$7:$P$336,$R126,FALSE)-HLOOKUP(AN$3,$D$7:$P$336,$R126,FALSE)</f>
        <v>#N/A</v>
      </c>
      <c r="AO126" s="60" t="e">
        <f>100+HLOOKUP(AO$4,$D$7:$P$336,$R126,FALSE)-HLOOKUP(AO$3,$D$7:$P$336,$R126,FALSE)</f>
        <v>#N/A</v>
      </c>
      <c r="AP126" s="60" t="e">
        <f>100+HLOOKUP(AP$4,$D$7:$P$336,$R126,FALSE)-HLOOKUP(AP$3,$D$7:$P$336,$R126,FALSE)</f>
        <v>#N/A</v>
      </c>
      <c r="AQ126" s="60" t="e">
        <f>100+HLOOKUP(AQ$4,$D$7:$P$336,$R126,FALSE)-HLOOKUP(AQ$3,$D$7:$P$336,$R126,FALSE)</f>
        <v>#N/A</v>
      </c>
      <c r="AV126" s="60">
        <f ca="1">AV$5-S126</f>
        <v>6.1903994267964322</v>
      </c>
      <c r="AW126" s="60">
        <f ca="1">AW$5-T126</f>
        <v>-2.7793494702422521</v>
      </c>
      <c r="AX126" s="60">
        <f ca="1">AX$5-U126</f>
        <v>8.7759154036680513</v>
      </c>
      <c r="AY126" s="60">
        <f ca="1">AY$5-V126</f>
        <v>-3.3969855984721988</v>
      </c>
      <c r="AZ126" s="60">
        <f ca="1">AZ$5-W126</f>
        <v>7.4544821725960304</v>
      </c>
      <c r="BA126" s="60">
        <f ca="1">BA$5-X126</f>
        <v>1.4650590589827033</v>
      </c>
      <c r="BB126" s="60">
        <f ca="1">BB$5-Y126</f>
        <v>-3.6494072726188733</v>
      </c>
      <c r="BC126" s="60">
        <f ca="1">BC$5-Z126</f>
        <v>14.437465909882164</v>
      </c>
      <c r="BD126" s="60">
        <f ca="1">BD$5-AA126</f>
        <v>0.93651866438236198</v>
      </c>
      <c r="BE126" s="60">
        <f ca="1">BE$5-AB126</f>
        <v>1.829390591992194</v>
      </c>
      <c r="BF126" s="60">
        <f ca="1">BF$5-AC126</f>
        <v>-8.9826956835229197</v>
      </c>
      <c r="BG126" s="60">
        <f ca="1">BG$5-AD126</f>
        <v>-1.4741294981490682E-2</v>
      </c>
      <c r="BH126" s="60">
        <f ca="1">BH$5-AE126</f>
        <v>-5.0454077696324333</v>
      </c>
      <c r="BI126" s="60">
        <f ca="1">BI$5-AF126</f>
        <v>-9.3914944887451952</v>
      </c>
      <c r="BJ126" s="60">
        <f ca="1">BJ$5-AG126</f>
        <v>-5.56044894232123</v>
      </c>
      <c r="BK126" s="60" t="e">
        <f>BK$5-AH126</f>
        <v>#N/A</v>
      </c>
      <c r="BL126" s="60" t="e">
        <f>BL$5-AI126</f>
        <v>#N/A</v>
      </c>
      <c r="BM126" s="60" t="e">
        <f>BM$5-AJ126</f>
        <v>#N/A</v>
      </c>
      <c r="BN126" s="60" t="e">
        <f>BN$5-AK126</f>
        <v>#N/A</v>
      </c>
      <c r="BO126" s="60" t="e">
        <f>BO$5-AL126</f>
        <v>#N/A</v>
      </c>
      <c r="BP126" s="60" t="e">
        <f>BP$5-AM126</f>
        <v>#N/A</v>
      </c>
      <c r="BQ126" s="60" t="e">
        <f>BQ$5-AN126</f>
        <v>#N/A</v>
      </c>
      <c r="BR126" s="60" t="e">
        <f>BR$5-AO126</f>
        <v>#N/A</v>
      </c>
      <c r="BS126" s="60" t="e">
        <f>BS$5-AP126</f>
        <v>#N/A</v>
      </c>
      <c r="BT126" s="60" t="e">
        <f>BT$5-AQ126</f>
        <v>#N/A</v>
      </c>
      <c r="BV126" s="60" cm="1">
        <f t="array" aca="1" ref="BV126" ca="1">SQRT(SUMSQ(_xlfn._xlws.FILTER(AV126:BT126,ISNUMBER(AV126:BT126)))/COUNT(_xlfn._xlws.FILTER(AV126:BT126,ISNUMBER(AV126:BT126))))</f>
        <v>6.5501348874020442</v>
      </c>
    </row>
    <row r="127" spans="3:74" x14ac:dyDescent="0.2">
      <c r="C127" s="60" t="s">
        <v>253</v>
      </c>
      <c r="D127" s="60">
        <v>0</v>
      </c>
      <c r="E127" s="60">
        <v>-3.4220000000000002</v>
      </c>
      <c r="F127" s="60">
        <v>-6.843</v>
      </c>
      <c r="G127" s="60">
        <v>-10.263999999999999</v>
      </c>
      <c r="H127" s="60">
        <v>-13.686</v>
      </c>
      <c r="I127" s="60">
        <v>-11.731</v>
      </c>
      <c r="J127" s="60">
        <v>-11.73</v>
      </c>
      <c r="K127" s="60">
        <v>-9.7750000000000004</v>
      </c>
      <c r="L127" s="60">
        <v>-7.82</v>
      </c>
      <c r="M127" s="60">
        <v>-5.8650000000000002</v>
      </c>
      <c r="N127" s="60">
        <v>-3.91</v>
      </c>
      <c r="O127" s="60">
        <v>-1.9550000000000001</v>
      </c>
      <c r="P127" s="60">
        <v>0</v>
      </c>
      <c r="R127" s="61">
        <f>(ROW(R127)-ROW($C$6))</f>
        <v>121</v>
      </c>
      <c r="S127" s="60">
        <f ca="1">100+HLOOKUP(S$4,$D$7:$P$336,$R127,FALSE)-HLOOKUP(S$3,$D$7:$P$336,$R127,FALSE)</f>
        <v>92.178999999999988</v>
      </c>
      <c r="T127" s="60">
        <f ca="1">100+HLOOKUP(T$4,$D$7:$P$336,$R127,FALSE)-HLOOKUP(T$3,$D$7:$P$336,$R127,FALSE)</f>
        <v>90.224999999999994</v>
      </c>
      <c r="U127" s="60">
        <f ca="1">100+HLOOKUP(U$4,$D$7:$P$336,$R127,FALSE)-HLOOKUP(U$3,$D$7:$P$336,$R127,FALSE)</f>
        <v>95.602000000000004</v>
      </c>
      <c r="V127" s="60">
        <f ca="1">100+HLOOKUP(V$4,$D$7:$P$336,$R127,FALSE)-HLOOKUP(V$3,$D$7:$P$336,$R127,FALSE)</f>
        <v>92.179000000000002</v>
      </c>
      <c r="W127" s="60">
        <f ca="1">100+HLOOKUP(W$4,$D$7:$P$336,$R127,FALSE)-HLOOKUP(W$3,$D$7:$P$336,$R127,FALSE)</f>
        <v>90.224999999999994</v>
      </c>
      <c r="X127" s="60">
        <f ca="1">100+HLOOKUP(X$4,$D$7:$P$336,$R127,FALSE)-HLOOKUP(X$3,$D$7:$P$336,$R127,FALSE)</f>
        <v>92.178999999999988</v>
      </c>
      <c r="Y127" s="60">
        <f ca="1">100+HLOOKUP(Y$4,$D$7:$P$336,$R127,FALSE)-HLOOKUP(Y$3,$D$7:$P$336,$R127,FALSE)</f>
        <v>90.224999999999994</v>
      </c>
      <c r="Z127" s="60">
        <f ca="1">100+HLOOKUP(Z$4,$D$7:$P$336,$R127,FALSE)-HLOOKUP(Z$3,$D$7:$P$336,$R127,FALSE)</f>
        <v>95.602000000000004</v>
      </c>
      <c r="AA127" s="60">
        <f ca="1">100+HLOOKUP(AA$4,$D$7:$P$336,$R127,FALSE)-HLOOKUP(AA$3,$D$7:$P$336,$R127,FALSE)</f>
        <v>92.179000000000002</v>
      </c>
      <c r="AB127" s="60">
        <f ca="1">100+HLOOKUP(AB$4,$D$7:$P$336,$R127,FALSE)-HLOOKUP(AB$3,$D$7:$P$336,$R127,FALSE)</f>
        <v>90.224999999999994</v>
      </c>
      <c r="AC127" s="60">
        <f ca="1">100+HLOOKUP(AC$4,$D$7:$P$336,$R127,FALSE)-HLOOKUP(AC$3,$D$7:$P$336,$R127,FALSE)</f>
        <v>100.97800000000001</v>
      </c>
      <c r="AD127" s="60">
        <f ca="1">100+HLOOKUP(AD$4,$D$7:$P$336,$R127,FALSE)-HLOOKUP(AD$3,$D$7:$P$336,$R127,FALSE)</f>
        <v>111.73099999999999</v>
      </c>
      <c r="AE127" s="60">
        <f ca="1">100+HLOOKUP(AE$4,$D$7:$P$336,$R127,FALSE)-HLOOKUP(AE$3,$D$7:$P$336,$R127,FALSE)</f>
        <v>108.30800000000001</v>
      </c>
      <c r="AF127" s="60">
        <f ca="1">100+HLOOKUP(AF$4,$D$7:$P$336,$R127,FALSE)-HLOOKUP(AF$3,$D$7:$P$336,$R127,FALSE)</f>
        <v>97.556000000000012</v>
      </c>
      <c r="AG127" s="60">
        <f ca="1">100+HLOOKUP(AG$4,$D$7:$P$336,$R127,FALSE)-HLOOKUP(AG$3,$D$7:$P$336,$R127,FALSE)</f>
        <v>92.179000000000002</v>
      </c>
      <c r="AH127" s="60" t="e">
        <f>100+HLOOKUP(AH$4,$D$7:$P$336,$R127,FALSE)-HLOOKUP(AH$3,$D$7:$P$336,$R127,FALSE)</f>
        <v>#N/A</v>
      </c>
      <c r="AI127" s="60" t="e">
        <f>100+HLOOKUP(AI$4,$D$7:$P$336,$R127,FALSE)-HLOOKUP(AI$3,$D$7:$P$336,$R127,FALSE)</f>
        <v>#N/A</v>
      </c>
      <c r="AJ127" s="60" t="e">
        <f>100+HLOOKUP(AJ$4,$D$7:$P$336,$R127,FALSE)-HLOOKUP(AJ$3,$D$7:$P$336,$R127,FALSE)</f>
        <v>#N/A</v>
      </c>
      <c r="AK127" s="60" t="e">
        <f>100+HLOOKUP(AK$4,$D$7:$P$336,$R127,FALSE)-HLOOKUP(AK$3,$D$7:$P$336,$R127,FALSE)</f>
        <v>#N/A</v>
      </c>
      <c r="AL127" s="60" t="e">
        <f>100+HLOOKUP(AL$4,$D$7:$P$336,$R127,FALSE)-HLOOKUP(AL$3,$D$7:$P$336,$R127,FALSE)</f>
        <v>#N/A</v>
      </c>
      <c r="AM127" s="60" t="e">
        <f>100+HLOOKUP(AM$4,$D$7:$P$336,$R127,FALSE)-HLOOKUP(AM$3,$D$7:$P$336,$R127,FALSE)</f>
        <v>#N/A</v>
      </c>
      <c r="AN127" s="60" t="e">
        <f>100+HLOOKUP(AN$4,$D$7:$P$336,$R127,FALSE)-HLOOKUP(AN$3,$D$7:$P$336,$R127,FALSE)</f>
        <v>#N/A</v>
      </c>
      <c r="AO127" s="60" t="e">
        <f>100+HLOOKUP(AO$4,$D$7:$P$336,$R127,FALSE)-HLOOKUP(AO$3,$D$7:$P$336,$R127,FALSE)</f>
        <v>#N/A</v>
      </c>
      <c r="AP127" s="60" t="e">
        <f>100+HLOOKUP(AP$4,$D$7:$P$336,$R127,FALSE)-HLOOKUP(AP$3,$D$7:$P$336,$R127,FALSE)</f>
        <v>#N/A</v>
      </c>
      <c r="AQ127" s="60" t="e">
        <f>100+HLOOKUP(AQ$4,$D$7:$P$336,$R127,FALSE)-HLOOKUP(AQ$3,$D$7:$P$336,$R127,FALSE)</f>
        <v>#N/A</v>
      </c>
      <c r="AV127" s="60">
        <f ca="1">AV$5-S127</f>
        <v>11.011399426796444</v>
      </c>
      <c r="AW127" s="60">
        <f ca="1">AW$5-T127</f>
        <v>3.9956505297577536</v>
      </c>
      <c r="AX127" s="60">
        <f ca="1">AX$5-U127</f>
        <v>6.1739154036680475</v>
      </c>
      <c r="AY127" s="60">
        <f ca="1">AY$5-V127</f>
        <v>1.4240144015277991</v>
      </c>
      <c r="AZ127" s="60">
        <f ca="1">AZ$5-W127</f>
        <v>7.2294821725960361</v>
      </c>
      <c r="BA127" s="60">
        <f ca="1">BA$5-X127</f>
        <v>6.2860590589827154</v>
      </c>
      <c r="BB127" s="60">
        <f ca="1">BB$5-Y127</f>
        <v>3.1255927273811324</v>
      </c>
      <c r="BC127" s="60">
        <f ca="1">BC$5-Z127</f>
        <v>11.83546590988216</v>
      </c>
      <c r="BD127" s="60">
        <f ca="1">BD$5-AA127</f>
        <v>5.7575186643823599</v>
      </c>
      <c r="BE127" s="60">
        <f ca="1">BE$5-AB127</f>
        <v>1.6043905919921997</v>
      </c>
      <c r="BF127" s="60">
        <f ca="1">BF$5-AC127</f>
        <v>3.9304316477071666E-2</v>
      </c>
      <c r="BG127" s="60">
        <f ca="1">BG$5-AD127</f>
        <v>-7.7457412949814852</v>
      </c>
      <c r="BH127" s="60">
        <f ca="1">BH$5-AE127</f>
        <v>-9.3534077696324402</v>
      </c>
      <c r="BI127" s="60">
        <f ca="1">BI$5-AF127</f>
        <v>-6.9474944887452068</v>
      </c>
      <c r="BJ127" s="60">
        <f ca="1">BJ$5-AG127</f>
        <v>-0.73944894232123204</v>
      </c>
      <c r="BK127" s="60" t="e">
        <f>BK$5-AH127</f>
        <v>#N/A</v>
      </c>
      <c r="BL127" s="60" t="e">
        <f>BL$5-AI127</f>
        <v>#N/A</v>
      </c>
      <c r="BM127" s="60" t="e">
        <f>BM$5-AJ127</f>
        <v>#N/A</v>
      </c>
      <c r="BN127" s="60" t="e">
        <f>BN$5-AK127</f>
        <v>#N/A</v>
      </c>
      <c r="BO127" s="60" t="e">
        <f>BO$5-AL127</f>
        <v>#N/A</v>
      </c>
      <c r="BP127" s="60" t="e">
        <f>BP$5-AM127</f>
        <v>#N/A</v>
      </c>
      <c r="BQ127" s="60" t="e">
        <f>BQ$5-AN127</f>
        <v>#N/A</v>
      </c>
      <c r="BR127" s="60" t="e">
        <f>BR$5-AO127</f>
        <v>#N/A</v>
      </c>
      <c r="BS127" s="60" t="e">
        <f>BS$5-AP127</f>
        <v>#N/A</v>
      </c>
      <c r="BT127" s="60" t="e">
        <f>BT$5-AQ127</f>
        <v>#N/A</v>
      </c>
      <c r="BV127" s="60" cm="1">
        <f t="array" aca="1" ref="BV127" ca="1">SQRT(SUMSQ(_xlfn._xlws.FILTER(AV127:BT127,ISNUMBER(AV127:BT127)))/COUNT(_xlfn._xlws.FILTER(AV127:BT127,ISNUMBER(AV127:BT127))))</f>
        <v>6.5879211075679152</v>
      </c>
    </row>
    <row r="128" spans="3:74" x14ac:dyDescent="0.2">
      <c r="C128" s="60" t="s">
        <v>251</v>
      </c>
      <c r="D128" s="60">
        <v>0</v>
      </c>
      <c r="E128" s="60">
        <v>-3</v>
      </c>
      <c r="F128" s="60">
        <v>-7</v>
      </c>
      <c r="G128" s="60">
        <v>-10</v>
      </c>
      <c r="H128" s="60">
        <v>-14</v>
      </c>
      <c r="I128" s="60">
        <v>-12</v>
      </c>
      <c r="J128" s="60">
        <v>-10</v>
      </c>
      <c r="K128" s="60">
        <v>-10</v>
      </c>
      <c r="L128" s="60">
        <v>-8</v>
      </c>
      <c r="M128" s="60">
        <v>-6</v>
      </c>
      <c r="N128" s="60">
        <v>-4</v>
      </c>
      <c r="O128" s="60">
        <v>-2</v>
      </c>
      <c r="P128" s="60">
        <v>0</v>
      </c>
      <c r="R128" s="61">
        <f>(ROW(R128)-ROW($C$6))</f>
        <v>122</v>
      </c>
      <c r="S128" s="60">
        <f ca="1">100+HLOOKUP(S$4,$D$7:$P$336,$R128,FALSE)-HLOOKUP(S$3,$D$7:$P$336,$R128,FALSE)</f>
        <v>92</v>
      </c>
      <c r="T128" s="60">
        <f ca="1">100+HLOOKUP(T$4,$D$7:$P$336,$R128,FALSE)-HLOOKUP(T$3,$D$7:$P$336,$R128,FALSE)</f>
        <v>92</v>
      </c>
      <c r="U128" s="60">
        <f ca="1">100+HLOOKUP(U$4,$D$7:$P$336,$R128,FALSE)-HLOOKUP(U$3,$D$7:$P$336,$R128,FALSE)</f>
        <v>95</v>
      </c>
      <c r="V128" s="60">
        <f ca="1">100+HLOOKUP(V$4,$D$7:$P$336,$R128,FALSE)-HLOOKUP(V$3,$D$7:$P$336,$R128,FALSE)</f>
        <v>92</v>
      </c>
      <c r="W128" s="60">
        <f ca="1">100+HLOOKUP(W$4,$D$7:$P$336,$R128,FALSE)-HLOOKUP(W$3,$D$7:$P$336,$R128,FALSE)</f>
        <v>90</v>
      </c>
      <c r="X128" s="60">
        <f ca="1">100+HLOOKUP(X$4,$D$7:$P$336,$R128,FALSE)-HLOOKUP(X$3,$D$7:$P$336,$R128,FALSE)</f>
        <v>92</v>
      </c>
      <c r="Y128" s="60">
        <f ca="1">100+HLOOKUP(Y$4,$D$7:$P$336,$R128,FALSE)-HLOOKUP(Y$3,$D$7:$P$336,$R128,FALSE)</f>
        <v>92</v>
      </c>
      <c r="Z128" s="60">
        <f ca="1">100+HLOOKUP(Z$4,$D$7:$P$336,$R128,FALSE)-HLOOKUP(Z$3,$D$7:$P$336,$R128,FALSE)</f>
        <v>95</v>
      </c>
      <c r="AA128" s="60">
        <f ca="1">100+HLOOKUP(AA$4,$D$7:$P$336,$R128,FALSE)-HLOOKUP(AA$3,$D$7:$P$336,$R128,FALSE)</f>
        <v>92</v>
      </c>
      <c r="AB128" s="60">
        <f ca="1">100+HLOOKUP(AB$4,$D$7:$P$336,$R128,FALSE)-HLOOKUP(AB$3,$D$7:$P$336,$R128,FALSE)</f>
        <v>90</v>
      </c>
      <c r="AC128" s="60">
        <f ca="1">100+HLOOKUP(AC$4,$D$7:$P$336,$R128,FALSE)-HLOOKUP(AC$3,$D$7:$P$336,$R128,FALSE)</f>
        <v>101</v>
      </c>
      <c r="AD128" s="60">
        <f ca="1">100+HLOOKUP(AD$4,$D$7:$P$336,$R128,FALSE)-HLOOKUP(AD$3,$D$7:$P$336,$R128,FALSE)</f>
        <v>112</v>
      </c>
      <c r="AE128" s="60">
        <f ca="1">100+HLOOKUP(AE$4,$D$7:$P$336,$R128,FALSE)-HLOOKUP(AE$3,$D$7:$P$336,$R128,FALSE)</f>
        <v>107</v>
      </c>
      <c r="AF128" s="60">
        <f ca="1">100+HLOOKUP(AF$4,$D$7:$P$336,$R128,FALSE)-HLOOKUP(AF$3,$D$7:$P$336,$R128,FALSE)</f>
        <v>98</v>
      </c>
      <c r="AG128" s="60">
        <f ca="1">100+HLOOKUP(AG$4,$D$7:$P$336,$R128,FALSE)-HLOOKUP(AG$3,$D$7:$P$336,$R128,FALSE)</f>
        <v>92</v>
      </c>
      <c r="AH128" s="60" t="e">
        <f>100+HLOOKUP(AH$4,$D$7:$P$336,$R128,FALSE)-HLOOKUP(AH$3,$D$7:$P$336,$R128,FALSE)</f>
        <v>#N/A</v>
      </c>
      <c r="AI128" s="60" t="e">
        <f>100+HLOOKUP(AI$4,$D$7:$P$336,$R128,FALSE)-HLOOKUP(AI$3,$D$7:$P$336,$R128,FALSE)</f>
        <v>#N/A</v>
      </c>
      <c r="AJ128" s="60" t="e">
        <f>100+HLOOKUP(AJ$4,$D$7:$P$336,$R128,FALSE)-HLOOKUP(AJ$3,$D$7:$P$336,$R128,FALSE)</f>
        <v>#N/A</v>
      </c>
      <c r="AK128" s="60" t="e">
        <f>100+HLOOKUP(AK$4,$D$7:$P$336,$R128,FALSE)-HLOOKUP(AK$3,$D$7:$P$336,$R128,FALSE)</f>
        <v>#N/A</v>
      </c>
      <c r="AL128" s="60" t="e">
        <f>100+HLOOKUP(AL$4,$D$7:$P$336,$R128,FALSE)-HLOOKUP(AL$3,$D$7:$P$336,$R128,FALSE)</f>
        <v>#N/A</v>
      </c>
      <c r="AM128" s="60" t="e">
        <f>100+HLOOKUP(AM$4,$D$7:$P$336,$R128,FALSE)-HLOOKUP(AM$3,$D$7:$P$336,$R128,FALSE)</f>
        <v>#N/A</v>
      </c>
      <c r="AN128" s="60" t="e">
        <f>100+HLOOKUP(AN$4,$D$7:$P$336,$R128,FALSE)-HLOOKUP(AN$3,$D$7:$P$336,$R128,FALSE)</f>
        <v>#N/A</v>
      </c>
      <c r="AO128" s="60" t="e">
        <f>100+HLOOKUP(AO$4,$D$7:$P$336,$R128,FALSE)-HLOOKUP(AO$3,$D$7:$P$336,$R128,FALSE)</f>
        <v>#N/A</v>
      </c>
      <c r="AP128" s="60" t="e">
        <f>100+HLOOKUP(AP$4,$D$7:$P$336,$R128,FALSE)-HLOOKUP(AP$3,$D$7:$P$336,$R128,FALSE)</f>
        <v>#N/A</v>
      </c>
      <c r="AQ128" s="60" t="e">
        <f>100+HLOOKUP(AQ$4,$D$7:$P$336,$R128,FALSE)-HLOOKUP(AQ$3,$D$7:$P$336,$R128,FALSE)</f>
        <v>#N/A</v>
      </c>
      <c r="AV128" s="60">
        <f ca="1">AV$5-S128</f>
        <v>11.190399426796432</v>
      </c>
      <c r="AW128" s="60">
        <f ca="1">AW$5-T128</f>
        <v>2.2206505297577479</v>
      </c>
      <c r="AX128" s="60">
        <f ca="1">AX$5-U128</f>
        <v>6.7759154036680513</v>
      </c>
      <c r="AY128" s="60">
        <f ca="1">AY$5-V128</f>
        <v>1.6030144015278012</v>
      </c>
      <c r="AZ128" s="60">
        <f ca="1">AZ$5-W128</f>
        <v>7.4544821725960304</v>
      </c>
      <c r="BA128" s="60">
        <f ca="1">BA$5-X128</f>
        <v>6.4650590589827033</v>
      </c>
      <c r="BB128" s="60">
        <f ca="1">BB$5-Y128</f>
        <v>1.3505927273811267</v>
      </c>
      <c r="BC128" s="60">
        <f ca="1">BC$5-Z128</f>
        <v>12.437465909882164</v>
      </c>
      <c r="BD128" s="60">
        <f ca="1">BD$5-AA128</f>
        <v>5.936518664382362</v>
      </c>
      <c r="BE128" s="60">
        <f ca="1">BE$5-AB128</f>
        <v>1.829390591992194</v>
      </c>
      <c r="BF128" s="60">
        <f ca="1">BF$5-AC128</f>
        <v>1.7304316477080306E-2</v>
      </c>
      <c r="BG128" s="60">
        <f ca="1">BG$5-AD128</f>
        <v>-8.0147412949814907</v>
      </c>
      <c r="BH128" s="60">
        <f ca="1">BH$5-AE128</f>
        <v>-8.0454077696324333</v>
      </c>
      <c r="BI128" s="60">
        <f ca="1">BI$5-AF128</f>
        <v>-7.3914944887451952</v>
      </c>
      <c r="BJ128" s="60">
        <f ca="1">BJ$5-AG128</f>
        <v>-0.56044894232122999</v>
      </c>
      <c r="BK128" s="60" t="e">
        <f>BK$5-AH128</f>
        <v>#N/A</v>
      </c>
      <c r="BL128" s="60" t="e">
        <f>BL$5-AI128</f>
        <v>#N/A</v>
      </c>
      <c r="BM128" s="60" t="e">
        <f>BM$5-AJ128</f>
        <v>#N/A</v>
      </c>
      <c r="BN128" s="60" t="e">
        <f>BN$5-AK128</f>
        <v>#N/A</v>
      </c>
      <c r="BO128" s="60" t="e">
        <f>BO$5-AL128</f>
        <v>#N/A</v>
      </c>
      <c r="BP128" s="60" t="e">
        <f>BP$5-AM128</f>
        <v>#N/A</v>
      </c>
      <c r="BQ128" s="60" t="e">
        <f>BQ$5-AN128</f>
        <v>#N/A</v>
      </c>
      <c r="BR128" s="60" t="e">
        <f>BR$5-AO128</f>
        <v>#N/A</v>
      </c>
      <c r="BS128" s="60" t="e">
        <f>BS$5-AP128</f>
        <v>#N/A</v>
      </c>
      <c r="BT128" s="60" t="e">
        <f>BT$5-AQ128</f>
        <v>#N/A</v>
      </c>
      <c r="BV128" s="60" cm="1">
        <f t="array" aca="1" ref="BV128" ca="1">SQRT(SUMSQ(_xlfn._xlws.FILTER(AV128:BT128,ISNUMBER(AV128:BT128)))/COUNT(_xlfn._xlws.FILTER(AV128:BT128,ISNUMBER(AV128:BT128))))</f>
        <v>6.6081875787409583</v>
      </c>
    </row>
    <row r="129" spans="3:74" x14ac:dyDescent="0.2">
      <c r="C129" s="60" t="s">
        <v>262</v>
      </c>
      <c r="D129" s="60">
        <v>0</v>
      </c>
      <c r="E129" s="60">
        <v>-2</v>
      </c>
      <c r="F129" s="60">
        <v>-4</v>
      </c>
      <c r="G129" s="60">
        <v>-7</v>
      </c>
      <c r="H129" s="60">
        <v>-9</v>
      </c>
      <c r="I129" s="60">
        <v>-12</v>
      </c>
      <c r="J129" s="60">
        <v>-12</v>
      </c>
      <c r="K129" s="60">
        <v>-10</v>
      </c>
      <c r="L129" s="60">
        <v>-8</v>
      </c>
      <c r="M129" s="60">
        <v>-6</v>
      </c>
      <c r="N129" s="60">
        <v>-4</v>
      </c>
      <c r="O129" s="60">
        <v>-2</v>
      </c>
      <c r="P129" s="60">
        <v>0</v>
      </c>
      <c r="R129" s="61">
        <f>(ROW(R129)-ROW($C$6))</f>
        <v>123</v>
      </c>
      <c r="S129" s="60">
        <f ca="1">100+HLOOKUP(S$4,$D$7:$P$336,$R129,FALSE)-HLOOKUP(S$3,$D$7:$P$336,$R129,FALSE)</f>
        <v>97</v>
      </c>
      <c r="T129" s="60">
        <f ca="1">100+HLOOKUP(T$4,$D$7:$P$336,$R129,FALSE)-HLOOKUP(T$3,$D$7:$P$336,$R129,FALSE)</f>
        <v>90</v>
      </c>
      <c r="U129" s="60">
        <f ca="1">100+HLOOKUP(U$4,$D$7:$P$336,$R129,FALSE)-HLOOKUP(U$3,$D$7:$P$336,$R129,FALSE)</f>
        <v>94</v>
      </c>
      <c r="V129" s="60">
        <f ca="1">100+HLOOKUP(V$4,$D$7:$P$336,$R129,FALSE)-HLOOKUP(V$3,$D$7:$P$336,$R129,FALSE)</f>
        <v>92</v>
      </c>
      <c r="W129" s="60">
        <f ca="1">100+HLOOKUP(W$4,$D$7:$P$336,$R129,FALSE)-HLOOKUP(W$3,$D$7:$P$336,$R129,FALSE)</f>
        <v>90</v>
      </c>
      <c r="X129" s="60">
        <f ca="1">100+HLOOKUP(X$4,$D$7:$P$336,$R129,FALSE)-HLOOKUP(X$3,$D$7:$P$336,$R129,FALSE)</f>
        <v>97</v>
      </c>
      <c r="Y129" s="60">
        <f ca="1">100+HLOOKUP(Y$4,$D$7:$P$336,$R129,FALSE)-HLOOKUP(Y$3,$D$7:$P$336,$R129,FALSE)</f>
        <v>90</v>
      </c>
      <c r="Z129" s="60">
        <f ca="1">100+HLOOKUP(Z$4,$D$7:$P$336,$R129,FALSE)-HLOOKUP(Z$3,$D$7:$P$336,$R129,FALSE)</f>
        <v>94</v>
      </c>
      <c r="AA129" s="60">
        <f ca="1">100+HLOOKUP(AA$4,$D$7:$P$336,$R129,FALSE)-HLOOKUP(AA$3,$D$7:$P$336,$R129,FALSE)</f>
        <v>92</v>
      </c>
      <c r="AB129" s="60">
        <f ca="1">100+HLOOKUP(AB$4,$D$7:$P$336,$R129,FALSE)-HLOOKUP(AB$3,$D$7:$P$336,$R129,FALSE)</f>
        <v>90</v>
      </c>
      <c r="AC129" s="60">
        <f ca="1">100+HLOOKUP(AC$4,$D$7:$P$336,$R129,FALSE)-HLOOKUP(AC$3,$D$7:$P$336,$R129,FALSE)</f>
        <v>98</v>
      </c>
      <c r="AD129" s="60">
        <f ca="1">100+HLOOKUP(AD$4,$D$7:$P$336,$R129,FALSE)-HLOOKUP(AD$3,$D$7:$P$336,$R129,FALSE)</f>
        <v>107</v>
      </c>
      <c r="AE129" s="60">
        <f ca="1">100+HLOOKUP(AE$4,$D$7:$P$336,$R129,FALSE)-HLOOKUP(AE$3,$D$7:$P$336,$R129,FALSE)</f>
        <v>110</v>
      </c>
      <c r="AF129" s="60">
        <f ca="1">100+HLOOKUP(AF$4,$D$7:$P$336,$R129,FALSE)-HLOOKUP(AF$3,$D$7:$P$336,$R129,FALSE)</f>
        <v>101</v>
      </c>
      <c r="AG129" s="60">
        <f ca="1">100+HLOOKUP(AG$4,$D$7:$P$336,$R129,FALSE)-HLOOKUP(AG$3,$D$7:$P$336,$R129,FALSE)</f>
        <v>92</v>
      </c>
      <c r="AH129" s="60" t="e">
        <f>100+HLOOKUP(AH$4,$D$7:$P$336,$R129,FALSE)-HLOOKUP(AH$3,$D$7:$P$336,$R129,FALSE)</f>
        <v>#N/A</v>
      </c>
      <c r="AI129" s="60" t="e">
        <f>100+HLOOKUP(AI$4,$D$7:$P$336,$R129,FALSE)-HLOOKUP(AI$3,$D$7:$P$336,$R129,FALSE)</f>
        <v>#N/A</v>
      </c>
      <c r="AJ129" s="60" t="e">
        <f>100+HLOOKUP(AJ$4,$D$7:$P$336,$R129,FALSE)-HLOOKUP(AJ$3,$D$7:$P$336,$R129,FALSE)</f>
        <v>#N/A</v>
      </c>
      <c r="AK129" s="60" t="e">
        <f>100+HLOOKUP(AK$4,$D$7:$P$336,$R129,FALSE)-HLOOKUP(AK$3,$D$7:$P$336,$R129,FALSE)</f>
        <v>#N/A</v>
      </c>
      <c r="AL129" s="60" t="e">
        <f>100+HLOOKUP(AL$4,$D$7:$P$336,$R129,FALSE)-HLOOKUP(AL$3,$D$7:$P$336,$R129,FALSE)</f>
        <v>#N/A</v>
      </c>
      <c r="AM129" s="60" t="e">
        <f>100+HLOOKUP(AM$4,$D$7:$P$336,$R129,FALSE)-HLOOKUP(AM$3,$D$7:$P$336,$R129,FALSE)</f>
        <v>#N/A</v>
      </c>
      <c r="AN129" s="60" t="e">
        <f>100+HLOOKUP(AN$4,$D$7:$P$336,$R129,FALSE)-HLOOKUP(AN$3,$D$7:$P$336,$R129,FALSE)</f>
        <v>#N/A</v>
      </c>
      <c r="AO129" s="60" t="e">
        <f>100+HLOOKUP(AO$4,$D$7:$P$336,$R129,FALSE)-HLOOKUP(AO$3,$D$7:$P$336,$R129,FALSE)</f>
        <v>#N/A</v>
      </c>
      <c r="AP129" s="60" t="e">
        <f>100+HLOOKUP(AP$4,$D$7:$P$336,$R129,FALSE)-HLOOKUP(AP$3,$D$7:$P$336,$R129,FALSE)</f>
        <v>#N/A</v>
      </c>
      <c r="AQ129" s="60" t="e">
        <f>100+HLOOKUP(AQ$4,$D$7:$P$336,$R129,FALSE)-HLOOKUP(AQ$3,$D$7:$P$336,$R129,FALSE)</f>
        <v>#N/A</v>
      </c>
      <c r="AV129" s="60">
        <f ca="1">AV$5-S129</f>
        <v>6.1903994267964322</v>
      </c>
      <c r="AW129" s="60">
        <f ca="1">AW$5-T129</f>
        <v>4.2206505297577479</v>
      </c>
      <c r="AX129" s="60">
        <f ca="1">AX$5-U129</f>
        <v>7.7759154036680513</v>
      </c>
      <c r="AY129" s="60">
        <f ca="1">AY$5-V129</f>
        <v>1.6030144015278012</v>
      </c>
      <c r="AZ129" s="60">
        <f ca="1">AZ$5-W129</f>
        <v>7.4544821725960304</v>
      </c>
      <c r="BA129" s="60">
        <f ca="1">BA$5-X129</f>
        <v>1.4650590589827033</v>
      </c>
      <c r="BB129" s="60">
        <f ca="1">BB$5-Y129</f>
        <v>3.3505927273811267</v>
      </c>
      <c r="BC129" s="60">
        <f ca="1">BC$5-Z129</f>
        <v>13.437465909882164</v>
      </c>
      <c r="BD129" s="60">
        <f ca="1">BD$5-AA129</f>
        <v>5.936518664382362</v>
      </c>
      <c r="BE129" s="60">
        <f ca="1">BE$5-AB129</f>
        <v>1.829390591992194</v>
      </c>
      <c r="BF129" s="60">
        <f ca="1">BF$5-AC129</f>
        <v>3.0173043164770803</v>
      </c>
      <c r="BG129" s="60">
        <f ca="1">BG$5-AD129</f>
        <v>-3.0147412949814907</v>
      </c>
      <c r="BH129" s="60">
        <f ca="1">BH$5-AE129</f>
        <v>-11.045407769632433</v>
      </c>
      <c r="BI129" s="60">
        <f ca="1">BI$5-AF129</f>
        <v>-10.391494488745195</v>
      </c>
      <c r="BJ129" s="60">
        <f ca="1">BJ$5-AG129</f>
        <v>-0.56044894232122999</v>
      </c>
      <c r="BK129" s="60" t="e">
        <f>BK$5-AH129</f>
        <v>#N/A</v>
      </c>
      <c r="BL129" s="60" t="e">
        <f>BL$5-AI129</f>
        <v>#N/A</v>
      </c>
      <c r="BM129" s="60" t="e">
        <f>BM$5-AJ129</f>
        <v>#N/A</v>
      </c>
      <c r="BN129" s="60" t="e">
        <f>BN$5-AK129</f>
        <v>#N/A</v>
      </c>
      <c r="BO129" s="60" t="e">
        <f>BO$5-AL129</f>
        <v>#N/A</v>
      </c>
      <c r="BP129" s="60" t="e">
        <f>BP$5-AM129</f>
        <v>#N/A</v>
      </c>
      <c r="BQ129" s="60" t="e">
        <f>BQ$5-AN129</f>
        <v>#N/A</v>
      </c>
      <c r="BR129" s="60" t="e">
        <f>BR$5-AO129</f>
        <v>#N/A</v>
      </c>
      <c r="BS129" s="60" t="e">
        <f>BS$5-AP129</f>
        <v>#N/A</v>
      </c>
      <c r="BT129" s="60" t="e">
        <f>BT$5-AQ129</f>
        <v>#N/A</v>
      </c>
      <c r="BV129" s="60" cm="1">
        <f t="array" aca="1" ref="BV129" ca="1">SQRT(SUMSQ(_xlfn._xlws.FILTER(AV129:BT129,ISNUMBER(AV129:BT129)))/COUNT(_xlfn._xlws.FILTER(AV129:BT129,ISNUMBER(AV129:BT129))))</f>
        <v>6.6118939466921898</v>
      </c>
    </row>
    <row r="130" spans="3:74" x14ac:dyDescent="0.2">
      <c r="C130" s="60" t="s">
        <v>365</v>
      </c>
      <c r="D130" s="60">
        <v>0</v>
      </c>
      <c r="E130" s="60">
        <v>-3</v>
      </c>
      <c r="F130" s="60">
        <v>-5</v>
      </c>
      <c r="G130" s="60">
        <v>-8</v>
      </c>
      <c r="H130" s="60">
        <v>-11</v>
      </c>
      <c r="I130" s="60">
        <v>-14</v>
      </c>
      <c r="J130" s="60">
        <v>-12</v>
      </c>
      <c r="K130" s="60">
        <v>-10</v>
      </c>
      <c r="L130" s="60">
        <v>-8</v>
      </c>
      <c r="M130" s="60">
        <v>-6</v>
      </c>
      <c r="N130" s="60">
        <v>-4</v>
      </c>
      <c r="O130" s="60">
        <v>-2</v>
      </c>
      <c r="P130" s="60">
        <v>0</v>
      </c>
      <c r="R130" s="61">
        <f>(ROW(R130)-ROW($C$6))</f>
        <v>124</v>
      </c>
      <c r="S130" s="60">
        <f ca="1">100+HLOOKUP(S$4,$D$7:$P$336,$R130,FALSE)-HLOOKUP(S$3,$D$7:$P$336,$R130,FALSE)</f>
        <v>95</v>
      </c>
      <c r="T130" s="60">
        <f ca="1">100+HLOOKUP(T$4,$D$7:$P$336,$R130,FALSE)-HLOOKUP(T$3,$D$7:$P$336,$R130,FALSE)</f>
        <v>90</v>
      </c>
      <c r="U130" s="60">
        <f ca="1">100+HLOOKUP(U$4,$D$7:$P$336,$R130,FALSE)-HLOOKUP(U$3,$D$7:$P$336,$R130,FALSE)</f>
        <v>95</v>
      </c>
      <c r="V130" s="60">
        <f ca="1">100+HLOOKUP(V$4,$D$7:$P$336,$R130,FALSE)-HLOOKUP(V$3,$D$7:$P$336,$R130,FALSE)</f>
        <v>90</v>
      </c>
      <c r="W130" s="60">
        <f ca="1">100+HLOOKUP(W$4,$D$7:$P$336,$R130,FALSE)-HLOOKUP(W$3,$D$7:$P$336,$R130,FALSE)</f>
        <v>90</v>
      </c>
      <c r="X130" s="60">
        <f ca="1">100+HLOOKUP(X$4,$D$7:$P$336,$R130,FALSE)-HLOOKUP(X$3,$D$7:$P$336,$R130,FALSE)</f>
        <v>95</v>
      </c>
      <c r="Y130" s="60">
        <f ca="1">100+HLOOKUP(Y$4,$D$7:$P$336,$R130,FALSE)-HLOOKUP(Y$3,$D$7:$P$336,$R130,FALSE)</f>
        <v>90</v>
      </c>
      <c r="Z130" s="60">
        <f ca="1">100+HLOOKUP(Z$4,$D$7:$P$336,$R130,FALSE)-HLOOKUP(Z$3,$D$7:$P$336,$R130,FALSE)</f>
        <v>95</v>
      </c>
      <c r="AA130" s="60">
        <f ca="1">100+HLOOKUP(AA$4,$D$7:$P$336,$R130,FALSE)-HLOOKUP(AA$3,$D$7:$P$336,$R130,FALSE)</f>
        <v>90</v>
      </c>
      <c r="AB130" s="60">
        <f ca="1">100+HLOOKUP(AB$4,$D$7:$P$336,$R130,FALSE)-HLOOKUP(AB$3,$D$7:$P$336,$R130,FALSE)</f>
        <v>90</v>
      </c>
      <c r="AC130" s="60">
        <f ca="1">100+HLOOKUP(AC$4,$D$7:$P$336,$R130,FALSE)-HLOOKUP(AC$3,$D$7:$P$336,$R130,FALSE)</f>
        <v>99</v>
      </c>
      <c r="AD130" s="60">
        <f ca="1">100+HLOOKUP(AD$4,$D$7:$P$336,$R130,FALSE)-HLOOKUP(AD$3,$D$7:$P$336,$R130,FALSE)</f>
        <v>109</v>
      </c>
      <c r="AE130" s="60">
        <f ca="1">100+HLOOKUP(AE$4,$D$7:$P$336,$R130,FALSE)-HLOOKUP(AE$3,$D$7:$P$336,$R130,FALSE)</f>
        <v>109</v>
      </c>
      <c r="AF130" s="60">
        <f ca="1">100+HLOOKUP(AF$4,$D$7:$P$336,$R130,FALSE)-HLOOKUP(AF$3,$D$7:$P$336,$R130,FALSE)</f>
        <v>100</v>
      </c>
      <c r="AG130" s="60">
        <f ca="1">100+HLOOKUP(AG$4,$D$7:$P$336,$R130,FALSE)-HLOOKUP(AG$3,$D$7:$P$336,$R130,FALSE)</f>
        <v>90</v>
      </c>
      <c r="AH130" s="60" t="e">
        <f>100+HLOOKUP(AH$4,$D$7:$P$336,$R130,FALSE)-HLOOKUP(AH$3,$D$7:$P$336,$R130,FALSE)</f>
        <v>#N/A</v>
      </c>
      <c r="AI130" s="60" t="e">
        <f>100+HLOOKUP(AI$4,$D$7:$P$336,$R130,FALSE)-HLOOKUP(AI$3,$D$7:$P$336,$R130,FALSE)</f>
        <v>#N/A</v>
      </c>
      <c r="AJ130" s="60" t="e">
        <f>100+HLOOKUP(AJ$4,$D$7:$P$336,$R130,FALSE)-HLOOKUP(AJ$3,$D$7:$P$336,$R130,FALSE)</f>
        <v>#N/A</v>
      </c>
      <c r="AK130" s="60" t="e">
        <f>100+HLOOKUP(AK$4,$D$7:$P$336,$R130,FALSE)-HLOOKUP(AK$3,$D$7:$P$336,$R130,FALSE)</f>
        <v>#N/A</v>
      </c>
      <c r="AL130" s="60" t="e">
        <f>100+HLOOKUP(AL$4,$D$7:$P$336,$R130,FALSE)-HLOOKUP(AL$3,$D$7:$P$336,$R130,FALSE)</f>
        <v>#N/A</v>
      </c>
      <c r="AM130" s="60" t="e">
        <f>100+HLOOKUP(AM$4,$D$7:$P$336,$R130,FALSE)-HLOOKUP(AM$3,$D$7:$P$336,$R130,FALSE)</f>
        <v>#N/A</v>
      </c>
      <c r="AN130" s="60" t="e">
        <f>100+HLOOKUP(AN$4,$D$7:$P$336,$R130,FALSE)-HLOOKUP(AN$3,$D$7:$P$336,$R130,FALSE)</f>
        <v>#N/A</v>
      </c>
      <c r="AO130" s="60" t="e">
        <f>100+HLOOKUP(AO$4,$D$7:$P$336,$R130,FALSE)-HLOOKUP(AO$3,$D$7:$P$336,$R130,FALSE)</f>
        <v>#N/A</v>
      </c>
      <c r="AP130" s="60" t="e">
        <f>100+HLOOKUP(AP$4,$D$7:$P$336,$R130,FALSE)-HLOOKUP(AP$3,$D$7:$P$336,$R130,FALSE)</f>
        <v>#N/A</v>
      </c>
      <c r="AQ130" s="60" t="e">
        <f>100+HLOOKUP(AQ$4,$D$7:$P$336,$R130,FALSE)-HLOOKUP(AQ$3,$D$7:$P$336,$R130,FALSE)</f>
        <v>#N/A</v>
      </c>
      <c r="AV130" s="60">
        <f ca="1">AV$5-S130</f>
        <v>8.1903994267964322</v>
      </c>
      <c r="AW130" s="60">
        <f ca="1">AW$5-T130</f>
        <v>4.2206505297577479</v>
      </c>
      <c r="AX130" s="60">
        <f ca="1">AX$5-U130</f>
        <v>6.7759154036680513</v>
      </c>
      <c r="AY130" s="60">
        <f ca="1">AY$5-V130</f>
        <v>3.6030144015278012</v>
      </c>
      <c r="AZ130" s="60">
        <f ca="1">AZ$5-W130</f>
        <v>7.4544821725960304</v>
      </c>
      <c r="BA130" s="60">
        <f ca="1">BA$5-X130</f>
        <v>3.4650590589827033</v>
      </c>
      <c r="BB130" s="60">
        <f ca="1">BB$5-Y130</f>
        <v>3.3505927273811267</v>
      </c>
      <c r="BC130" s="60">
        <f ca="1">BC$5-Z130</f>
        <v>12.437465909882164</v>
      </c>
      <c r="BD130" s="60">
        <f ca="1">BD$5-AA130</f>
        <v>7.936518664382362</v>
      </c>
      <c r="BE130" s="60">
        <f ca="1">BE$5-AB130</f>
        <v>1.829390591992194</v>
      </c>
      <c r="BF130" s="60">
        <f ca="1">BF$5-AC130</f>
        <v>2.0173043164770803</v>
      </c>
      <c r="BG130" s="60">
        <f ca="1">BG$5-AD130</f>
        <v>-5.0147412949814907</v>
      </c>
      <c r="BH130" s="60">
        <f ca="1">BH$5-AE130</f>
        <v>-10.045407769632433</v>
      </c>
      <c r="BI130" s="60">
        <f ca="1">BI$5-AF130</f>
        <v>-9.3914944887451952</v>
      </c>
      <c r="BJ130" s="60">
        <f ca="1">BJ$5-AG130</f>
        <v>1.43955105767877</v>
      </c>
      <c r="BK130" s="60" t="e">
        <f>BK$5-AH130</f>
        <v>#N/A</v>
      </c>
      <c r="BL130" s="60" t="e">
        <f>BL$5-AI130</f>
        <v>#N/A</v>
      </c>
      <c r="BM130" s="60" t="e">
        <f>BM$5-AJ130</f>
        <v>#N/A</v>
      </c>
      <c r="BN130" s="60" t="e">
        <f>BN$5-AK130</f>
        <v>#N/A</v>
      </c>
      <c r="BO130" s="60" t="e">
        <f>BO$5-AL130</f>
        <v>#N/A</v>
      </c>
      <c r="BP130" s="60" t="e">
        <f>BP$5-AM130</f>
        <v>#N/A</v>
      </c>
      <c r="BQ130" s="60" t="e">
        <f>BQ$5-AN130</f>
        <v>#N/A</v>
      </c>
      <c r="BR130" s="60" t="e">
        <f>BR$5-AO130</f>
        <v>#N/A</v>
      </c>
      <c r="BS130" s="60" t="e">
        <f>BS$5-AP130</f>
        <v>#N/A</v>
      </c>
      <c r="BT130" s="60" t="e">
        <f>BT$5-AQ130</f>
        <v>#N/A</v>
      </c>
      <c r="BV130" s="60" cm="1">
        <f t="array" aca="1" ref="BV130" ca="1">SQRT(SUMSQ(_xlfn._xlws.FILTER(AV130:BT130,ISNUMBER(AV130:BT130)))/COUNT(_xlfn._xlws.FILTER(AV130:BT130,ISNUMBER(AV130:BT130))))</f>
        <v>6.6534155803625188</v>
      </c>
    </row>
    <row r="131" spans="3:74" x14ac:dyDescent="0.2">
      <c r="C131" s="60" t="s">
        <v>400</v>
      </c>
      <c r="D131" s="60">
        <v>0</v>
      </c>
      <c r="E131" s="60">
        <v>-4</v>
      </c>
      <c r="F131" s="60">
        <v>-7</v>
      </c>
      <c r="G131" s="60">
        <v>-10</v>
      </c>
      <c r="H131" s="60">
        <v>-14</v>
      </c>
      <c r="I131" s="60">
        <v>-17</v>
      </c>
      <c r="J131" s="60">
        <v>3</v>
      </c>
      <c r="K131" s="60">
        <v>-4</v>
      </c>
      <c r="L131" s="60">
        <v>-7</v>
      </c>
      <c r="M131" s="60">
        <v>-10</v>
      </c>
      <c r="N131" s="60">
        <v>-14</v>
      </c>
      <c r="O131" s="60">
        <v>8</v>
      </c>
      <c r="P131" s="60">
        <v>0</v>
      </c>
      <c r="R131" s="61">
        <f>(ROW(R131)-ROW($C$6))</f>
        <v>125</v>
      </c>
      <c r="S131" s="60">
        <f ca="1">100+HLOOKUP(S$4,$D$7:$P$336,$R131,FALSE)-HLOOKUP(S$3,$D$7:$P$336,$R131,FALSE)</f>
        <v>96</v>
      </c>
      <c r="T131" s="60">
        <f ca="1">100+HLOOKUP(T$4,$D$7:$P$336,$R131,FALSE)-HLOOKUP(T$3,$D$7:$P$336,$R131,FALSE)</f>
        <v>95</v>
      </c>
      <c r="U131" s="60">
        <f ca="1">100+HLOOKUP(U$4,$D$7:$P$336,$R131,FALSE)-HLOOKUP(U$3,$D$7:$P$336,$R131,FALSE)</f>
        <v>97</v>
      </c>
      <c r="V131" s="60">
        <f ca="1">100+HLOOKUP(V$4,$D$7:$P$336,$R131,FALSE)-HLOOKUP(V$3,$D$7:$P$336,$R131,FALSE)</f>
        <v>97</v>
      </c>
      <c r="W131" s="60">
        <f ca="1">100+HLOOKUP(W$4,$D$7:$P$336,$R131,FALSE)-HLOOKUP(W$3,$D$7:$P$336,$R131,FALSE)</f>
        <v>96</v>
      </c>
      <c r="X131" s="60">
        <f ca="1">100+HLOOKUP(X$4,$D$7:$P$336,$R131,FALSE)-HLOOKUP(X$3,$D$7:$P$336,$R131,FALSE)</f>
        <v>96</v>
      </c>
      <c r="Y131" s="60">
        <f ca="1">100+HLOOKUP(Y$4,$D$7:$P$336,$R131,FALSE)-HLOOKUP(Y$3,$D$7:$P$336,$R131,FALSE)</f>
        <v>95</v>
      </c>
      <c r="Z131" s="60">
        <f ca="1">100+HLOOKUP(Z$4,$D$7:$P$336,$R131,FALSE)-HLOOKUP(Z$3,$D$7:$P$336,$R131,FALSE)</f>
        <v>97</v>
      </c>
      <c r="AA131" s="60">
        <f ca="1">100+HLOOKUP(AA$4,$D$7:$P$336,$R131,FALSE)-HLOOKUP(AA$3,$D$7:$P$336,$R131,FALSE)</f>
        <v>97</v>
      </c>
      <c r="AB131" s="60">
        <f ca="1">100+HLOOKUP(AB$4,$D$7:$P$336,$R131,FALSE)-HLOOKUP(AB$3,$D$7:$P$336,$R131,FALSE)</f>
        <v>96</v>
      </c>
      <c r="AC131" s="60">
        <f ca="1">100+HLOOKUP(AC$4,$D$7:$P$336,$R131,FALSE)-HLOOKUP(AC$3,$D$7:$P$336,$R131,FALSE)</f>
        <v>97</v>
      </c>
      <c r="AD131" s="60">
        <f ca="1">100+HLOOKUP(AD$4,$D$7:$P$336,$R131,FALSE)-HLOOKUP(AD$3,$D$7:$P$336,$R131,FALSE)</f>
        <v>122</v>
      </c>
      <c r="AE131" s="60">
        <f ca="1">100+HLOOKUP(AE$4,$D$7:$P$336,$R131,FALSE)-HLOOKUP(AE$3,$D$7:$P$336,$R131,FALSE)</f>
        <v>93</v>
      </c>
      <c r="AF131" s="60">
        <f ca="1">100+HLOOKUP(AF$4,$D$7:$P$336,$R131,FALSE)-HLOOKUP(AF$3,$D$7:$P$336,$R131,FALSE)</f>
        <v>97</v>
      </c>
      <c r="AG131" s="60">
        <f ca="1">100+HLOOKUP(AG$4,$D$7:$P$336,$R131,FALSE)-HLOOKUP(AG$3,$D$7:$P$336,$R131,FALSE)</f>
        <v>97</v>
      </c>
      <c r="AH131" s="60" t="e">
        <f>100+HLOOKUP(AH$4,$D$7:$P$336,$R131,FALSE)-HLOOKUP(AH$3,$D$7:$P$336,$R131,FALSE)</f>
        <v>#N/A</v>
      </c>
      <c r="AI131" s="60" t="e">
        <f>100+HLOOKUP(AI$4,$D$7:$P$336,$R131,FALSE)-HLOOKUP(AI$3,$D$7:$P$336,$R131,FALSE)</f>
        <v>#N/A</v>
      </c>
      <c r="AJ131" s="60" t="e">
        <f>100+HLOOKUP(AJ$4,$D$7:$P$336,$R131,FALSE)-HLOOKUP(AJ$3,$D$7:$P$336,$R131,FALSE)</f>
        <v>#N/A</v>
      </c>
      <c r="AK131" s="60" t="e">
        <f>100+HLOOKUP(AK$4,$D$7:$P$336,$R131,FALSE)-HLOOKUP(AK$3,$D$7:$P$336,$R131,FALSE)</f>
        <v>#N/A</v>
      </c>
      <c r="AL131" s="60" t="e">
        <f>100+HLOOKUP(AL$4,$D$7:$P$336,$R131,FALSE)-HLOOKUP(AL$3,$D$7:$P$336,$R131,FALSE)</f>
        <v>#N/A</v>
      </c>
      <c r="AM131" s="60" t="e">
        <f>100+HLOOKUP(AM$4,$D$7:$P$336,$R131,FALSE)-HLOOKUP(AM$3,$D$7:$P$336,$R131,FALSE)</f>
        <v>#N/A</v>
      </c>
      <c r="AN131" s="60" t="e">
        <f>100+HLOOKUP(AN$4,$D$7:$P$336,$R131,FALSE)-HLOOKUP(AN$3,$D$7:$P$336,$R131,FALSE)</f>
        <v>#N/A</v>
      </c>
      <c r="AO131" s="60" t="e">
        <f>100+HLOOKUP(AO$4,$D$7:$P$336,$R131,FALSE)-HLOOKUP(AO$3,$D$7:$P$336,$R131,FALSE)</f>
        <v>#N/A</v>
      </c>
      <c r="AP131" s="60" t="e">
        <f>100+HLOOKUP(AP$4,$D$7:$P$336,$R131,FALSE)-HLOOKUP(AP$3,$D$7:$P$336,$R131,FALSE)</f>
        <v>#N/A</v>
      </c>
      <c r="AQ131" s="60" t="e">
        <f>100+HLOOKUP(AQ$4,$D$7:$P$336,$R131,FALSE)-HLOOKUP(AQ$3,$D$7:$P$336,$R131,FALSE)</f>
        <v>#N/A</v>
      </c>
      <c r="AV131" s="60">
        <f ca="1">AV$5-S131</f>
        <v>7.1903994267964322</v>
      </c>
      <c r="AW131" s="60">
        <f ca="1">AW$5-T131</f>
        <v>-0.7793494702422521</v>
      </c>
      <c r="AX131" s="60">
        <f ca="1">AX$5-U131</f>
        <v>4.7759154036680513</v>
      </c>
      <c r="AY131" s="60">
        <f ca="1">AY$5-V131</f>
        <v>-3.3969855984721988</v>
      </c>
      <c r="AZ131" s="60">
        <f ca="1">AZ$5-W131</f>
        <v>1.4544821725960304</v>
      </c>
      <c r="BA131" s="60">
        <f ca="1">BA$5-X131</f>
        <v>2.4650590589827033</v>
      </c>
      <c r="BB131" s="60">
        <f ca="1">BB$5-Y131</f>
        <v>-1.6494072726188733</v>
      </c>
      <c r="BC131" s="60">
        <f ca="1">BC$5-Z131</f>
        <v>10.437465909882164</v>
      </c>
      <c r="BD131" s="60">
        <f ca="1">BD$5-AA131</f>
        <v>0.93651866438236198</v>
      </c>
      <c r="BE131" s="60">
        <f ca="1">BE$5-AB131</f>
        <v>-4.170609408007806</v>
      </c>
      <c r="BF131" s="60">
        <f ca="1">BF$5-AC131</f>
        <v>4.0173043164770803</v>
      </c>
      <c r="BG131" s="60">
        <f ca="1">BG$5-AD131</f>
        <v>-18.014741294981491</v>
      </c>
      <c r="BH131" s="60">
        <f ca="1">BH$5-AE131</f>
        <v>5.9545922303675667</v>
      </c>
      <c r="BI131" s="60">
        <f ca="1">BI$5-AF131</f>
        <v>-6.3914944887451952</v>
      </c>
      <c r="BJ131" s="60">
        <f ca="1">BJ$5-AG131</f>
        <v>-5.56044894232123</v>
      </c>
      <c r="BK131" s="60" t="e">
        <f>BK$5-AH131</f>
        <v>#N/A</v>
      </c>
      <c r="BL131" s="60" t="e">
        <f>BL$5-AI131</f>
        <v>#N/A</v>
      </c>
      <c r="BM131" s="60" t="e">
        <f>BM$5-AJ131</f>
        <v>#N/A</v>
      </c>
      <c r="BN131" s="60" t="e">
        <f>BN$5-AK131</f>
        <v>#N/A</v>
      </c>
      <c r="BO131" s="60" t="e">
        <f>BO$5-AL131</f>
        <v>#N/A</v>
      </c>
      <c r="BP131" s="60" t="e">
        <f>BP$5-AM131</f>
        <v>#N/A</v>
      </c>
      <c r="BQ131" s="60" t="e">
        <f>BQ$5-AN131</f>
        <v>#N/A</v>
      </c>
      <c r="BR131" s="60" t="e">
        <f>BR$5-AO131</f>
        <v>#N/A</v>
      </c>
      <c r="BS131" s="60" t="e">
        <f>BS$5-AP131</f>
        <v>#N/A</v>
      </c>
      <c r="BT131" s="60" t="e">
        <f>BT$5-AQ131</f>
        <v>#N/A</v>
      </c>
      <c r="BV131" s="60" cm="1">
        <f t="array" aca="1" ref="BV131" ca="1">SQRT(SUMSQ(_xlfn._xlws.FILTER(AV131:BT131,ISNUMBER(AV131:BT131)))/COUNT(_xlfn._xlws.FILTER(AV131:BT131,ISNUMBER(AV131:BT131))))</f>
        <v>6.6966610234624993</v>
      </c>
    </row>
    <row r="132" spans="3:74" x14ac:dyDescent="0.2">
      <c r="C132" s="60" t="s">
        <v>280</v>
      </c>
      <c r="D132" s="60">
        <v>0</v>
      </c>
      <c r="E132" s="60">
        <v>0</v>
      </c>
      <c r="F132" s="60">
        <v>-2</v>
      </c>
      <c r="G132" s="60">
        <v>0</v>
      </c>
      <c r="H132" s="60">
        <v>-4</v>
      </c>
      <c r="I132" s="60">
        <v>-2</v>
      </c>
      <c r="J132" s="60">
        <v>0</v>
      </c>
      <c r="K132" s="60">
        <v>0</v>
      </c>
      <c r="L132" s="60">
        <v>-2</v>
      </c>
      <c r="M132" s="60">
        <v>0</v>
      </c>
      <c r="N132" s="60">
        <v>-4</v>
      </c>
      <c r="O132" s="60">
        <v>-2</v>
      </c>
      <c r="P132" s="60">
        <v>0</v>
      </c>
      <c r="R132" s="61">
        <f>(ROW(R132)-ROW($C$6))</f>
        <v>126</v>
      </c>
      <c r="S132" s="60">
        <f ca="1">100+HLOOKUP(S$4,$D$7:$P$336,$R132,FALSE)-HLOOKUP(S$3,$D$7:$P$336,$R132,FALSE)</f>
        <v>96</v>
      </c>
      <c r="T132" s="60">
        <f ca="1">100+HLOOKUP(T$4,$D$7:$P$336,$R132,FALSE)-HLOOKUP(T$3,$D$7:$P$336,$R132,FALSE)</f>
        <v>102</v>
      </c>
      <c r="U132" s="60">
        <f ca="1">100+HLOOKUP(U$4,$D$7:$P$336,$R132,FALSE)-HLOOKUP(U$3,$D$7:$P$336,$R132,FALSE)</f>
        <v>98</v>
      </c>
      <c r="V132" s="60">
        <f ca="1">100+HLOOKUP(V$4,$D$7:$P$336,$R132,FALSE)-HLOOKUP(V$3,$D$7:$P$336,$R132,FALSE)</f>
        <v>102</v>
      </c>
      <c r="W132" s="60">
        <f ca="1">100+HLOOKUP(W$4,$D$7:$P$336,$R132,FALSE)-HLOOKUP(W$3,$D$7:$P$336,$R132,FALSE)</f>
        <v>100</v>
      </c>
      <c r="X132" s="60">
        <f ca="1">100+HLOOKUP(X$4,$D$7:$P$336,$R132,FALSE)-HLOOKUP(X$3,$D$7:$P$336,$R132,FALSE)</f>
        <v>96</v>
      </c>
      <c r="Y132" s="60">
        <f ca="1">100+HLOOKUP(Y$4,$D$7:$P$336,$R132,FALSE)-HLOOKUP(Y$3,$D$7:$P$336,$R132,FALSE)</f>
        <v>102</v>
      </c>
      <c r="Z132" s="60">
        <f ca="1">100+HLOOKUP(Z$4,$D$7:$P$336,$R132,FALSE)-HLOOKUP(Z$3,$D$7:$P$336,$R132,FALSE)</f>
        <v>98</v>
      </c>
      <c r="AA132" s="60">
        <f ca="1">100+HLOOKUP(AA$4,$D$7:$P$336,$R132,FALSE)-HLOOKUP(AA$3,$D$7:$P$336,$R132,FALSE)</f>
        <v>102</v>
      </c>
      <c r="AB132" s="60">
        <f ca="1">100+HLOOKUP(AB$4,$D$7:$P$336,$R132,FALSE)-HLOOKUP(AB$3,$D$7:$P$336,$R132,FALSE)</f>
        <v>100</v>
      </c>
      <c r="AC132" s="60">
        <f ca="1">100+HLOOKUP(AC$4,$D$7:$P$336,$R132,FALSE)-HLOOKUP(AC$3,$D$7:$P$336,$R132,FALSE)</f>
        <v>102</v>
      </c>
      <c r="AD132" s="60">
        <f ca="1">100+HLOOKUP(AD$4,$D$7:$P$336,$R132,FALSE)-HLOOKUP(AD$3,$D$7:$P$336,$R132,FALSE)</f>
        <v>102</v>
      </c>
      <c r="AE132" s="60">
        <f ca="1">100+HLOOKUP(AE$4,$D$7:$P$336,$R132,FALSE)-HLOOKUP(AE$3,$D$7:$P$336,$R132,FALSE)</f>
        <v>100</v>
      </c>
      <c r="AF132" s="60">
        <f ca="1">100+HLOOKUP(AF$4,$D$7:$P$336,$R132,FALSE)-HLOOKUP(AF$3,$D$7:$P$336,$R132,FALSE)</f>
        <v>102</v>
      </c>
      <c r="AG132" s="60">
        <f ca="1">100+HLOOKUP(AG$4,$D$7:$P$336,$R132,FALSE)-HLOOKUP(AG$3,$D$7:$P$336,$R132,FALSE)</f>
        <v>102</v>
      </c>
      <c r="AH132" s="60" t="e">
        <f>100+HLOOKUP(AH$4,$D$7:$P$336,$R132,FALSE)-HLOOKUP(AH$3,$D$7:$P$336,$R132,FALSE)</f>
        <v>#N/A</v>
      </c>
      <c r="AI132" s="60" t="e">
        <f>100+HLOOKUP(AI$4,$D$7:$P$336,$R132,FALSE)-HLOOKUP(AI$3,$D$7:$P$336,$R132,FALSE)</f>
        <v>#N/A</v>
      </c>
      <c r="AJ132" s="60" t="e">
        <f>100+HLOOKUP(AJ$4,$D$7:$P$336,$R132,FALSE)-HLOOKUP(AJ$3,$D$7:$P$336,$R132,FALSE)</f>
        <v>#N/A</v>
      </c>
      <c r="AK132" s="60" t="e">
        <f>100+HLOOKUP(AK$4,$D$7:$P$336,$R132,FALSE)-HLOOKUP(AK$3,$D$7:$P$336,$R132,FALSE)</f>
        <v>#N/A</v>
      </c>
      <c r="AL132" s="60" t="e">
        <f>100+HLOOKUP(AL$4,$D$7:$P$336,$R132,FALSE)-HLOOKUP(AL$3,$D$7:$P$336,$R132,FALSE)</f>
        <v>#N/A</v>
      </c>
      <c r="AM132" s="60" t="e">
        <f>100+HLOOKUP(AM$4,$D$7:$P$336,$R132,FALSE)-HLOOKUP(AM$3,$D$7:$P$336,$R132,FALSE)</f>
        <v>#N/A</v>
      </c>
      <c r="AN132" s="60" t="e">
        <f>100+HLOOKUP(AN$4,$D$7:$P$336,$R132,FALSE)-HLOOKUP(AN$3,$D$7:$P$336,$R132,FALSE)</f>
        <v>#N/A</v>
      </c>
      <c r="AO132" s="60" t="e">
        <f>100+HLOOKUP(AO$4,$D$7:$P$336,$R132,FALSE)-HLOOKUP(AO$3,$D$7:$P$336,$R132,FALSE)</f>
        <v>#N/A</v>
      </c>
      <c r="AP132" s="60" t="e">
        <f>100+HLOOKUP(AP$4,$D$7:$P$336,$R132,FALSE)-HLOOKUP(AP$3,$D$7:$P$336,$R132,FALSE)</f>
        <v>#N/A</v>
      </c>
      <c r="AQ132" s="60" t="e">
        <f>100+HLOOKUP(AQ$4,$D$7:$P$336,$R132,FALSE)-HLOOKUP(AQ$3,$D$7:$P$336,$R132,FALSE)</f>
        <v>#N/A</v>
      </c>
      <c r="AV132" s="60">
        <f ca="1">AV$5-S132</f>
        <v>7.1903994267964322</v>
      </c>
      <c r="AW132" s="60">
        <f ca="1">AW$5-T132</f>
        <v>-7.7793494702422521</v>
      </c>
      <c r="AX132" s="60">
        <f ca="1">AX$5-U132</f>
        <v>3.7759154036680513</v>
      </c>
      <c r="AY132" s="60">
        <f ca="1">AY$5-V132</f>
        <v>-8.3969855984721988</v>
      </c>
      <c r="AZ132" s="60">
        <f ca="1">AZ$5-W132</f>
        <v>-2.5455178274039696</v>
      </c>
      <c r="BA132" s="60">
        <f ca="1">BA$5-X132</f>
        <v>2.4650590589827033</v>
      </c>
      <c r="BB132" s="60">
        <f ca="1">BB$5-Y132</f>
        <v>-8.6494072726188733</v>
      </c>
      <c r="BC132" s="60">
        <f ca="1">BC$5-Z132</f>
        <v>9.4374659098821638</v>
      </c>
      <c r="BD132" s="60">
        <f ca="1">BD$5-AA132</f>
        <v>-4.063481335617638</v>
      </c>
      <c r="BE132" s="60">
        <f ca="1">BE$5-AB132</f>
        <v>-8.170609408007806</v>
      </c>
      <c r="BF132" s="60">
        <f ca="1">BF$5-AC132</f>
        <v>-0.98269568352291969</v>
      </c>
      <c r="BG132" s="60">
        <f ca="1">BG$5-AD132</f>
        <v>1.9852587050185093</v>
      </c>
      <c r="BH132" s="60">
        <f ca="1">BH$5-AE132</f>
        <v>-1.0454077696324333</v>
      </c>
      <c r="BI132" s="60">
        <f ca="1">BI$5-AF132</f>
        <v>-11.391494488745195</v>
      </c>
      <c r="BJ132" s="60">
        <f ca="1">BJ$5-AG132</f>
        <v>-10.56044894232123</v>
      </c>
      <c r="BK132" s="60" t="e">
        <f>BK$5-AH132</f>
        <v>#N/A</v>
      </c>
      <c r="BL132" s="60" t="e">
        <f>BL$5-AI132</f>
        <v>#N/A</v>
      </c>
      <c r="BM132" s="60" t="e">
        <f>BM$5-AJ132</f>
        <v>#N/A</v>
      </c>
      <c r="BN132" s="60" t="e">
        <f>BN$5-AK132</f>
        <v>#N/A</v>
      </c>
      <c r="BO132" s="60" t="e">
        <f>BO$5-AL132</f>
        <v>#N/A</v>
      </c>
      <c r="BP132" s="60" t="e">
        <f>BP$5-AM132</f>
        <v>#N/A</v>
      </c>
      <c r="BQ132" s="60" t="e">
        <f>BQ$5-AN132</f>
        <v>#N/A</v>
      </c>
      <c r="BR132" s="60" t="e">
        <f>BR$5-AO132</f>
        <v>#N/A</v>
      </c>
      <c r="BS132" s="60" t="e">
        <f>BS$5-AP132</f>
        <v>#N/A</v>
      </c>
      <c r="BT132" s="60" t="e">
        <f>BT$5-AQ132</f>
        <v>#N/A</v>
      </c>
      <c r="BV132" s="60" cm="1">
        <f t="array" aca="1" ref="BV132" ca="1">SQRT(SUMSQ(_xlfn._xlws.FILTER(AV132:BT132,ISNUMBER(AV132:BT132)))/COUNT(_xlfn._xlws.FILTER(AV132:BT132,ISNUMBER(AV132:BT132))))</f>
        <v>6.8506982615694634</v>
      </c>
    </row>
    <row r="133" spans="3:74" x14ac:dyDescent="0.2">
      <c r="C133" s="60" t="s">
        <v>252</v>
      </c>
      <c r="D133" s="60">
        <v>0</v>
      </c>
      <c r="E133" s="60">
        <v>-3</v>
      </c>
      <c r="F133" s="60">
        <v>-7</v>
      </c>
      <c r="G133" s="60">
        <v>-10</v>
      </c>
      <c r="H133" s="60">
        <v>-14</v>
      </c>
      <c r="I133" s="60">
        <v>-12</v>
      </c>
      <c r="J133" s="60">
        <v>-12</v>
      </c>
      <c r="K133" s="60">
        <v>-10</v>
      </c>
      <c r="L133" s="60">
        <v>-8</v>
      </c>
      <c r="M133" s="60">
        <v>-6</v>
      </c>
      <c r="N133" s="60">
        <v>-4</v>
      </c>
      <c r="O133" s="60">
        <v>-2</v>
      </c>
      <c r="P133" s="60">
        <v>0</v>
      </c>
      <c r="R133" s="61">
        <f>(ROW(R133)-ROW($C$6))</f>
        <v>127</v>
      </c>
      <c r="S133" s="60">
        <f ca="1">100+HLOOKUP(S$4,$D$7:$P$336,$R133,FALSE)-HLOOKUP(S$3,$D$7:$P$336,$R133,FALSE)</f>
        <v>92</v>
      </c>
      <c r="T133" s="60">
        <f ca="1">100+HLOOKUP(T$4,$D$7:$P$336,$R133,FALSE)-HLOOKUP(T$3,$D$7:$P$336,$R133,FALSE)</f>
        <v>90</v>
      </c>
      <c r="U133" s="60">
        <f ca="1">100+HLOOKUP(U$4,$D$7:$P$336,$R133,FALSE)-HLOOKUP(U$3,$D$7:$P$336,$R133,FALSE)</f>
        <v>95</v>
      </c>
      <c r="V133" s="60">
        <f ca="1">100+HLOOKUP(V$4,$D$7:$P$336,$R133,FALSE)-HLOOKUP(V$3,$D$7:$P$336,$R133,FALSE)</f>
        <v>92</v>
      </c>
      <c r="W133" s="60">
        <f ca="1">100+HLOOKUP(W$4,$D$7:$P$336,$R133,FALSE)-HLOOKUP(W$3,$D$7:$P$336,$R133,FALSE)</f>
        <v>90</v>
      </c>
      <c r="X133" s="60">
        <f ca="1">100+HLOOKUP(X$4,$D$7:$P$336,$R133,FALSE)-HLOOKUP(X$3,$D$7:$P$336,$R133,FALSE)</f>
        <v>92</v>
      </c>
      <c r="Y133" s="60">
        <f ca="1">100+HLOOKUP(Y$4,$D$7:$P$336,$R133,FALSE)-HLOOKUP(Y$3,$D$7:$P$336,$R133,FALSE)</f>
        <v>90</v>
      </c>
      <c r="Z133" s="60">
        <f ca="1">100+HLOOKUP(Z$4,$D$7:$P$336,$R133,FALSE)-HLOOKUP(Z$3,$D$7:$P$336,$R133,FALSE)</f>
        <v>95</v>
      </c>
      <c r="AA133" s="60">
        <f ca="1">100+HLOOKUP(AA$4,$D$7:$P$336,$R133,FALSE)-HLOOKUP(AA$3,$D$7:$P$336,$R133,FALSE)</f>
        <v>92</v>
      </c>
      <c r="AB133" s="60">
        <f ca="1">100+HLOOKUP(AB$4,$D$7:$P$336,$R133,FALSE)-HLOOKUP(AB$3,$D$7:$P$336,$R133,FALSE)</f>
        <v>90</v>
      </c>
      <c r="AC133" s="60">
        <f ca="1">100+HLOOKUP(AC$4,$D$7:$P$336,$R133,FALSE)-HLOOKUP(AC$3,$D$7:$P$336,$R133,FALSE)</f>
        <v>101</v>
      </c>
      <c r="AD133" s="60">
        <f ca="1">100+HLOOKUP(AD$4,$D$7:$P$336,$R133,FALSE)-HLOOKUP(AD$3,$D$7:$P$336,$R133,FALSE)</f>
        <v>112</v>
      </c>
      <c r="AE133" s="60">
        <f ca="1">100+HLOOKUP(AE$4,$D$7:$P$336,$R133,FALSE)-HLOOKUP(AE$3,$D$7:$P$336,$R133,FALSE)</f>
        <v>109</v>
      </c>
      <c r="AF133" s="60">
        <f ca="1">100+HLOOKUP(AF$4,$D$7:$P$336,$R133,FALSE)-HLOOKUP(AF$3,$D$7:$P$336,$R133,FALSE)</f>
        <v>98</v>
      </c>
      <c r="AG133" s="60">
        <f ca="1">100+HLOOKUP(AG$4,$D$7:$P$336,$R133,FALSE)-HLOOKUP(AG$3,$D$7:$P$336,$R133,FALSE)</f>
        <v>92</v>
      </c>
      <c r="AH133" s="60" t="e">
        <f>100+HLOOKUP(AH$4,$D$7:$P$336,$R133,FALSE)-HLOOKUP(AH$3,$D$7:$P$336,$R133,FALSE)</f>
        <v>#N/A</v>
      </c>
      <c r="AI133" s="60" t="e">
        <f>100+HLOOKUP(AI$4,$D$7:$P$336,$R133,FALSE)-HLOOKUP(AI$3,$D$7:$P$336,$R133,FALSE)</f>
        <v>#N/A</v>
      </c>
      <c r="AJ133" s="60" t="e">
        <f>100+HLOOKUP(AJ$4,$D$7:$P$336,$R133,FALSE)-HLOOKUP(AJ$3,$D$7:$P$336,$R133,FALSE)</f>
        <v>#N/A</v>
      </c>
      <c r="AK133" s="60" t="e">
        <f>100+HLOOKUP(AK$4,$D$7:$P$336,$R133,FALSE)-HLOOKUP(AK$3,$D$7:$P$336,$R133,FALSE)</f>
        <v>#N/A</v>
      </c>
      <c r="AL133" s="60" t="e">
        <f>100+HLOOKUP(AL$4,$D$7:$P$336,$R133,FALSE)-HLOOKUP(AL$3,$D$7:$P$336,$R133,FALSE)</f>
        <v>#N/A</v>
      </c>
      <c r="AM133" s="60" t="e">
        <f>100+HLOOKUP(AM$4,$D$7:$P$336,$R133,FALSE)-HLOOKUP(AM$3,$D$7:$P$336,$R133,FALSE)</f>
        <v>#N/A</v>
      </c>
      <c r="AN133" s="60" t="e">
        <f>100+HLOOKUP(AN$4,$D$7:$P$336,$R133,FALSE)-HLOOKUP(AN$3,$D$7:$P$336,$R133,FALSE)</f>
        <v>#N/A</v>
      </c>
      <c r="AO133" s="60" t="e">
        <f>100+HLOOKUP(AO$4,$D$7:$P$336,$R133,FALSE)-HLOOKUP(AO$3,$D$7:$P$336,$R133,FALSE)</f>
        <v>#N/A</v>
      </c>
      <c r="AP133" s="60" t="e">
        <f>100+HLOOKUP(AP$4,$D$7:$P$336,$R133,FALSE)-HLOOKUP(AP$3,$D$7:$P$336,$R133,FALSE)</f>
        <v>#N/A</v>
      </c>
      <c r="AQ133" s="60" t="e">
        <f>100+HLOOKUP(AQ$4,$D$7:$P$336,$R133,FALSE)-HLOOKUP(AQ$3,$D$7:$P$336,$R133,FALSE)</f>
        <v>#N/A</v>
      </c>
      <c r="AV133" s="60">
        <f ca="1">AV$5-S133</f>
        <v>11.190399426796432</v>
      </c>
      <c r="AW133" s="60">
        <f ca="1">AW$5-T133</f>
        <v>4.2206505297577479</v>
      </c>
      <c r="AX133" s="60">
        <f ca="1">AX$5-U133</f>
        <v>6.7759154036680513</v>
      </c>
      <c r="AY133" s="60">
        <f ca="1">AY$5-V133</f>
        <v>1.6030144015278012</v>
      </c>
      <c r="AZ133" s="60">
        <f ca="1">AZ$5-W133</f>
        <v>7.4544821725960304</v>
      </c>
      <c r="BA133" s="60">
        <f ca="1">BA$5-X133</f>
        <v>6.4650590589827033</v>
      </c>
      <c r="BB133" s="60">
        <f ca="1">BB$5-Y133</f>
        <v>3.3505927273811267</v>
      </c>
      <c r="BC133" s="60">
        <f ca="1">BC$5-Z133</f>
        <v>12.437465909882164</v>
      </c>
      <c r="BD133" s="60">
        <f ca="1">BD$5-AA133</f>
        <v>5.936518664382362</v>
      </c>
      <c r="BE133" s="60">
        <f ca="1">BE$5-AB133</f>
        <v>1.829390591992194</v>
      </c>
      <c r="BF133" s="60">
        <f ca="1">BF$5-AC133</f>
        <v>1.7304316477080306E-2</v>
      </c>
      <c r="BG133" s="60">
        <f ca="1">BG$5-AD133</f>
        <v>-8.0147412949814907</v>
      </c>
      <c r="BH133" s="60">
        <f ca="1">BH$5-AE133</f>
        <v>-10.045407769632433</v>
      </c>
      <c r="BI133" s="60">
        <f ca="1">BI$5-AF133</f>
        <v>-7.3914944887451952</v>
      </c>
      <c r="BJ133" s="60">
        <f ca="1">BJ$5-AG133</f>
        <v>-0.56044894232122999</v>
      </c>
      <c r="BK133" s="60" t="e">
        <f>BK$5-AH133</f>
        <v>#N/A</v>
      </c>
      <c r="BL133" s="60" t="e">
        <f>BL$5-AI133</f>
        <v>#N/A</v>
      </c>
      <c r="BM133" s="60" t="e">
        <f>BM$5-AJ133</f>
        <v>#N/A</v>
      </c>
      <c r="BN133" s="60" t="e">
        <f>BN$5-AK133</f>
        <v>#N/A</v>
      </c>
      <c r="BO133" s="60" t="e">
        <f>BO$5-AL133</f>
        <v>#N/A</v>
      </c>
      <c r="BP133" s="60" t="e">
        <f>BP$5-AM133</f>
        <v>#N/A</v>
      </c>
      <c r="BQ133" s="60" t="e">
        <f>BQ$5-AN133</f>
        <v>#N/A</v>
      </c>
      <c r="BR133" s="60" t="e">
        <f>BR$5-AO133</f>
        <v>#N/A</v>
      </c>
      <c r="BS133" s="60" t="e">
        <f>BS$5-AP133</f>
        <v>#N/A</v>
      </c>
      <c r="BT133" s="60" t="e">
        <f>BT$5-AQ133</f>
        <v>#N/A</v>
      </c>
      <c r="BV133" s="60" cm="1">
        <f t="array" aca="1" ref="BV133" ca="1">SQRT(SUMSQ(_xlfn._xlws.FILTER(AV133:BT133,ISNUMBER(AV133:BT133)))/COUNT(_xlfn._xlws.FILTER(AV133:BT133,ISNUMBER(AV133:BT133))))</f>
        <v>6.896804816939893</v>
      </c>
    </row>
    <row r="134" spans="3:74" x14ac:dyDescent="0.2">
      <c r="C134" s="60" t="s">
        <v>250</v>
      </c>
      <c r="D134" s="60">
        <v>0</v>
      </c>
      <c r="E134" s="60">
        <v>-2</v>
      </c>
      <c r="F134" s="60">
        <v>-5</v>
      </c>
      <c r="G134" s="60">
        <v>-10</v>
      </c>
      <c r="H134" s="60">
        <v>-14</v>
      </c>
      <c r="I134" s="60">
        <v>-12</v>
      </c>
      <c r="J134" s="60">
        <v>-10</v>
      </c>
      <c r="K134" s="60">
        <v>-10</v>
      </c>
      <c r="L134" s="60">
        <v>-8</v>
      </c>
      <c r="M134" s="60">
        <v>-6</v>
      </c>
      <c r="N134" s="60">
        <v>-4</v>
      </c>
      <c r="O134" s="60">
        <v>-2</v>
      </c>
      <c r="P134" s="60">
        <v>0</v>
      </c>
      <c r="R134" s="61">
        <f>(ROW(R134)-ROW($C$6))</f>
        <v>128</v>
      </c>
      <c r="S134" s="60">
        <f ca="1">100+HLOOKUP(S$4,$D$7:$P$336,$R134,FALSE)-HLOOKUP(S$3,$D$7:$P$336,$R134,FALSE)</f>
        <v>92</v>
      </c>
      <c r="T134" s="60">
        <f ca="1">100+HLOOKUP(T$4,$D$7:$P$336,$R134,FALSE)-HLOOKUP(T$3,$D$7:$P$336,$R134,FALSE)</f>
        <v>92</v>
      </c>
      <c r="U134" s="60">
        <f ca="1">100+HLOOKUP(U$4,$D$7:$P$336,$R134,FALSE)-HLOOKUP(U$3,$D$7:$P$336,$R134,FALSE)</f>
        <v>94</v>
      </c>
      <c r="V134" s="60">
        <f ca="1">100+HLOOKUP(V$4,$D$7:$P$336,$R134,FALSE)-HLOOKUP(V$3,$D$7:$P$336,$R134,FALSE)</f>
        <v>92</v>
      </c>
      <c r="W134" s="60">
        <f ca="1">100+HLOOKUP(W$4,$D$7:$P$336,$R134,FALSE)-HLOOKUP(W$3,$D$7:$P$336,$R134,FALSE)</f>
        <v>90</v>
      </c>
      <c r="X134" s="60">
        <f ca="1">100+HLOOKUP(X$4,$D$7:$P$336,$R134,FALSE)-HLOOKUP(X$3,$D$7:$P$336,$R134,FALSE)</f>
        <v>92</v>
      </c>
      <c r="Y134" s="60">
        <f ca="1">100+HLOOKUP(Y$4,$D$7:$P$336,$R134,FALSE)-HLOOKUP(Y$3,$D$7:$P$336,$R134,FALSE)</f>
        <v>92</v>
      </c>
      <c r="Z134" s="60">
        <f ca="1">100+HLOOKUP(Z$4,$D$7:$P$336,$R134,FALSE)-HLOOKUP(Z$3,$D$7:$P$336,$R134,FALSE)</f>
        <v>94</v>
      </c>
      <c r="AA134" s="60">
        <f ca="1">100+HLOOKUP(AA$4,$D$7:$P$336,$R134,FALSE)-HLOOKUP(AA$3,$D$7:$P$336,$R134,FALSE)</f>
        <v>92</v>
      </c>
      <c r="AB134" s="60">
        <f ca="1">100+HLOOKUP(AB$4,$D$7:$P$336,$R134,FALSE)-HLOOKUP(AB$3,$D$7:$P$336,$R134,FALSE)</f>
        <v>90</v>
      </c>
      <c r="AC134" s="60">
        <f ca="1">100+HLOOKUP(AC$4,$D$7:$P$336,$R134,FALSE)-HLOOKUP(AC$3,$D$7:$P$336,$R134,FALSE)</f>
        <v>99</v>
      </c>
      <c r="AD134" s="60">
        <f ca="1">100+HLOOKUP(AD$4,$D$7:$P$336,$R134,FALSE)-HLOOKUP(AD$3,$D$7:$P$336,$R134,FALSE)</f>
        <v>112</v>
      </c>
      <c r="AE134" s="60">
        <f ca="1">100+HLOOKUP(AE$4,$D$7:$P$336,$R134,FALSE)-HLOOKUP(AE$3,$D$7:$P$336,$R134,FALSE)</f>
        <v>108</v>
      </c>
      <c r="AF134" s="60">
        <f ca="1">100+HLOOKUP(AF$4,$D$7:$P$336,$R134,FALSE)-HLOOKUP(AF$3,$D$7:$P$336,$R134,FALSE)</f>
        <v>98</v>
      </c>
      <c r="AG134" s="60">
        <f ca="1">100+HLOOKUP(AG$4,$D$7:$P$336,$R134,FALSE)-HLOOKUP(AG$3,$D$7:$P$336,$R134,FALSE)</f>
        <v>92</v>
      </c>
      <c r="AH134" s="60" t="e">
        <f>100+HLOOKUP(AH$4,$D$7:$P$336,$R134,FALSE)-HLOOKUP(AH$3,$D$7:$P$336,$R134,FALSE)</f>
        <v>#N/A</v>
      </c>
      <c r="AI134" s="60" t="e">
        <f>100+HLOOKUP(AI$4,$D$7:$P$336,$R134,FALSE)-HLOOKUP(AI$3,$D$7:$P$336,$R134,FALSE)</f>
        <v>#N/A</v>
      </c>
      <c r="AJ134" s="60" t="e">
        <f>100+HLOOKUP(AJ$4,$D$7:$P$336,$R134,FALSE)-HLOOKUP(AJ$3,$D$7:$P$336,$R134,FALSE)</f>
        <v>#N/A</v>
      </c>
      <c r="AK134" s="60" t="e">
        <f>100+HLOOKUP(AK$4,$D$7:$P$336,$R134,FALSE)-HLOOKUP(AK$3,$D$7:$P$336,$R134,FALSE)</f>
        <v>#N/A</v>
      </c>
      <c r="AL134" s="60" t="e">
        <f>100+HLOOKUP(AL$4,$D$7:$P$336,$R134,FALSE)-HLOOKUP(AL$3,$D$7:$P$336,$R134,FALSE)</f>
        <v>#N/A</v>
      </c>
      <c r="AM134" s="60" t="e">
        <f>100+HLOOKUP(AM$4,$D$7:$P$336,$R134,FALSE)-HLOOKUP(AM$3,$D$7:$P$336,$R134,FALSE)</f>
        <v>#N/A</v>
      </c>
      <c r="AN134" s="60" t="e">
        <f>100+HLOOKUP(AN$4,$D$7:$P$336,$R134,FALSE)-HLOOKUP(AN$3,$D$7:$P$336,$R134,FALSE)</f>
        <v>#N/A</v>
      </c>
      <c r="AO134" s="60" t="e">
        <f>100+HLOOKUP(AO$4,$D$7:$P$336,$R134,FALSE)-HLOOKUP(AO$3,$D$7:$P$336,$R134,FALSE)</f>
        <v>#N/A</v>
      </c>
      <c r="AP134" s="60" t="e">
        <f>100+HLOOKUP(AP$4,$D$7:$P$336,$R134,FALSE)-HLOOKUP(AP$3,$D$7:$P$336,$R134,FALSE)</f>
        <v>#N/A</v>
      </c>
      <c r="AQ134" s="60" t="e">
        <f>100+HLOOKUP(AQ$4,$D$7:$P$336,$R134,FALSE)-HLOOKUP(AQ$3,$D$7:$P$336,$R134,FALSE)</f>
        <v>#N/A</v>
      </c>
      <c r="AV134" s="60">
        <f ca="1">AV$5-S134</f>
        <v>11.190399426796432</v>
      </c>
      <c r="AW134" s="60">
        <f ca="1">AW$5-T134</f>
        <v>2.2206505297577479</v>
      </c>
      <c r="AX134" s="60">
        <f ca="1">AX$5-U134</f>
        <v>7.7759154036680513</v>
      </c>
      <c r="AY134" s="60">
        <f ca="1">AY$5-V134</f>
        <v>1.6030144015278012</v>
      </c>
      <c r="AZ134" s="60">
        <f ca="1">AZ$5-W134</f>
        <v>7.4544821725960304</v>
      </c>
      <c r="BA134" s="60">
        <f ca="1">BA$5-X134</f>
        <v>6.4650590589827033</v>
      </c>
      <c r="BB134" s="60">
        <f ca="1">BB$5-Y134</f>
        <v>1.3505927273811267</v>
      </c>
      <c r="BC134" s="60">
        <f ca="1">BC$5-Z134</f>
        <v>13.437465909882164</v>
      </c>
      <c r="BD134" s="60">
        <f ca="1">BD$5-AA134</f>
        <v>5.936518664382362</v>
      </c>
      <c r="BE134" s="60">
        <f ca="1">BE$5-AB134</f>
        <v>1.829390591992194</v>
      </c>
      <c r="BF134" s="60">
        <f ca="1">BF$5-AC134</f>
        <v>2.0173043164770803</v>
      </c>
      <c r="BG134" s="60">
        <f ca="1">BG$5-AD134</f>
        <v>-8.0147412949814907</v>
      </c>
      <c r="BH134" s="60">
        <f ca="1">BH$5-AE134</f>
        <v>-9.0454077696324333</v>
      </c>
      <c r="BI134" s="60">
        <f ca="1">BI$5-AF134</f>
        <v>-7.3914944887451952</v>
      </c>
      <c r="BJ134" s="60">
        <f ca="1">BJ$5-AG134</f>
        <v>-0.56044894232122999</v>
      </c>
      <c r="BK134" s="60" t="e">
        <f>BK$5-AH134</f>
        <v>#N/A</v>
      </c>
      <c r="BL134" s="60" t="e">
        <f>BL$5-AI134</f>
        <v>#N/A</v>
      </c>
      <c r="BM134" s="60" t="e">
        <f>BM$5-AJ134</f>
        <v>#N/A</v>
      </c>
      <c r="BN134" s="60" t="e">
        <f>BN$5-AK134</f>
        <v>#N/A</v>
      </c>
      <c r="BO134" s="60" t="e">
        <f>BO$5-AL134</f>
        <v>#N/A</v>
      </c>
      <c r="BP134" s="60" t="e">
        <f>BP$5-AM134</f>
        <v>#N/A</v>
      </c>
      <c r="BQ134" s="60" t="e">
        <f>BQ$5-AN134</f>
        <v>#N/A</v>
      </c>
      <c r="BR134" s="60" t="e">
        <f>BR$5-AO134</f>
        <v>#N/A</v>
      </c>
      <c r="BS134" s="60" t="e">
        <f>BS$5-AP134</f>
        <v>#N/A</v>
      </c>
      <c r="BT134" s="60" t="e">
        <f>BT$5-AQ134</f>
        <v>#N/A</v>
      </c>
      <c r="BV134" s="60" cm="1">
        <f t="array" aca="1" ref="BV134" ca="1">SQRT(SUMSQ(_xlfn._xlws.FILTER(AV134:BT134,ISNUMBER(AV134:BT134)))/COUNT(_xlfn._xlws.FILTER(AV134:BT134,ISNUMBER(AV134:BT134))))</f>
        <v>6.9118687370332674</v>
      </c>
    </row>
    <row r="135" spans="3:74" x14ac:dyDescent="0.2">
      <c r="C135" s="60" t="s">
        <v>274</v>
      </c>
      <c r="D135" s="60">
        <v>0</v>
      </c>
      <c r="E135" s="60">
        <v>0</v>
      </c>
      <c r="F135" s="60">
        <v>-4</v>
      </c>
      <c r="G135" s="60">
        <v>0</v>
      </c>
      <c r="H135" s="60">
        <v>0</v>
      </c>
      <c r="I135" s="60">
        <v>-4</v>
      </c>
      <c r="J135" s="60">
        <v>0</v>
      </c>
      <c r="K135" s="60">
        <v>0</v>
      </c>
      <c r="L135" s="60">
        <v>-4</v>
      </c>
      <c r="M135" s="60">
        <v>0</v>
      </c>
      <c r="N135" s="60">
        <v>0</v>
      </c>
      <c r="O135" s="60">
        <v>-4</v>
      </c>
      <c r="P135" s="60">
        <v>0</v>
      </c>
      <c r="R135" s="61">
        <f>(ROW(R135)-ROW($C$6))</f>
        <v>129</v>
      </c>
      <c r="S135" s="60">
        <f ca="1">100+HLOOKUP(S$4,$D$7:$P$336,$R135,FALSE)-HLOOKUP(S$3,$D$7:$P$336,$R135,FALSE)</f>
        <v>100</v>
      </c>
      <c r="T135" s="60">
        <f ca="1">100+HLOOKUP(T$4,$D$7:$P$336,$R135,FALSE)-HLOOKUP(T$3,$D$7:$P$336,$R135,FALSE)</f>
        <v>104</v>
      </c>
      <c r="U135" s="60">
        <f ca="1">100+HLOOKUP(U$4,$D$7:$P$336,$R135,FALSE)-HLOOKUP(U$3,$D$7:$P$336,$R135,FALSE)</f>
        <v>96</v>
      </c>
      <c r="V135" s="60">
        <f ca="1">100+HLOOKUP(V$4,$D$7:$P$336,$R135,FALSE)-HLOOKUP(V$3,$D$7:$P$336,$R135,FALSE)</f>
        <v>96</v>
      </c>
      <c r="W135" s="60">
        <f ca="1">100+HLOOKUP(W$4,$D$7:$P$336,$R135,FALSE)-HLOOKUP(W$3,$D$7:$P$336,$R135,FALSE)</f>
        <v>100</v>
      </c>
      <c r="X135" s="60">
        <f ca="1">100+HLOOKUP(X$4,$D$7:$P$336,$R135,FALSE)-HLOOKUP(X$3,$D$7:$P$336,$R135,FALSE)</f>
        <v>100</v>
      </c>
      <c r="Y135" s="60">
        <f ca="1">100+HLOOKUP(Y$4,$D$7:$P$336,$R135,FALSE)-HLOOKUP(Y$3,$D$7:$P$336,$R135,FALSE)</f>
        <v>104</v>
      </c>
      <c r="Z135" s="60">
        <f ca="1">100+HLOOKUP(Z$4,$D$7:$P$336,$R135,FALSE)-HLOOKUP(Z$3,$D$7:$P$336,$R135,FALSE)</f>
        <v>96</v>
      </c>
      <c r="AA135" s="60">
        <f ca="1">100+HLOOKUP(AA$4,$D$7:$P$336,$R135,FALSE)-HLOOKUP(AA$3,$D$7:$P$336,$R135,FALSE)</f>
        <v>96</v>
      </c>
      <c r="AB135" s="60">
        <f ca="1">100+HLOOKUP(AB$4,$D$7:$P$336,$R135,FALSE)-HLOOKUP(AB$3,$D$7:$P$336,$R135,FALSE)</f>
        <v>100</v>
      </c>
      <c r="AC135" s="60">
        <f ca="1">100+HLOOKUP(AC$4,$D$7:$P$336,$R135,FALSE)-HLOOKUP(AC$3,$D$7:$P$336,$R135,FALSE)</f>
        <v>104</v>
      </c>
      <c r="AD135" s="60">
        <f ca="1">100+HLOOKUP(AD$4,$D$7:$P$336,$R135,FALSE)-HLOOKUP(AD$3,$D$7:$P$336,$R135,FALSE)</f>
        <v>96</v>
      </c>
      <c r="AE135" s="60">
        <f ca="1">100+HLOOKUP(AE$4,$D$7:$P$336,$R135,FALSE)-HLOOKUP(AE$3,$D$7:$P$336,$R135,FALSE)</f>
        <v>100</v>
      </c>
      <c r="AF135" s="60">
        <f ca="1">100+HLOOKUP(AF$4,$D$7:$P$336,$R135,FALSE)-HLOOKUP(AF$3,$D$7:$P$336,$R135,FALSE)</f>
        <v>104</v>
      </c>
      <c r="AG135" s="60">
        <f ca="1">100+HLOOKUP(AG$4,$D$7:$P$336,$R135,FALSE)-HLOOKUP(AG$3,$D$7:$P$336,$R135,FALSE)</f>
        <v>96</v>
      </c>
      <c r="AH135" s="60" t="e">
        <f>100+HLOOKUP(AH$4,$D$7:$P$336,$R135,FALSE)-HLOOKUP(AH$3,$D$7:$P$336,$R135,FALSE)</f>
        <v>#N/A</v>
      </c>
      <c r="AI135" s="60" t="e">
        <f>100+HLOOKUP(AI$4,$D$7:$P$336,$R135,FALSE)-HLOOKUP(AI$3,$D$7:$P$336,$R135,FALSE)</f>
        <v>#N/A</v>
      </c>
      <c r="AJ135" s="60" t="e">
        <f>100+HLOOKUP(AJ$4,$D$7:$P$336,$R135,FALSE)-HLOOKUP(AJ$3,$D$7:$P$336,$R135,FALSE)</f>
        <v>#N/A</v>
      </c>
      <c r="AK135" s="60" t="e">
        <f>100+HLOOKUP(AK$4,$D$7:$P$336,$R135,FALSE)-HLOOKUP(AK$3,$D$7:$P$336,$R135,FALSE)</f>
        <v>#N/A</v>
      </c>
      <c r="AL135" s="60" t="e">
        <f>100+HLOOKUP(AL$4,$D$7:$P$336,$R135,FALSE)-HLOOKUP(AL$3,$D$7:$P$336,$R135,FALSE)</f>
        <v>#N/A</v>
      </c>
      <c r="AM135" s="60" t="e">
        <f>100+HLOOKUP(AM$4,$D$7:$P$336,$R135,FALSE)-HLOOKUP(AM$3,$D$7:$P$336,$R135,FALSE)</f>
        <v>#N/A</v>
      </c>
      <c r="AN135" s="60" t="e">
        <f>100+HLOOKUP(AN$4,$D$7:$P$336,$R135,FALSE)-HLOOKUP(AN$3,$D$7:$P$336,$R135,FALSE)</f>
        <v>#N/A</v>
      </c>
      <c r="AO135" s="60" t="e">
        <f>100+HLOOKUP(AO$4,$D$7:$P$336,$R135,FALSE)-HLOOKUP(AO$3,$D$7:$P$336,$R135,FALSE)</f>
        <v>#N/A</v>
      </c>
      <c r="AP135" s="60" t="e">
        <f>100+HLOOKUP(AP$4,$D$7:$P$336,$R135,FALSE)-HLOOKUP(AP$3,$D$7:$P$336,$R135,FALSE)</f>
        <v>#N/A</v>
      </c>
      <c r="AQ135" s="60" t="e">
        <f>100+HLOOKUP(AQ$4,$D$7:$P$336,$R135,FALSE)-HLOOKUP(AQ$3,$D$7:$P$336,$R135,FALSE)</f>
        <v>#N/A</v>
      </c>
      <c r="AV135" s="60">
        <f ca="1">AV$5-S135</f>
        <v>3.1903994267964322</v>
      </c>
      <c r="AW135" s="60">
        <f ca="1">AW$5-T135</f>
        <v>-9.7793494702422521</v>
      </c>
      <c r="AX135" s="60">
        <f ca="1">AX$5-U135</f>
        <v>5.7759154036680513</v>
      </c>
      <c r="AY135" s="60">
        <f ca="1">AY$5-V135</f>
        <v>-2.3969855984721988</v>
      </c>
      <c r="AZ135" s="60">
        <f ca="1">AZ$5-W135</f>
        <v>-2.5455178274039696</v>
      </c>
      <c r="BA135" s="60">
        <f ca="1">BA$5-X135</f>
        <v>-1.5349409410172967</v>
      </c>
      <c r="BB135" s="60">
        <f ca="1">BB$5-Y135</f>
        <v>-10.649407272618873</v>
      </c>
      <c r="BC135" s="60">
        <f ca="1">BC$5-Z135</f>
        <v>11.437465909882164</v>
      </c>
      <c r="BD135" s="60">
        <f ca="1">BD$5-AA135</f>
        <v>1.936518664382362</v>
      </c>
      <c r="BE135" s="60">
        <f ca="1">BE$5-AB135</f>
        <v>-8.170609408007806</v>
      </c>
      <c r="BF135" s="60">
        <f ca="1">BF$5-AC135</f>
        <v>-2.9826956835229197</v>
      </c>
      <c r="BG135" s="60">
        <f ca="1">BG$5-AD135</f>
        <v>7.9852587050185093</v>
      </c>
      <c r="BH135" s="60">
        <f ca="1">BH$5-AE135</f>
        <v>-1.0454077696324333</v>
      </c>
      <c r="BI135" s="60">
        <f ca="1">BI$5-AF135</f>
        <v>-13.391494488745195</v>
      </c>
      <c r="BJ135" s="60">
        <f ca="1">BJ$5-AG135</f>
        <v>-4.56044894232123</v>
      </c>
      <c r="BK135" s="60" t="e">
        <f>BK$5-AH135</f>
        <v>#N/A</v>
      </c>
      <c r="BL135" s="60" t="e">
        <f>BL$5-AI135</f>
        <v>#N/A</v>
      </c>
      <c r="BM135" s="60" t="e">
        <f>BM$5-AJ135</f>
        <v>#N/A</v>
      </c>
      <c r="BN135" s="60" t="e">
        <f>BN$5-AK135</f>
        <v>#N/A</v>
      </c>
      <c r="BO135" s="60" t="e">
        <f>BO$5-AL135</f>
        <v>#N/A</v>
      </c>
      <c r="BP135" s="60" t="e">
        <f>BP$5-AM135</f>
        <v>#N/A</v>
      </c>
      <c r="BQ135" s="60" t="e">
        <f>BQ$5-AN135</f>
        <v>#N/A</v>
      </c>
      <c r="BR135" s="60" t="e">
        <f>BR$5-AO135</f>
        <v>#N/A</v>
      </c>
      <c r="BS135" s="60" t="e">
        <f>BS$5-AP135</f>
        <v>#N/A</v>
      </c>
      <c r="BT135" s="60" t="e">
        <f>BT$5-AQ135</f>
        <v>#N/A</v>
      </c>
      <c r="BV135" s="60" cm="1">
        <f t="array" aca="1" ref="BV135" ca="1">SQRT(SUMSQ(_xlfn._xlws.FILTER(AV135:BT135,ISNUMBER(AV135:BT135)))/COUNT(_xlfn._xlws.FILTER(AV135:BT135,ISNUMBER(AV135:BT135))))</f>
        <v>7.0350302488704672</v>
      </c>
    </row>
    <row r="136" spans="3:74" x14ac:dyDescent="0.2">
      <c r="C136" s="60" t="s">
        <v>429</v>
      </c>
      <c r="D136" s="60">
        <v>0</v>
      </c>
      <c r="E136" s="60">
        <v>-3</v>
      </c>
      <c r="F136" s="60">
        <v>-5</v>
      </c>
      <c r="G136" s="60">
        <v>-8</v>
      </c>
      <c r="H136" s="60">
        <v>-11</v>
      </c>
      <c r="I136" s="60">
        <v>-14</v>
      </c>
      <c r="J136" s="60">
        <v>-11</v>
      </c>
      <c r="K136" s="60">
        <v>-5</v>
      </c>
      <c r="L136" s="60">
        <v>-8</v>
      </c>
      <c r="M136" s="60">
        <v>-6</v>
      </c>
      <c r="N136" s="60">
        <v>-4</v>
      </c>
      <c r="O136" s="60">
        <v>3</v>
      </c>
      <c r="P136" s="60">
        <v>0</v>
      </c>
      <c r="R136" s="61">
        <f>(ROW(R136)-ROW($C$6))</f>
        <v>130</v>
      </c>
      <c r="S136" s="60">
        <f ca="1">100+HLOOKUP(S$4,$D$7:$P$336,$R136,FALSE)-HLOOKUP(S$3,$D$7:$P$336,$R136,FALSE)</f>
        <v>95</v>
      </c>
      <c r="T136" s="60">
        <f ca="1">100+HLOOKUP(T$4,$D$7:$P$336,$R136,FALSE)-HLOOKUP(T$3,$D$7:$P$336,$R136,FALSE)</f>
        <v>86</v>
      </c>
      <c r="U136" s="60">
        <f ca="1">100+HLOOKUP(U$4,$D$7:$P$336,$R136,FALSE)-HLOOKUP(U$3,$D$7:$P$336,$R136,FALSE)</f>
        <v>95</v>
      </c>
      <c r="V136" s="60">
        <f ca="1">100+HLOOKUP(V$4,$D$7:$P$336,$R136,FALSE)-HLOOKUP(V$3,$D$7:$P$336,$R136,FALSE)</f>
        <v>90</v>
      </c>
      <c r="W136" s="60">
        <f ca="1">100+HLOOKUP(W$4,$D$7:$P$336,$R136,FALSE)-HLOOKUP(W$3,$D$7:$P$336,$R136,FALSE)</f>
        <v>95</v>
      </c>
      <c r="X136" s="60">
        <f ca="1">100+HLOOKUP(X$4,$D$7:$P$336,$R136,FALSE)-HLOOKUP(X$3,$D$7:$P$336,$R136,FALSE)</f>
        <v>95</v>
      </c>
      <c r="Y136" s="60">
        <f ca="1">100+HLOOKUP(Y$4,$D$7:$P$336,$R136,FALSE)-HLOOKUP(Y$3,$D$7:$P$336,$R136,FALSE)</f>
        <v>86</v>
      </c>
      <c r="Z136" s="60">
        <f ca="1">100+HLOOKUP(Z$4,$D$7:$P$336,$R136,FALSE)-HLOOKUP(Z$3,$D$7:$P$336,$R136,FALSE)</f>
        <v>95</v>
      </c>
      <c r="AA136" s="60">
        <f ca="1">100+HLOOKUP(AA$4,$D$7:$P$336,$R136,FALSE)-HLOOKUP(AA$3,$D$7:$P$336,$R136,FALSE)</f>
        <v>90</v>
      </c>
      <c r="AB136" s="60">
        <f ca="1">100+HLOOKUP(AB$4,$D$7:$P$336,$R136,FALSE)-HLOOKUP(AB$3,$D$7:$P$336,$R136,FALSE)</f>
        <v>95</v>
      </c>
      <c r="AC136" s="60">
        <f ca="1">100+HLOOKUP(AC$4,$D$7:$P$336,$R136,FALSE)-HLOOKUP(AC$3,$D$7:$P$336,$R136,FALSE)</f>
        <v>99</v>
      </c>
      <c r="AD136" s="60">
        <f ca="1">100+HLOOKUP(AD$4,$D$7:$P$336,$R136,FALSE)-HLOOKUP(AD$3,$D$7:$P$336,$R136,FALSE)</f>
        <v>114</v>
      </c>
      <c r="AE136" s="60">
        <f ca="1">100+HLOOKUP(AE$4,$D$7:$P$336,$R136,FALSE)-HLOOKUP(AE$3,$D$7:$P$336,$R136,FALSE)</f>
        <v>108</v>
      </c>
      <c r="AF136" s="60">
        <f ca="1">100+HLOOKUP(AF$4,$D$7:$P$336,$R136,FALSE)-HLOOKUP(AF$3,$D$7:$P$336,$R136,FALSE)</f>
        <v>100</v>
      </c>
      <c r="AG136" s="60">
        <f ca="1">100+HLOOKUP(AG$4,$D$7:$P$336,$R136,FALSE)-HLOOKUP(AG$3,$D$7:$P$336,$R136,FALSE)</f>
        <v>90</v>
      </c>
      <c r="AH136" s="60" t="e">
        <f>100+HLOOKUP(AH$4,$D$7:$P$336,$R136,FALSE)-HLOOKUP(AH$3,$D$7:$P$336,$R136,FALSE)</f>
        <v>#N/A</v>
      </c>
      <c r="AI136" s="60" t="e">
        <f>100+HLOOKUP(AI$4,$D$7:$P$336,$R136,FALSE)-HLOOKUP(AI$3,$D$7:$P$336,$R136,FALSE)</f>
        <v>#N/A</v>
      </c>
      <c r="AJ136" s="60" t="e">
        <f>100+HLOOKUP(AJ$4,$D$7:$P$336,$R136,FALSE)-HLOOKUP(AJ$3,$D$7:$P$336,$R136,FALSE)</f>
        <v>#N/A</v>
      </c>
      <c r="AK136" s="60" t="e">
        <f>100+HLOOKUP(AK$4,$D$7:$P$336,$R136,FALSE)-HLOOKUP(AK$3,$D$7:$P$336,$R136,FALSE)</f>
        <v>#N/A</v>
      </c>
      <c r="AL136" s="60" t="e">
        <f>100+HLOOKUP(AL$4,$D$7:$P$336,$R136,FALSE)-HLOOKUP(AL$3,$D$7:$P$336,$R136,FALSE)</f>
        <v>#N/A</v>
      </c>
      <c r="AM136" s="60" t="e">
        <f>100+HLOOKUP(AM$4,$D$7:$P$336,$R136,FALSE)-HLOOKUP(AM$3,$D$7:$P$336,$R136,FALSE)</f>
        <v>#N/A</v>
      </c>
      <c r="AN136" s="60" t="e">
        <f>100+HLOOKUP(AN$4,$D$7:$P$336,$R136,FALSE)-HLOOKUP(AN$3,$D$7:$P$336,$R136,FALSE)</f>
        <v>#N/A</v>
      </c>
      <c r="AO136" s="60" t="e">
        <f>100+HLOOKUP(AO$4,$D$7:$P$336,$R136,FALSE)-HLOOKUP(AO$3,$D$7:$P$336,$R136,FALSE)</f>
        <v>#N/A</v>
      </c>
      <c r="AP136" s="60" t="e">
        <f>100+HLOOKUP(AP$4,$D$7:$P$336,$R136,FALSE)-HLOOKUP(AP$3,$D$7:$P$336,$R136,FALSE)</f>
        <v>#N/A</v>
      </c>
      <c r="AQ136" s="60" t="e">
        <f>100+HLOOKUP(AQ$4,$D$7:$P$336,$R136,FALSE)-HLOOKUP(AQ$3,$D$7:$P$336,$R136,FALSE)</f>
        <v>#N/A</v>
      </c>
      <c r="AV136" s="60">
        <f ca="1">AV$5-S136</f>
        <v>8.1903994267964322</v>
      </c>
      <c r="AW136" s="60">
        <f ca="1">AW$5-T136</f>
        <v>8.2206505297577479</v>
      </c>
      <c r="AX136" s="60">
        <f ca="1">AX$5-U136</f>
        <v>6.7759154036680513</v>
      </c>
      <c r="AY136" s="60">
        <f ca="1">AY$5-V136</f>
        <v>3.6030144015278012</v>
      </c>
      <c r="AZ136" s="60">
        <f ca="1">AZ$5-W136</f>
        <v>2.4544821725960304</v>
      </c>
      <c r="BA136" s="60">
        <f ca="1">BA$5-X136</f>
        <v>3.4650590589827033</v>
      </c>
      <c r="BB136" s="60">
        <f ca="1">BB$5-Y136</f>
        <v>7.3505927273811267</v>
      </c>
      <c r="BC136" s="60">
        <f ca="1">BC$5-Z136</f>
        <v>12.437465909882164</v>
      </c>
      <c r="BD136" s="60">
        <f ca="1">BD$5-AA136</f>
        <v>7.936518664382362</v>
      </c>
      <c r="BE136" s="60">
        <f ca="1">BE$5-AB136</f>
        <v>-3.170609408007806</v>
      </c>
      <c r="BF136" s="60">
        <f ca="1">BF$5-AC136</f>
        <v>2.0173043164770803</v>
      </c>
      <c r="BG136" s="60">
        <f ca="1">BG$5-AD136</f>
        <v>-10.014741294981491</v>
      </c>
      <c r="BH136" s="60">
        <f ca="1">BH$5-AE136</f>
        <v>-9.0454077696324333</v>
      </c>
      <c r="BI136" s="60">
        <f ca="1">BI$5-AF136</f>
        <v>-9.3914944887451952</v>
      </c>
      <c r="BJ136" s="60">
        <f ca="1">BJ$5-AG136</f>
        <v>1.43955105767877</v>
      </c>
      <c r="BK136" s="60" t="e">
        <f>BK$5-AH136</f>
        <v>#N/A</v>
      </c>
      <c r="BL136" s="60" t="e">
        <f>BL$5-AI136</f>
        <v>#N/A</v>
      </c>
      <c r="BM136" s="60" t="e">
        <f>BM$5-AJ136</f>
        <v>#N/A</v>
      </c>
      <c r="BN136" s="60" t="e">
        <f>BN$5-AK136</f>
        <v>#N/A</v>
      </c>
      <c r="BO136" s="60" t="e">
        <f>BO$5-AL136</f>
        <v>#N/A</v>
      </c>
      <c r="BP136" s="60" t="e">
        <f>BP$5-AM136</f>
        <v>#N/A</v>
      </c>
      <c r="BQ136" s="60" t="e">
        <f>BQ$5-AN136</f>
        <v>#N/A</v>
      </c>
      <c r="BR136" s="60" t="e">
        <f>BR$5-AO136</f>
        <v>#N/A</v>
      </c>
      <c r="BS136" s="60" t="e">
        <f>BS$5-AP136</f>
        <v>#N/A</v>
      </c>
      <c r="BT136" s="60" t="e">
        <f>BT$5-AQ136</f>
        <v>#N/A</v>
      </c>
      <c r="BV136" s="60" cm="1">
        <f t="array" aca="1" ref="BV136" ca="1">SQRT(SUMSQ(_xlfn._xlws.FILTER(AV136:BT136,ISNUMBER(AV136:BT136)))/COUNT(_xlfn._xlws.FILTER(AV136:BT136,ISNUMBER(AV136:BT136))))</f>
        <v>7.1638299770301623</v>
      </c>
    </row>
    <row r="137" spans="3:74" x14ac:dyDescent="0.2">
      <c r="C137" s="60" t="s">
        <v>344</v>
      </c>
      <c r="D137" s="60">
        <v>0</v>
      </c>
      <c r="E137" s="60">
        <v>-1.9550000000000001</v>
      </c>
      <c r="F137" s="60">
        <v>-3.91</v>
      </c>
      <c r="G137" s="60">
        <v>-5.8650000000000002</v>
      </c>
      <c r="H137" s="60">
        <v>-7.82</v>
      </c>
      <c r="I137" s="60">
        <v>-9.7750000000000004</v>
      </c>
      <c r="J137" s="60">
        <v>-9.7750000000000004</v>
      </c>
      <c r="K137" s="60">
        <v>-9.7750000000000004</v>
      </c>
      <c r="L137" s="60">
        <v>-3.91</v>
      </c>
      <c r="M137" s="60">
        <v>1.9550000000000001</v>
      </c>
      <c r="N137" s="60">
        <v>1.9550000000000001</v>
      </c>
      <c r="O137" s="60">
        <v>1.9550000000000001</v>
      </c>
      <c r="P137" s="60">
        <v>0</v>
      </c>
      <c r="R137" s="61">
        <f>(ROW(R137)-ROW($C$6))</f>
        <v>131</v>
      </c>
      <c r="S137" s="60">
        <f ca="1">100+HLOOKUP(S$4,$D$7:$P$336,$R137,FALSE)-HLOOKUP(S$3,$D$7:$P$336,$R137,FALSE)</f>
        <v>90.225000000000009</v>
      </c>
      <c r="T137" s="60">
        <f ca="1">100+HLOOKUP(T$4,$D$7:$P$336,$R137,FALSE)-HLOOKUP(T$3,$D$7:$P$336,$R137,FALSE)</f>
        <v>88.27</v>
      </c>
      <c r="U137" s="60">
        <f ca="1">100+HLOOKUP(U$4,$D$7:$P$336,$R137,FALSE)-HLOOKUP(U$3,$D$7:$P$336,$R137,FALSE)</f>
        <v>98.045000000000002</v>
      </c>
      <c r="V137" s="60">
        <f ca="1">100+HLOOKUP(V$4,$D$7:$P$336,$R137,FALSE)-HLOOKUP(V$3,$D$7:$P$336,$R137,FALSE)</f>
        <v>88.27</v>
      </c>
      <c r="W137" s="60">
        <f ca="1">100+HLOOKUP(W$4,$D$7:$P$336,$R137,FALSE)-HLOOKUP(W$3,$D$7:$P$336,$R137,FALSE)</f>
        <v>90.224999999999994</v>
      </c>
      <c r="X137" s="60">
        <f ca="1">100+HLOOKUP(X$4,$D$7:$P$336,$R137,FALSE)-HLOOKUP(X$3,$D$7:$P$336,$R137,FALSE)</f>
        <v>90.225000000000009</v>
      </c>
      <c r="Y137" s="60">
        <f ca="1">100+HLOOKUP(Y$4,$D$7:$P$336,$R137,FALSE)-HLOOKUP(Y$3,$D$7:$P$336,$R137,FALSE)</f>
        <v>88.27</v>
      </c>
      <c r="Z137" s="60">
        <f ca="1">100+HLOOKUP(Z$4,$D$7:$P$336,$R137,FALSE)-HLOOKUP(Z$3,$D$7:$P$336,$R137,FALSE)</f>
        <v>98.045000000000002</v>
      </c>
      <c r="AA137" s="60">
        <f ca="1">100+HLOOKUP(AA$4,$D$7:$P$336,$R137,FALSE)-HLOOKUP(AA$3,$D$7:$P$336,$R137,FALSE)</f>
        <v>88.27</v>
      </c>
      <c r="AB137" s="60">
        <f ca="1">100+HLOOKUP(AB$4,$D$7:$P$336,$R137,FALSE)-HLOOKUP(AB$3,$D$7:$P$336,$R137,FALSE)</f>
        <v>90.224999999999994</v>
      </c>
      <c r="AC137" s="60">
        <f ca="1">100+HLOOKUP(AC$4,$D$7:$P$336,$R137,FALSE)-HLOOKUP(AC$3,$D$7:$P$336,$R137,FALSE)</f>
        <v>105.86499999999999</v>
      </c>
      <c r="AD137" s="60">
        <f ca="1">100+HLOOKUP(AD$4,$D$7:$P$336,$R137,FALSE)-HLOOKUP(AD$3,$D$7:$P$336,$R137,FALSE)</f>
        <v>109.77500000000001</v>
      </c>
      <c r="AE137" s="60">
        <f ca="1">100+HLOOKUP(AE$4,$D$7:$P$336,$R137,FALSE)-HLOOKUP(AE$3,$D$7:$P$336,$R137,FALSE)</f>
        <v>107.82000000000001</v>
      </c>
      <c r="AF137" s="60">
        <f ca="1">100+HLOOKUP(AF$4,$D$7:$P$336,$R137,FALSE)-HLOOKUP(AF$3,$D$7:$P$336,$R137,FALSE)</f>
        <v>98.045000000000002</v>
      </c>
      <c r="AG137" s="60">
        <f ca="1">100+HLOOKUP(AG$4,$D$7:$P$336,$R137,FALSE)-HLOOKUP(AG$3,$D$7:$P$336,$R137,FALSE)</f>
        <v>88.27</v>
      </c>
      <c r="AH137" s="60" t="e">
        <f>100+HLOOKUP(AH$4,$D$7:$P$336,$R137,FALSE)-HLOOKUP(AH$3,$D$7:$P$336,$R137,FALSE)</f>
        <v>#N/A</v>
      </c>
      <c r="AI137" s="60" t="e">
        <f>100+HLOOKUP(AI$4,$D$7:$P$336,$R137,FALSE)-HLOOKUP(AI$3,$D$7:$P$336,$R137,FALSE)</f>
        <v>#N/A</v>
      </c>
      <c r="AJ137" s="60" t="e">
        <f>100+HLOOKUP(AJ$4,$D$7:$P$336,$R137,FALSE)-HLOOKUP(AJ$3,$D$7:$P$336,$R137,FALSE)</f>
        <v>#N/A</v>
      </c>
      <c r="AK137" s="60" t="e">
        <f>100+HLOOKUP(AK$4,$D$7:$P$336,$R137,FALSE)-HLOOKUP(AK$3,$D$7:$P$336,$R137,FALSE)</f>
        <v>#N/A</v>
      </c>
      <c r="AL137" s="60" t="e">
        <f>100+HLOOKUP(AL$4,$D$7:$P$336,$R137,FALSE)-HLOOKUP(AL$3,$D$7:$P$336,$R137,FALSE)</f>
        <v>#N/A</v>
      </c>
      <c r="AM137" s="60" t="e">
        <f>100+HLOOKUP(AM$4,$D$7:$P$336,$R137,FALSE)-HLOOKUP(AM$3,$D$7:$P$336,$R137,FALSE)</f>
        <v>#N/A</v>
      </c>
      <c r="AN137" s="60" t="e">
        <f>100+HLOOKUP(AN$4,$D$7:$P$336,$R137,FALSE)-HLOOKUP(AN$3,$D$7:$P$336,$R137,FALSE)</f>
        <v>#N/A</v>
      </c>
      <c r="AO137" s="60" t="e">
        <f>100+HLOOKUP(AO$4,$D$7:$P$336,$R137,FALSE)-HLOOKUP(AO$3,$D$7:$P$336,$R137,FALSE)</f>
        <v>#N/A</v>
      </c>
      <c r="AP137" s="60" t="e">
        <f>100+HLOOKUP(AP$4,$D$7:$P$336,$R137,FALSE)-HLOOKUP(AP$3,$D$7:$P$336,$R137,FALSE)</f>
        <v>#N/A</v>
      </c>
      <c r="AQ137" s="60" t="e">
        <f>100+HLOOKUP(AQ$4,$D$7:$P$336,$R137,FALSE)-HLOOKUP(AQ$3,$D$7:$P$336,$R137,FALSE)</f>
        <v>#N/A</v>
      </c>
      <c r="AV137" s="60">
        <f ca="1">AV$5-S137</f>
        <v>12.965399426796424</v>
      </c>
      <c r="AW137" s="60">
        <f ca="1">AW$5-T137</f>
        <v>5.9506505297577519</v>
      </c>
      <c r="AX137" s="60">
        <f ca="1">AX$5-U137</f>
        <v>3.7309154036680496</v>
      </c>
      <c r="AY137" s="60">
        <f ca="1">AY$5-V137</f>
        <v>5.3330144015278051</v>
      </c>
      <c r="AZ137" s="60">
        <f ca="1">AZ$5-W137</f>
        <v>7.2294821725960361</v>
      </c>
      <c r="BA137" s="60">
        <f ca="1">BA$5-X137</f>
        <v>8.2400590589826948</v>
      </c>
      <c r="BB137" s="60">
        <f ca="1">BB$5-Y137</f>
        <v>5.0805927273811307</v>
      </c>
      <c r="BC137" s="60">
        <f ca="1">BC$5-Z137</f>
        <v>9.3924659098821621</v>
      </c>
      <c r="BD137" s="60">
        <f ca="1">BD$5-AA137</f>
        <v>9.666518664382366</v>
      </c>
      <c r="BE137" s="60">
        <f ca="1">BE$5-AB137</f>
        <v>1.6043905919921997</v>
      </c>
      <c r="BF137" s="60">
        <f ca="1">BF$5-AC137</f>
        <v>-4.8476956835229146</v>
      </c>
      <c r="BG137" s="60">
        <f ca="1">BG$5-AD137</f>
        <v>-5.7897412949814964</v>
      </c>
      <c r="BH137" s="60">
        <f ca="1">BH$5-AE137</f>
        <v>-8.8654077696324407</v>
      </c>
      <c r="BI137" s="60">
        <f ca="1">BI$5-AF137</f>
        <v>-7.4364944887451969</v>
      </c>
      <c r="BJ137" s="60">
        <f ca="1">BJ$5-AG137</f>
        <v>3.169551057678774</v>
      </c>
      <c r="BK137" s="60" t="e">
        <f>BK$5-AH137</f>
        <v>#N/A</v>
      </c>
      <c r="BL137" s="60" t="e">
        <f>BL$5-AI137</f>
        <v>#N/A</v>
      </c>
      <c r="BM137" s="60" t="e">
        <f>BM$5-AJ137</f>
        <v>#N/A</v>
      </c>
      <c r="BN137" s="60" t="e">
        <f>BN$5-AK137</f>
        <v>#N/A</v>
      </c>
      <c r="BO137" s="60" t="e">
        <f>BO$5-AL137</f>
        <v>#N/A</v>
      </c>
      <c r="BP137" s="60" t="e">
        <f>BP$5-AM137</f>
        <v>#N/A</v>
      </c>
      <c r="BQ137" s="60" t="e">
        <f>BQ$5-AN137</f>
        <v>#N/A</v>
      </c>
      <c r="BR137" s="60" t="e">
        <f>BR$5-AO137</f>
        <v>#N/A</v>
      </c>
      <c r="BS137" s="60" t="e">
        <f>BS$5-AP137</f>
        <v>#N/A</v>
      </c>
      <c r="BT137" s="60" t="e">
        <f>BT$5-AQ137</f>
        <v>#N/A</v>
      </c>
      <c r="BV137" s="60" cm="1">
        <f t="array" aca="1" ref="BV137" ca="1">SQRT(SUMSQ(_xlfn._xlws.FILTER(AV137:BT137,ISNUMBER(AV137:BT137)))/COUNT(_xlfn._xlws.FILTER(AV137:BT137,ISNUMBER(AV137:BT137))))</f>
        <v>7.1974407005210264</v>
      </c>
    </row>
    <row r="138" spans="3:74" x14ac:dyDescent="0.2">
      <c r="C138" s="60" t="s">
        <v>402</v>
      </c>
      <c r="D138" s="60">
        <v>0</v>
      </c>
      <c r="E138" s="60">
        <v>-4</v>
      </c>
      <c r="F138" s="60">
        <v>-8</v>
      </c>
      <c r="G138" s="60">
        <v>-12</v>
      </c>
      <c r="H138" s="60">
        <v>-16</v>
      </c>
      <c r="I138" s="60">
        <v>-14</v>
      </c>
      <c r="J138" s="60">
        <v>-12</v>
      </c>
      <c r="K138" s="60">
        <v>-10</v>
      </c>
      <c r="L138" s="60">
        <v>-8</v>
      </c>
      <c r="M138" s="60">
        <v>-6</v>
      </c>
      <c r="N138" s="60">
        <v>-4</v>
      </c>
      <c r="O138" s="60">
        <v>-2</v>
      </c>
      <c r="P138" s="60">
        <v>0</v>
      </c>
      <c r="R138" s="61">
        <f>(ROW(R138)-ROW($C$6))</f>
        <v>132</v>
      </c>
      <c r="S138" s="60">
        <f ca="1">100+HLOOKUP(S$4,$D$7:$P$336,$R138,FALSE)-HLOOKUP(S$3,$D$7:$P$336,$R138,FALSE)</f>
        <v>90</v>
      </c>
      <c r="T138" s="60">
        <f ca="1">100+HLOOKUP(T$4,$D$7:$P$336,$R138,FALSE)-HLOOKUP(T$3,$D$7:$P$336,$R138,FALSE)</f>
        <v>90</v>
      </c>
      <c r="U138" s="60">
        <f ca="1">100+HLOOKUP(U$4,$D$7:$P$336,$R138,FALSE)-HLOOKUP(U$3,$D$7:$P$336,$R138,FALSE)</f>
        <v>96</v>
      </c>
      <c r="V138" s="60">
        <f ca="1">100+HLOOKUP(V$4,$D$7:$P$336,$R138,FALSE)-HLOOKUP(V$3,$D$7:$P$336,$R138,FALSE)</f>
        <v>90</v>
      </c>
      <c r="W138" s="60">
        <f ca="1">100+HLOOKUP(W$4,$D$7:$P$336,$R138,FALSE)-HLOOKUP(W$3,$D$7:$P$336,$R138,FALSE)</f>
        <v>90</v>
      </c>
      <c r="X138" s="60">
        <f ca="1">100+HLOOKUP(X$4,$D$7:$P$336,$R138,FALSE)-HLOOKUP(X$3,$D$7:$P$336,$R138,FALSE)</f>
        <v>90</v>
      </c>
      <c r="Y138" s="60">
        <f ca="1">100+HLOOKUP(Y$4,$D$7:$P$336,$R138,FALSE)-HLOOKUP(Y$3,$D$7:$P$336,$R138,FALSE)</f>
        <v>90</v>
      </c>
      <c r="Z138" s="60">
        <f ca="1">100+HLOOKUP(Z$4,$D$7:$P$336,$R138,FALSE)-HLOOKUP(Z$3,$D$7:$P$336,$R138,FALSE)</f>
        <v>96</v>
      </c>
      <c r="AA138" s="60">
        <f ca="1">100+HLOOKUP(AA$4,$D$7:$P$336,$R138,FALSE)-HLOOKUP(AA$3,$D$7:$P$336,$R138,FALSE)</f>
        <v>90</v>
      </c>
      <c r="AB138" s="60">
        <f ca="1">100+HLOOKUP(AB$4,$D$7:$P$336,$R138,FALSE)-HLOOKUP(AB$3,$D$7:$P$336,$R138,FALSE)</f>
        <v>90</v>
      </c>
      <c r="AC138" s="60">
        <f ca="1">100+HLOOKUP(AC$4,$D$7:$P$336,$R138,FALSE)-HLOOKUP(AC$3,$D$7:$P$336,$R138,FALSE)</f>
        <v>102</v>
      </c>
      <c r="AD138" s="60">
        <f ca="1">100+HLOOKUP(AD$4,$D$7:$P$336,$R138,FALSE)-HLOOKUP(AD$3,$D$7:$P$336,$R138,FALSE)</f>
        <v>114</v>
      </c>
      <c r="AE138" s="60">
        <f ca="1">100+HLOOKUP(AE$4,$D$7:$P$336,$R138,FALSE)-HLOOKUP(AE$3,$D$7:$P$336,$R138,FALSE)</f>
        <v>108</v>
      </c>
      <c r="AF138" s="60">
        <f ca="1">100+HLOOKUP(AF$4,$D$7:$P$336,$R138,FALSE)-HLOOKUP(AF$3,$D$7:$P$336,$R138,FALSE)</f>
        <v>96</v>
      </c>
      <c r="AG138" s="60">
        <f ca="1">100+HLOOKUP(AG$4,$D$7:$P$336,$R138,FALSE)-HLOOKUP(AG$3,$D$7:$P$336,$R138,FALSE)</f>
        <v>90</v>
      </c>
      <c r="AH138" s="60" t="e">
        <f>100+HLOOKUP(AH$4,$D$7:$P$336,$R138,FALSE)-HLOOKUP(AH$3,$D$7:$P$336,$R138,FALSE)</f>
        <v>#N/A</v>
      </c>
      <c r="AI138" s="60" t="e">
        <f>100+HLOOKUP(AI$4,$D$7:$P$336,$R138,FALSE)-HLOOKUP(AI$3,$D$7:$P$336,$R138,FALSE)</f>
        <v>#N/A</v>
      </c>
      <c r="AJ138" s="60" t="e">
        <f>100+HLOOKUP(AJ$4,$D$7:$P$336,$R138,FALSE)-HLOOKUP(AJ$3,$D$7:$P$336,$R138,FALSE)</f>
        <v>#N/A</v>
      </c>
      <c r="AK138" s="60" t="e">
        <f>100+HLOOKUP(AK$4,$D$7:$P$336,$R138,FALSE)-HLOOKUP(AK$3,$D$7:$P$336,$R138,FALSE)</f>
        <v>#N/A</v>
      </c>
      <c r="AL138" s="60" t="e">
        <f>100+HLOOKUP(AL$4,$D$7:$P$336,$R138,FALSE)-HLOOKUP(AL$3,$D$7:$P$336,$R138,FALSE)</f>
        <v>#N/A</v>
      </c>
      <c r="AM138" s="60" t="e">
        <f>100+HLOOKUP(AM$4,$D$7:$P$336,$R138,FALSE)-HLOOKUP(AM$3,$D$7:$P$336,$R138,FALSE)</f>
        <v>#N/A</v>
      </c>
      <c r="AN138" s="60" t="e">
        <f>100+HLOOKUP(AN$4,$D$7:$P$336,$R138,FALSE)-HLOOKUP(AN$3,$D$7:$P$336,$R138,FALSE)</f>
        <v>#N/A</v>
      </c>
      <c r="AO138" s="60" t="e">
        <f>100+HLOOKUP(AO$4,$D$7:$P$336,$R138,FALSE)-HLOOKUP(AO$3,$D$7:$P$336,$R138,FALSE)</f>
        <v>#N/A</v>
      </c>
      <c r="AP138" s="60" t="e">
        <f>100+HLOOKUP(AP$4,$D$7:$P$336,$R138,FALSE)-HLOOKUP(AP$3,$D$7:$P$336,$R138,FALSE)</f>
        <v>#N/A</v>
      </c>
      <c r="AQ138" s="60" t="e">
        <f>100+HLOOKUP(AQ$4,$D$7:$P$336,$R138,FALSE)-HLOOKUP(AQ$3,$D$7:$P$336,$R138,FALSE)</f>
        <v>#N/A</v>
      </c>
      <c r="AV138" s="60">
        <f ca="1">AV$5-S138</f>
        <v>13.190399426796432</v>
      </c>
      <c r="AW138" s="60">
        <f ca="1">AW$5-T138</f>
        <v>4.2206505297577479</v>
      </c>
      <c r="AX138" s="60">
        <f ca="1">AX$5-U138</f>
        <v>5.7759154036680513</v>
      </c>
      <c r="AY138" s="60">
        <f ca="1">AY$5-V138</f>
        <v>3.6030144015278012</v>
      </c>
      <c r="AZ138" s="60">
        <f ca="1">AZ$5-W138</f>
        <v>7.4544821725960304</v>
      </c>
      <c r="BA138" s="60">
        <f ca="1">BA$5-X138</f>
        <v>8.4650590589827033</v>
      </c>
      <c r="BB138" s="60">
        <f ca="1">BB$5-Y138</f>
        <v>3.3505927273811267</v>
      </c>
      <c r="BC138" s="60">
        <f ca="1">BC$5-Z138</f>
        <v>11.437465909882164</v>
      </c>
      <c r="BD138" s="60">
        <f ca="1">BD$5-AA138</f>
        <v>7.936518664382362</v>
      </c>
      <c r="BE138" s="60">
        <f ca="1">BE$5-AB138</f>
        <v>1.829390591992194</v>
      </c>
      <c r="BF138" s="60">
        <f ca="1">BF$5-AC138</f>
        <v>-0.98269568352291969</v>
      </c>
      <c r="BG138" s="60">
        <f ca="1">BG$5-AD138</f>
        <v>-10.014741294981491</v>
      </c>
      <c r="BH138" s="60">
        <f ca="1">BH$5-AE138</f>
        <v>-9.0454077696324333</v>
      </c>
      <c r="BI138" s="60">
        <f ca="1">BI$5-AF138</f>
        <v>-5.3914944887451952</v>
      </c>
      <c r="BJ138" s="60">
        <f ca="1">BJ$5-AG138</f>
        <v>1.43955105767877</v>
      </c>
      <c r="BK138" s="60" t="e">
        <f>BK$5-AH138</f>
        <v>#N/A</v>
      </c>
      <c r="BL138" s="60" t="e">
        <f>BL$5-AI138</f>
        <v>#N/A</v>
      </c>
      <c r="BM138" s="60" t="e">
        <f>BM$5-AJ138</f>
        <v>#N/A</v>
      </c>
      <c r="BN138" s="60" t="e">
        <f>BN$5-AK138</f>
        <v>#N/A</v>
      </c>
      <c r="BO138" s="60" t="e">
        <f>BO$5-AL138</f>
        <v>#N/A</v>
      </c>
      <c r="BP138" s="60" t="e">
        <f>BP$5-AM138</f>
        <v>#N/A</v>
      </c>
      <c r="BQ138" s="60" t="e">
        <f>BQ$5-AN138</f>
        <v>#N/A</v>
      </c>
      <c r="BR138" s="60" t="e">
        <f>BR$5-AO138</f>
        <v>#N/A</v>
      </c>
      <c r="BS138" s="60" t="e">
        <f>BS$5-AP138</f>
        <v>#N/A</v>
      </c>
      <c r="BT138" s="60" t="e">
        <f>BT$5-AQ138</f>
        <v>#N/A</v>
      </c>
      <c r="BV138" s="60" cm="1">
        <f t="array" aca="1" ref="BV138" ca="1">SQRT(SUMSQ(_xlfn._xlws.FILTER(AV138:BT138,ISNUMBER(AV138:BT138)))/COUNT(_xlfn._xlws.FILTER(AV138:BT138,ISNUMBER(AV138:BT138))))</f>
        <v>7.2478397752138424</v>
      </c>
    </row>
    <row r="139" spans="3:74" x14ac:dyDescent="0.2">
      <c r="C139" s="60" t="s">
        <v>225</v>
      </c>
      <c r="D139" s="60">
        <v>0</v>
      </c>
      <c r="E139" s="60">
        <v>-1.95</v>
      </c>
      <c r="F139" s="60">
        <v>-3.91</v>
      </c>
      <c r="G139" s="60">
        <v>-3.91</v>
      </c>
      <c r="H139" s="60">
        <v>-5.68</v>
      </c>
      <c r="I139" s="60">
        <v>-7.82</v>
      </c>
      <c r="J139" s="60">
        <v>-9.77</v>
      </c>
      <c r="K139" s="60">
        <v>-9.7799999999999994</v>
      </c>
      <c r="L139" s="60">
        <v>-9.77</v>
      </c>
      <c r="M139" s="60">
        <v>-1.95</v>
      </c>
      <c r="N139" s="60">
        <v>0</v>
      </c>
      <c r="O139" s="60">
        <v>0</v>
      </c>
      <c r="P139" s="60">
        <v>0</v>
      </c>
      <c r="R139" s="61">
        <f>(ROW(R139)-ROW($C$6))</f>
        <v>133</v>
      </c>
      <c r="S139" s="60">
        <f ca="1">100+HLOOKUP(S$4,$D$7:$P$336,$R139,FALSE)-HLOOKUP(S$3,$D$7:$P$336,$R139,FALSE)</f>
        <v>96.27</v>
      </c>
      <c r="T139" s="60">
        <f ca="1">100+HLOOKUP(T$4,$D$7:$P$336,$R139,FALSE)-HLOOKUP(T$3,$D$7:$P$336,$R139,FALSE)</f>
        <v>90.23</v>
      </c>
      <c r="U139" s="60">
        <f ca="1">100+HLOOKUP(U$4,$D$7:$P$336,$R139,FALSE)-HLOOKUP(U$3,$D$7:$P$336,$R139,FALSE)</f>
        <v>92.18</v>
      </c>
      <c r="V139" s="60">
        <f ca="1">100+HLOOKUP(V$4,$D$7:$P$336,$R139,FALSE)-HLOOKUP(V$3,$D$7:$P$336,$R139,FALSE)</f>
        <v>92.18</v>
      </c>
      <c r="W139" s="60">
        <f ca="1">100+HLOOKUP(W$4,$D$7:$P$336,$R139,FALSE)-HLOOKUP(W$3,$D$7:$P$336,$R139,FALSE)</f>
        <v>90.22</v>
      </c>
      <c r="X139" s="60">
        <f ca="1">100+HLOOKUP(X$4,$D$7:$P$336,$R139,FALSE)-HLOOKUP(X$3,$D$7:$P$336,$R139,FALSE)</f>
        <v>96.27</v>
      </c>
      <c r="Y139" s="60">
        <f ca="1">100+HLOOKUP(Y$4,$D$7:$P$336,$R139,FALSE)-HLOOKUP(Y$3,$D$7:$P$336,$R139,FALSE)</f>
        <v>90.23</v>
      </c>
      <c r="Z139" s="60">
        <f ca="1">100+HLOOKUP(Z$4,$D$7:$P$336,$R139,FALSE)-HLOOKUP(Z$3,$D$7:$P$336,$R139,FALSE)</f>
        <v>92.18</v>
      </c>
      <c r="AA139" s="60">
        <f ca="1">100+HLOOKUP(AA$4,$D$7:$P$336,$R139,FALSE)-HLOOKUP(AA$3,$D$7:$P$336,$R139,FALSE)</f>
        <v>92.18</v>
      </c>
      <c r="AB139" s="60">
        <f ca="1">100+HLOOKUP(AB$4,$D$7:$P$336,$R139,FALSE)-HLOOKUP(AB$3,$D$7:$P$336,$R139,FALSE)</f>
        <v>90.22</v>
      </c>
      <c r="AC139" s="60">
        <f ca="1">100+HLOOKUP(AC$4,$D$7:$P$336,$R139,FALSE)-HLOOKUP(AC$3,$D$7:$P$336,$R139,FALSE)</f>
        <v>101.96</v>
      </c>
      <c r="AD139" s="60">
        <f ca="1">100+HLOOKUP(AD$4,$D$7:$P$336,$R139,FALSE)-HLOOKUP(AD$3,$D$7:$P$336,$R139,FALSE)</f>
        <v>105.68</v>
      </c>
      <c r="AE139" s="60">
        <f ca="1">100+HLOOKUP(AE$4,$D$7:$P$336,$R139,FALSE)-HLOOKUP(AE$3,$D$7:$P$336,$R139,FALSE)</f>
        <v>107.82</v>
      </c>
      <c r="AF139" s="60">
        <f ca="1">100+HLOOKUP(AF$4,$D$7:$P$336,$R139,FALSE)-HLOOKUP(AF$3,$D$7:$P$336,$R139,FALSE)</f>
        <v>105.86</v>
      </c>
      <c r="AG139" s="60">
        <f ca="1">100+HLOOKUP(AG$4,$D$7:$P$336,$R139,FALSE)-HLOOKUP(AG$3,$D$7:$P$336,$R139,FALSE)</f>
        <v>92.18</v>
      </c>
      <c r="AH139" s="60" t="e">
        <f>100+HLOOKUP(AH$4,$D$7:$P$336,$R139,FALSE)-HLOOKUP(AH$3,$D$7:$P$336,$R139,FALSE)</f>
        <v>#N/A</v>
      </c>
      <c r="AI139" s="60" t="e">
        <f>100+HLOOKUP(AI$4,$D$7:$P$336,$R139,FALSE)-HLOOKUP(AI$3,$D$7:$P$336,$R139,FALSE)</f>
        <v>#N/A</v>
      </c>
      <c r="AJ139" s="60" t="e">
        <f>100+HLOOKUP(AJ$4,$D$7:$P$336,$R139,FALSE)-HLOOKUP(AJ$3,$D$7:$P$336,$R139,FALSE)</f>
        <v>#N/A</v>
      </c>
      <c r="AK139" s="60" t="e">
        <f>100+HLOOKUP(AK$4,$D$7:$P$336,$R139,FALSE)-HLOOKUP(AK$3,$D$7:$P$336,$R139,FALSE)</f>
        <v>#N/A</v>
      </c>
      <c r="AL139" s="60" t="e">
        <f>100+HLOOKUP(AL$4,$D$7:$P$336,$R139,FALSE)-HLOOKUP(AL$3,$D$7:$P$336,$R139,FALSE)</f>
        <v>#N/A</v>
      </c>
      <c r="AM139" s="60" t="e">
        <f>100+HLOOKUP(AM$4,$D$7:$P$336,$R139,FALSE)-HLOOKUP(AM$3,$D$7:$P$336,$R139,FALSE)</f>
        <v>#N/A</v>
      </c>
      <c r="AN139" s="60" t="e">
        <f>100+HLOOKUP(AN$4,$D$7:$P$336,$R139,FALSE)-HLOOKUP(AN$3,$D$7:$P$336,$R139,FALSE)</f>
        <v>#N/A</v>
      </c>
      <c r="AO139" s="60" t="e">
        <f>100+HLOOKUP(AO$4,$D$7:$P$336,$R139,FALSE)-HLOOKUP(AO$3,$D$7:$P$336,$R139,FALSE)</f>
        <v>#N/A</v>
      </c>
      <c r="AP139" s="60" t="e">
        <f>100+HLOOKUP(AP$4,$D$7:$P$336,$R139,FALSE)-HLOOKUP(AP$3,$D$7:$P$336,$R139,FALSE)</f>
        <v>#N/A</v>
      </c>
      <c r="AQ139" s="60" t="e">
        <f>100+HLOOKUP(AQ$4,$D$7:$P$336,$R139,FALSE)-HLOOKUP(AQ$3,$D$7:$P$336,$R139,FALSE)</f>
        <v>#N/A</v>
      </c>
      <c r="AV139" s="60">
        <f ca="1">AV$5-S139</f>
        <v>6.9203994267964362</v>
      </c>
      <c r="AW139" s="60">
        <f ca="1">AW$5-T139</f>
        <v>3.9906505297577439</v>
      </c>
      <c r="AX139" s="60">
        <f ca="1">AX$5-U139</f>
        <v>9.5959154036680445</v>
      </c>
      <c r="AY139" s="60">
        <f ca="1">AY$5-V139</f>
        <v>1.4230144015277943</v>
      </c>
      <c r="AZ139" s="60">
        <f ca="1">AZ$5-W139</f>
        <v>7.2344821725960315</v>
      </c>
      <c r="BA139" s="60">
        <f ca="1">BA$5-X139</f>
        <v>2.1950590589827073</v>
      </c>
      <c r="BB139" s="60">
        <f ca="1">BB$5-Y139</f>
        <v>3.1205927273811227</v>
      </c>
      <c r="BC139" s="60">
        <f ca="1">BC$5-Z139</f>
        <v>15.257465909882157</v>
      </c>
      <c r="BD139" s="60">
        <f ca="1">BD$5-AA139</f>
        <v>5.7565186643823552</v>
      </c>
      <c r="BE139" s="60">
        <f ca="1">BE$5-AB139</f>
        <v>1.6093905919921951</v>
      </c>
      <c r="BF139" s="60">
        <f ca="1">BF$5-AC139</f>
        <v>-0.94269568352291344</v>
      </c>
      <c r="BG139" s="60">
        <f ca="1">BG$5-AD139</f>
        <v>-1.6947412949814975</v>
      </c>
      <c r="BH139" s="60">
        <f ca="1">BH$5-AE139</f>
        <v>-8.8654077696324265</v>
      </c>
      <c r="BI139" s="60">
        <f ca="1">BI$5-AF139</f>
        <v>-15.251494488745195</v>
      </c>
      <c r="BJ139" s="60">
        <f ca="1">BJ$5-AG139</f>
        <v>-0.74044894232123681</v>
      </c>
      <c r="BK139" s="60" t="e">
        <f>BK$5-AH139</f>
        <v>#N/A</v>
      </c>
      <c r="BL139" s="60" t="e">
        <f>BL$5-AI139</f>
        <v>#N/A</v>
      </c>
      <c r="BM139" s="60" t="e">
        <f>BM$5-AJ139</f>
        <v>#N/A</v>
      </c>
      <c r="BN139" s="60" t="e">
        <f>BN$5-AK139</f>
        <v>#N/A</v>
      </c>
      <c r="BO139" s="60" t="e">
        <f>BO$5-AL139</f>
        <v>#N/A</v>
      </c>
      <c r="BP139" s="60" t="e">
        <f>BP$5-AM139</f>
        <v>#N/A</v>
      </c>
      <c r="BQ139" s="60" t="e">
        <f>BQ$5-AN139</f>
        <v>#N/A</v>
      </c>
      <c r="BR139" s="60" t="e">
        <f>BR$5-AO139</f>
        <v>#N/A</v>
      </c>
      <c r="BS139" s="60" t="e">
        <f>BS$5-AP139</f>
        <v>#N/A</v>
      </c>
      <c r="BT139" s="60" t="e">
        <f>BT$5-AQ139</f>
        <v>#N/A</v>
      </c>
      <c r="BV139" s="60" cm="1">
        <f t="array" aca="1" ref="BV139" ca="1">SQRT(SUMSQ(_xlfn._xlws.FILTER(AV139:BT139,ISNUMBER(AV139:BT139)))/COUNT(_xlfn._xlws.FILTER(AV139:BT139,ISNUMBER(AV139:BT139))))</f>
        <v>7.3432437698685256</v>
      </c>
    </row>
    <row r="140" spans="3:74" x14ac:dyDescent="0.2">
      <c r="C140" s="60" t="s">
        <v>343</v>
      </c>
      <c r="D140" s="60">
        <v>0</v>
      </c>
      <c r="E140" s="60">
        <v>-2</v>
      </c>
      <c r="F140" s="60">
        <v>-4</v>
      </c>
      <c r="G140" s="60">
        <v>-6</v>
      </c>
      <c r="H140" s="60">
        <v>-8</v>
      </c>
      <c r="I140" s="60">
        <v>-10</v>
      </c>
      <c r="J140" s="60">
        <v>-10</v>
      </c>
      <c r="K140" s="60">
        <v>-10</v>
      </c>
      <c r="L140" s="60">
        <v>-4</v>
      </c>
      <c r="M140" s="60">
        <v>2</v>
      </c>
      <c r="N140" s="60">
        <v>2</v>
      </c>
      <c r="O140" s="60">
        <v>2</v>
      </c>
      <c r="P140" s="60">
        <v>0</v>
      </c>
      <c r="R140" s="61">
        <f>(ROW(R140)-ROW($C$6))</f>
        <v>134</v>
      </c>
      <c r="S140" s="60">
        <f ca="1">100+HLOOKUP(S$4,$D$7:$P$336,$R140,FALSE)-HLOOKUP(S$3,$D$7:$P$336,$R140,FALSE)</f>
        <v>90</v>
      </c>
      <c r="T140" s="60">
        <f ca="1">100+HLOOKUP(T$4,$D$7:$P$336,$R140,FALSE)-HLOOKUP(T$3,$D$7:$P$336,$R140,FALSE)</f>
        <v>88</v>
      </c>
      <c r="U140" s="60">
        <f ca="1">100+HLOOKUP(U$4,$D$7:$P$336,$R140,FALSE)-HLOOKUP(U$3,$D$7:$P$336,$R140,FALSE)</f>
        <v>98</v>
      </c>
      <c r="V140" s="60">
        <f ca="1">100+HLOOKUP(V$4,$D$7:$P$336,$R140,FALSE)-HLOOKUP(V$3,$D$7:$P$336,$R140,FALSE)</f>
        <v>88</v>
      </c>
      <c r="W140" s="60">
        <f ca="1">100+HLOOKUP(W$4,$D$7:$P$336,$R140,FALSE)-HLOOKUP(W$3,$D$7:$P$336,$R140,FALSE)</f>
        <v>90</v>
      </c>
      <c r="X140" s="60">
        <f ca="1">100+HLOOKUP(X$4,$D$7:$P$336,$R140,FALSE)-HLOOKUP(X$3,$D$7:$P$336,$R140,FALSE)</f>
        <v>90</v>
      </c>
      <c r="Y140" s="60">
        <f ca="1">100+HLOOKUP(Y$4,$D$7:$P$336,$R140,FALSE)-HLOOKUP(Y$3,$D$7:$P$336,$R140,FALSE)</f>
        <v>88</v>
      </c>
      <c r="Z140" s="60">
        <f ca="1">100+HLOOKUP(Z$4,$D$7:$P$336,$R140,FALSE)-HLOOKUP(Z$3,$D$7:$P$336,$R140,FALSE)</f>
        <v>98</v>
      </c>
      <c r="AA140" s="60">
        <f ca="1">100+HLOOKUP(AA$4,$D$7:$P$336,$R140,FALSE)-HLOOKUP(AA$3,$D$7:$P$336,$R140,FALSE)</f>
        <v>88</v>
      </c>
      <c r="AB140" s="60">
        <f ca="1">100+HLOOKUP(AB$4,$D$7:$P$336,$R140,FALSE)-HLOOKUP(AB$3,$D$7:$P$336,$R140,FALSE)</f>
        <v>90</v>
      </c>
      <c r="AC140" s="60">
        <f ca="1">100+HLOOKUP(AC$4,$D$7:$P$336,$R140,FALSE)-HLOOKUP(AC$3,$D$7:$P$336,$R140,FALSE)</f>
        <v>106</v>
      </c>
      <c r="AD140" s="60">
        <f ca="1">100+HLOOKUP(AD$4,$D$7:$P$336,$R140,FALSE)-HLOOKUP(AD$3,$D$7:$P$336,$R140,FALSE)</f>
        <v>110</v>
      </c>
      <c r="AE140" s="60">
        <f ca="1">100+HLOOKUP(AE$4,$D$7:$P$336,$R140,FALSE)-HLOOKUP(AE$3,$D$7:$P$336,$R140,FALSE)</f>
        <v>108</v>
      </c>
      <c r="AF140" s="60">
        <f ca="1">100+HLOOKUP(AF$4,$D$7:$P$336,$R140,FALSE)-HLOOKUP(AF$3,$D$7:$P$336,$R140,FALSE)</f>
        <v>98</v>
      </c>
      <c r="AG140" s="60">
        <f ca="1">100+HLOOKUP(AG$4,$D$7:$P$336,$R140,FALSE)-HLOOKUP(AG$3,$D$7:$P$336,$R140,FALSE)</f>
        <v>88</v>
      </c>
      <c r="AH140" s="60" t="e">
        <f>100+HLOOKUP(AH$4,$D$7:$P$336,$R140,FALSE)-HLOOKUP(AH$3,$D$7:$P$336,$R140,FALSE)</f>
        <v>#N/A</v>
      </c>
      <c r="AI140" s="60" t="e">
        <f>100+HLOOKUP(AI$4,$D$7:$P$336,$R140,FALSE)-HLOOKUP(AI$3,$D$7:$P$336,$R140,FALSE)</f>
        <v>#N/A</v>
      </c>
      <c r="AJ140" s="60" t="e">
        <f>100+HLOOKUP(AJ$4,$D$7:$P$336,$R140,FALSE)-HLOOKUP(AJ$3,$D$7:$P$336,$R140,FALSE)</f>
        <v>#N/A</v>
      </c>
      <c r="AK140" s="60" t="e">
        <f>100+HLOOKUP(AK$4,$D$7:$P$336,$R140,FALSE)-HLOOKUP(AK$3,$D$7:$P$336,$R140,FALSE)</f>
        <v>#N/A</v>
      </c>
      <c r="AL140" s="60" t="e">
        <f>100+HLOOKUP(AL$4,$D$7:$P$336,$R140,FALSE)-HLOOKUP(AL$3,$D$7:$P$336,$R140,FALSE)</f>
        <v>#N/A</v>
      </c>
      <c r="AM140" s="60" t="e">
        <f>100+HLOOKUP(AM$4,$D$7:$P$336,$R140,FALSE)-HLOOKUP(AM$3,$D$7:$P$336,$R140,FALSE)</f>
        <v>#N/A</v>
      </c>
      <c r="AN140" s="60" t="e">
        <f>100+HLOOKUP(AN$4,$D$7:$P$336,$R140,FALSE)-HLOOKUP(AN$3,$D$7:$P$336,$R140,FALSE)</f>
        <v>#N/A</v>
      </c>
      <c r="AO140" s="60" t="e">
        <f>100+HLOOKUP(AO$4,$D$7:$P$336,$R140,FALSE)-HLOOKUP(AO$3,$D$7:$P$336,$R140,FALSE)</f>
        <v>#N/A</v>
      </c>
      <c r="AP140" s="60" t="e">
        <f>100+HLOOKUP(AP$4,$D$7:$P$336,$R140,FALSE)-HLOOKUP(AP$3,$D$7:$P$336,$R140,FALSE)</f>
        <v>#N/A</v>
      </c>
      <c r="AQ140" s="60" t="e">
        <f>100+HLOOKUP(AQ$4,$D$7:$P$336,$R140,FALSE)-HLOOKUP(AQ$3,$D$7:$P$336,$R140,FALSE)</f>
        <v>#N/A</v>
      </c>
      <c r="AV140" s="60">
        <f ca="1">AV$5-S140</f>
        <v>13.190399426796432</v>
      </c>
      <c r="AW140" s="60">
        <f ca="1">AW$5-T140</f>
        <v>6.2206505297577479</v>
      </c>
      <c r="AX140" s="60">
        <f ca="1">AX$5-U140</f>
        <v>3.7759154036680513</v>
      </c>
      <c r="AY140" s="60">
        <f ca="1">AY$5-V140</f>
        <v>5.6030144015278012</v>
      </c>
      <c r="AZ140" s="60">
        <f ca="1">AZ$5-W140</f>
        <v>7.4544821725960304</v>
      </c>
      <c r="BA140" s="60">
        <f ca="1">BA$5-X140</f>
        <v>8.4650590589827033</v>
      </c>
      <c r="BB140" s="60">
        <f ca="1">BB$5-Y140</f>
        <v>5.3505927273811267</v>
      </c>
      <c r="BC140" s="60">
        <f ca="1">BC$5-Z140</f>
        <v>9.4374659098821638</v>
      </c>
      <c r="BD140" s="60">
        <f ca="1">BD$5-AA140</f>
        <v>9.936518664382362</v>
      </c>
      <c r="BE140" s="60">
        <f ca="1">BE$5-AB140</f>
        <v>1.829390591992194</v>
      </c>
      <c r="BF140" s="60">
        <f ca="1">BF$5-AC140</f>
        <v>-4.9826956835229197</v>
      </c>
      <c r="BG140" s="60">
        <f ca="1">BG$5-AD140</f>
        <v>-6.0147412949814907</v>
      </c>
      <c r="BH140" s="60">
        <f ca="1">BH$5-AE140</f>
        <v>-9.0454077696324333</v>
      </c>
      <c r="BI140" s="60">
        <f ca="1">BI$5-AF140</f>
        <v>-7.3914944887451952</v>
      </c>
      <c r="BJ140" s="60">
        <f ca="1">BJ$5-AG140</f>
        <v>3.43955105767877</v>
      </c>
      <c r="BK140" s="60" t="e">
        <f>BK$5-AH140</f>
        <v>#N/A</v>
      </c>
      <c r="BL140" s="60" t="e">
        <f>BL$5-AI140</f>
        <v>#N/A</v>
      </c>
      <c r="BM140" s="60" t="e">
        <f>BM$5-AJ140</f>
        <v>#N/A</v>
      </c>
      <c r="BN140" s="60" t="e">
        <f>BN$5-AK140</f>
        <v>#N/A</v>
      </c>
      <c r="BO140" s="60" t="e">
        <f>BO$5-AL140</f>
        <v>#N/A</v>
      </c>
      <c r="BP140" s="60" t="e">
        <f>BP$5-AM140</f>
        <v>#N/A</v>
      </c>
      <c r="BQ140" s="60" t="e">
        <f>BQ$5-AN140</f>
        <v>#N/A</v>
      </c>
      <c r="BR140" s="60" t="e">
        <f>BR$5-AO140</f>
        <v>#N/A</v>
      </c>
      <c r="BS140" s="60" t="e">
        <f>BS$5-AP140</f>
        <v>#N/A</v>
      </c>
      <c r="BT140" s="60" t="e">
        <f>BT$5-AQ140</f>
        <v>#N/A</v>
      </c>
      <c r="BV140" s="60" cm="1">
        <f t="array" aca="1" ref="BV140" ca="1">SQRT(SUMSQ(_xlfn._xlws.FILTER(AV140:BT140,ISNUMBER(AV140:BT140)))/COUNT(_xlfn._xlws.FILTER(AV140:BT140,ISNUMBER(AV140:BT140))))</f>
        <v>7.3694193278240512</v>
      </c>
    </row>
    <row r="141" spans="3:74" x14ac:dyDescent="0.2">
      <c r="C141" s="60" t="s">
        <v>185</v>
      </c>
      <c r="D141" s="60">
        <v>0</v>
      </c>
      <c r="E141" s="60">
        <v>2</v>
      </c>
      <c r="F141" s="60">
        <v>-2</v>
      </c>
      <c r="G141" s="60">
        <v>-6</v>
      </c>
      <c r="H141" s="60">
        <v>-4</v>
      </c>
      <c r="I141" s="60">
        <v>-2</v>
      </c>
      <c r="J141" s="60">
        <v>-6</v>
      </c>
      <c r="K141" s="60">
        <v>-10</v>
      </c>
      <c r="L141" s="60">
        <v>-8</v>
      </c>
      <c r="M141" s="60">
        <v>0</v>
      </c>
      <c r="N141" s="60">
        <v>2</v>
      </c>
      <c r="O141" s="60">
        <v>-2</v>
      </c>
      <c r="P141" s="60">
        <v>0</v>
      </c>
      <c r="R141" s="61">
        <f>(ROW(R141)-ROW($C$6))</f>
        <v>135</v>
      </c>
      <c r="S141" s="60">
        <f ca="1">100+HLOOKUP(S$4,$D$7:$P$336,$R141,FALSE)-HLOOKUP(S$3,$D$7:$P$336,$R141,FALSE)</f>
        <v>96</v>
      </c>
      <c r="T141" s="60">
        <f ca="1">100+HLOOKUP(T$4,$D$7:$P$336,$R141,FALSE)-HLOOKUP(T$3,$D$7:$P$336,$R141,FALSE)</f>
        <v>96</v>
      </c>
      <c r="U141" s="60">
        <f ca="1">100+HLOOKUP(U$4,$D$7:$P$336,$R141,FALSE)-HLOOKUP(U$3,$D$7:$P$336,$R141,FALSE)</f>
        <v>90</v>
      </c>
      <c r="V141" s="60">
        <f ca="1">100+HLOOKUP(V$4,$D$7:$P$336,$R141,FALSE)-HLOOKUP(V$3,$D$7:$P$336,$R141,FALSE)</f>
        <v>96</v>
      </c>
      <c r="W141" s="60">
        <f ca="1">100+HLOOKUP(W$4,$D$7:$P$336,$R141,FALSE)-HLOOKUP(W$3,$D$7:$P$336,$R141,FALSE)</f>
        <v>90</v>
      </c>
      <c r="X141" s="60">
        <f ca="1">100+HLOOKUP(X$4,$D$7:$P$336,$R141,FALSE)-HLOOKUP(X$3,$D$7:$P$336,$R141,FALSE)</f>
        <v>96</v>
      </c>
      <c r="Y141" s="60">
        <f ca="1">100+HLOOKUP(Y$4,$D$7:$P$336,$R141,FALSE)-HLOOKUP(Y$3,$D$7:$P$336,$R141,FALSE)</f>
        <v>96</v>
      </c>
      <c r="Z141" s="60">
        <f ca="1">100+HLOOKUP(Z$4,$D$7:$P$336,$R141,FALSE)-HLOOKUP(Z$3,$D$7:$P$336,$R141,FALSE)</f>
        <v>90</v>
      </c>
      <c r="AA141" s="60">
        <f ca="1">100+HLOOKUP(AA$4,$D$7:$P$336,$R141,FALSE)-HLOOKUP(AA$3,$D$7:$P$336,$R141,FALSE)</f>
        <v>96</v>
      </c>
      <c r="AB141" s="60">
        <f ca="1">100+HLOOKUP(AB$4,$D$7:$P$336,$R141,FALSE)-HLOOKUP(AB$3,$D$7:$P$336,$R141,FALSE)</f>
        <v>90</v>
      </c>
      <c r="AC141" s="60">
        <f ca="1">100+HLOOKUP(AC$4,$D$7:$P$336,$R141,FALSE)-HLOOKUP(AC$3,$D$7:$P$336,$R141,FALSE)</f>
        <v>102</v>
      </c>
      <c r="AD141" s="60">
        <f ca="1">100+HLOOKUP(AD$4,$D$7:$P$336,$R141,FALSE)-HLOOKUP(AD$3,$D$7:$P$336,$R141,FALSE)</f>
        <v>102</v>
      </c>
      <c r="AE141" s="60">
        <f ca="1">100+HLOOKUP(AE$4,$D$7:$P$336,$R141,FALSE)-HLOOKUP(AE$3,$D$7:$P$336,$R141,FALSE)</f>
        <v>108</v>
      </c>
      <c r="AF141" s="60">
        <f ca="1">100+HLOOKUP(AF$4,$D$7:$P$336,$R141,FALSE)-HLOOKUP(AF$3,$D$7:$P$336,$R141,FALSE)</f>
        <v>102</v>
      </c>
      <c r="AG141" s="60">
        <f ca="1">100+HLOOKUP(AG$4,$D$7:$P$336,$R141,FALSE)-HLOOKUP(AG$3,$D$7:$P$336,$R141,FALSE)</f>
        <v>96</v>
      </c>
      <c r="AH141" s="60" t="e">
        <f>100+HLOOKUP(AH$4,$D$7:$P$336,$R141,FALSE)-HLOOKUP(AH$3,$D$7:$P$336,$R141,FALSE)</f>
        <v>#N/A</v>
      </c>
      <c r="AI141" s="60" t="e">
        <f>100+HLOOKUP(AI$4,$D$7:$P$336,$R141,FALSE)-HLOOKUP(AI$3,$D$7:$P$336,$R141,FALSE)</f>
        <v>#N/A</v>
      </c>
      <c r="AJ141" s="60" t="e">
        <f>100+HLOOKUP(AJ$4,$D$7:$P$336,$R141,FALSE)-HLOOKUP(AJ$3,$D$7:$P$336,$R141,FALSE)</f>
        <v>#N/A</v>
      </c>
      <c r="AK141" s="60" t="e">
        <f>100+HLOOKUP(AK$4,$D$7:$P$336,$R141,FALSE)-HLOOKUP(AK$3,$D$7:$P$336,$R141,FALSE)</f>
        <v>#N/A</v>
      </c>
      <c r="AL141" s="60" t="e">
        <f>100+HLOOKUP(AL$4,$D$7:$P$336,$R141,FALSE)-HLOOKUP(AL$3,$D$7:$P$336,$R141,FALSE)</f>
        <v>#N/A</v>
      </c>
      <c r="AM141" s="60" t="e">
        <f>100+HLOOKUP(AM$4,$D$7:$P$336,$R141,FALSE)-HLOOKUP(AM$3,$D$7:$P$336,$R141,FALSE)</f>
        <v>#N/A</v>
      </c>
      <c r="AN141" s="60" t="e">
        <f>100+HLOOKUP(AN$4,$D$7:$P$336,$R141,FALSE)-HLOOKUP(AN$3,$D$7:$P$336,$R141,FALSE)</f>
        <v>#N/A</v>
      </c>
      <c r="AO141" s="60" t="e">
        <f>100+HLOOKUP(AO$4,$D$7:$P$336,$R141,FALSE)-HLOOKUP(AO$3,$D$7:$P$336,$R141,FALSE)</f>
        <v>#N/A</v>
      </c>
      <c r="AP141" s="60" t="e">
        <f>100+HLOOKUP(AP$4,$D$7:$P$336,$R141,FALSE)-HLOOKUP(AP$3,$D$7:$P$336,$R141,FALSE)</f>
        <v>#N/A</v>
      </c>
      <c r="AQ141" s="60" t="e">
        <f>100+HLOOKUP(AQ$4,$D$7:$P$336,$R141,FALSE)-HLOOKUP(AQ$3,$D$7:$P$336,$R141,FALSE)</f>
        <v>#N/A</v>
      </c>
      <c r="AV141" s="60">
        <f ca="1">AV$5-S141</f>
        <v>7.1903994267964322</v>
      </c>
      <c r="AW141" s="60">
        <f ca="1">AW$5-T141</f>
        <v>-1.7793494702422521</v>
      </c>
      <c r="AX141" s="60">
        <f ca="1">AX$5-U141</f>
        <v>11.775915403668051</v>
      </c>
      <c r="AY141" s="60">
        <f ca="1">AY$5-V141</f>
        <v>-2.3969855984721988</v>
      </c>
      <c r="AZ141" s="60">
        <f ca="1">AZ$5-W141</f>
        <v>7.4544821725960304</v>
      </c>
      <c r="BA141" s="60">
        <f ca="1">BA$5-X141</f>
        <v>2.4650590589827033</v>
      </c>
      <c r="BB141" s="60">
        <f ca="1">BB$5-Y141</f>
        <v>-2.6494072726188733</v>
      </c>
      <c r="BC141" s="60">
        <f ca="1">BC$5-Z141</f>
        <v>17.437465909882164</v>
      </c>
      <c r="BD141" s="60">
        <f ca="1">BD$5-AA141</f>
        <v>1.936518664382362</v>
      </c>
      <c r="BE141" s="60">
        <f ca="1">BE$5-AB141</f>
        <v>1.829390591992194</v>
      </c>
      <c r="BF141" s="60">
        <f ca="1">BF$5-AC141</f>
        <v>-0.98269568352291969</v>
      </c>
      <c r="BG141" s="60">
        <f ca="1">BG$5-AD141</f>
        <v>1.9852587050185093</v>
      </c>
      <c r="BH141" s="60">
        <f ca="1">BH$5-AE141</f>
        <v>-9.0454077696324333</v>
      </c>
      <c r="BI141" s="60">
        <f ca="1">BI$5-AF141</f>
        <v>-11.391494488745195</v>
      </c>
      <c r="BJ141" s="60">
        <f ca="1">BJ$5-AG141</f>
        <v>-4.56044894232123</v>
      </c>
      <c r="BK141" s="60" t="e">
        <f>BK$5-AH141</f>
        <v>#N/A</v>
      </c>
      <c r="BL141" s="60" t="e">
        <f>BL$5-AI141</f>
        <v>#N/A</v>
      </c>
      <c r="BM141" s="60" t="e">
        <f>BM$5-AJ141</f>
        <v>#N/A</v>
      </c>
      <c r="BN141" s="60" t="e">
        <f>BN$5-AK141</f>
        <v>#N/A</v>
      </c>
      <c r="BO141" s="60" t="e">
        <f>BO$5-AL141</f>
        <v>#N/A</v>
      </c>
      <c r="BP141" s="60" t="e">
        <f>BP$5-AM141</f>
        <v>#N/A</v>
      </c>
      <c r="BQ141" s="60" t="e">
        <f>BQ$5-AN141</f>
        <v>#N/A</v>
      </c>
      <c r="BR141" s="60" t="e">
        <f>BR$5-AO141</f>
        <v>#N/A</v>
      </c>
      <c r="BS141" s="60" t="e">
        <f>BS$5-AP141</f>
        <v>#N/A</v>
      </c>
      <c r="BT141" s="60" t="e">
        <f>BT$5-AQ141</f>
        <v>#N/A</v>
      </c>
      <c r="BV141" s="60" cm="1">
        <f t="array" aca="1" ref="BV141" ca="1">SQRT(SUMSQ(_xlfn._xlws.FILTER(AV141:BT141,ISNUMBER(AV141:BT141)))/COUNT(_xlfn._xlws.FILTER(AV141:BT141,ISNUMBER(AV141:BT141))))</f>
        <v>7.3774566948123947</v>
      </c>
    </row>
    <row r="142" spans="3:74" x14ac:dyDescent="0.2">
      <c r="C142" s="60" t="s">
        <v>239</v>
      </c>
      <c r="D142" s="60">
        <v>0</v>
      </c>
      <c r="E142" s="60">
        <v>1.9550000000000001</v>
      </c>
      <c r="F142" s="60">
        <v>3.91</v>
      </c>
      <c r="G142" s="60">
        <v>5.8650000000000002</v>
      </c>
      <c r="H142" s="60">
        <v>7.82</v>
      </c>
      <c r="I142" s="60">
        <v>9.7750000000000004</v>
      </c>
      <c r="J142" s="60">
        <v>0</v>
      </c>
      <c r="K142" s="60">
        <v>1.9550000000000001</v>
      </c>
      <c r="L142" s="60">
        <v>3.91</v>
      </c>
      <c r="M142" s="60">
        <v>5.8650000000000002</v>
      </c>
      <c r="N142" s="60">
        <v>7.82</v>
      </c>
      <c r="O142" s="60">
        <v>-1.9550000000000001</v>
      </c>
      <c r="P142" s="60">
        <v>0</v>
      </c>
      <c r="R142" s="61">
        <f>(ROW(R142)-ROW($C$6))</f>
        <v>136</v>
      </c>
      <c r="S142" s="60">
        <f ca="1">100+HLOOKUP(S$4,$D$7:$P$336,$R142,FALSE)-HLOOKUP(S$3,$D$7:$P$336,$R142,FALSE)</f>
        <v>101.955</v>
      </c>
      <c r="T142" s="60">
        <f ca="1">100+HLOOKUP(T$4,$D$7:$P$336,$R142,FALSE)-HLOOKUP(T$3,$D$7:$P$336,$R142,FALSE)</f>
        <v>101.955</v>
      </c>
      <c r="U142" s="60">
        <f ca="1">100+HLOOKUP(U$4,$D$7:$P$336,$R142,FALSE)-HLOOKUP(U$3,$D$7:$P$336,$R142,FALSE)</f>
        <v>101.955</v>
      </c>
      <c r="V142" s="60">
        <f ca="1">100+HLOOKUP(V$4,$D$7:$P$336,$R142,FALSE)-HLOOKUP(V$3,$D$7:$P$336,$R142,FALSE)</f>
        <v>101.95500000000001</v>
      </c>
      <c r="W142" s="60">
        <f ca="1">100+HLOOKUP(W$4,$D$7:$P$336,$R142,FALSE)-HLOOKUP(W$3,$D$7:$P$336,$R142,FALSE)</f>
        <v>101.955</v>
      </c>
      <c r="X142" s="60">
        <f ca="1">100+HLOOKUP(X$4,$D$7:$P$336,$R142,FALSE)-HLOOKUP(X$3,$D$7:$P$336,$R142,FALSE)</f>
        <v>101.955</v>
      </c>
      <c r="Y142" s="60">
        <f ca="1">100+HLOOKUP(Y$4,$D$7:$P$336,$R142,FALSE)-HLOOKUP(Y$3,$D$7:$P$336,$R142,FALSE)</f>
        <v>101.955</v>
      </c>
      <c r="Z142" s="60">
        <f ca="1">100+HLOOKUP(Z$4,$D$7:$P$336,$R142,FALSE)-HLOOKUP(Z$3,$D$7:$P$336,$R142,FALSE)</f>
        <v>101.955</v>
      </c>
      <c r="AA142" s="60">
        <f ca="1">100+HLOOKUP(AA$4,$D$7:$P$336,$R142,FALSE)-HLOOKUP(AA$3,$D$7:$P$336,$R142,FALSE)</f>
        <v>101.95500000000001</v>
      </c>
      <c r="AB142" s="60">
        <f ca="1">100+HLOOKUP(AB$4,$D$7:$P$336,$R142,FALSE)-HLOOKUP(AB$3,$D$7:$P$336,$R142,FALSE)</f>
        <v>101.955</v>
      </c>
      <c r="AC142" s="60">
        <f ca="1">100+HLOOKUP(AC$4,$D$7:$P$336,$R142,FALSE)-HLOOKUP(AC$3,$D$7:$P$336,$R142,FALSE)</f>
        <v>101.955</v>
      </c>
      <c r="AD142" s="60">
        <f ca="1">100+HLOOKUP(AD$4,$D$7:$P$336,$R142,FALSE)-HLOOKUP(AD$3,$D$7:$P$336,$R142,FALSE)</f>
        <v>90.224999999999994</v>
      </c>
      <c r="AE142" s="60">
        <f ca="1">100+HLOOKUP(AE$4,$D$7:$P$336,$R142,FALSE)-HLOOKUP(AE$3,$D$7:$P$336,$R142,FALSE)</f>
        <v>101.955</v>
      </c>
      <c r="AF142" s="60">
        <f ca="1">100+HLOOKUP(AF$4,$D$7:$P$336,$R142,FALSE)-HLOOKUP(AF$3,$D$7:$P$336,$R142,FALSE)</f>
        <v>101.955</v>
      </c>
      <c r="AG142" s="60">
        <f ca="1">100+HLOOKUP(AG$4,$D$7:$P$336,$R142,FALSE)-HLOOKUP(AG$3,$D$7:$P$336,$R142,FALSE)</f>
        <v>101.95500000000001</v>
      </c>
      <c r="AH142" s="60" t="e">
        <f>100+HLOOKUP(AH$4,$D$7:$P$336,$R142,FALSE)-HLOOKUP(AH$3,$D$7:$P$336,$R142,FALSE)</f>
        <v>#N/A</v>
      </c>
      <c r="AI142" s="60" t="e">
        <f>100+HLOOKUP(AI$4,$D$7:$P$336,$R142,FALSE)-HLOOKUP(AI$3,$D$7:$P$336,$R142,FALSE)</f>
        <v>#N/A</v>
      </c>
      <c r="AJ142" s="60" t="e">
        <f>100+HLOOKUP(AJ$4,$D$7:$P$336,$R142,FALSE)-HLOOKUP(AJ$3,$D$7:$P$336,$R142,FALSE)</f>
        <v>#N/A</v>
      </c>
      <c r="AK142" s="60" t="e">
        <f>100+HLOOKUP(AK$4,$D$7:$P$336,$R142,FALSE)-HLOOKUP(AK$3,$D$7:$P$336,$R142,FALSE)</f>
        <v>#N/A</v>
      </c>
      <c r="AL142" s="60" t="e">
        <f>100+HLOOKUP(AL$4,$D$7:$P$336,$R142,FALSE)-HLOOKUP(AL$3,$D$7:$P$336,$R142,FALSE)</f>
        <v>#N/A</v>
      </c>
      <c r="AM142" s="60" t="e">
        <f>100+HLOOKUP(AM$4,$D$7:$P$336,$R142,FALSE)-HLOOKUP(AM$3,$D$7:$P$336,$R142,FALSE)</f>
        <v>#N/A</v>
      </c>
      <c r="AN142" s="60" t="e">
        <f>100+HLOOKUP(AN$4,$D$7:$P$336,$R142,FALSE)-HLOOKUP(AN$3,$D$7:$P$336,$R142,FALSE)</f>
        <v>#N/A</v>
      </c>
      <c r="AO142" s="60" t="e">
        <f>100+HLOOKUP(AO$4,$D$7:$P$336,$R142,FALSE)-HLOOKUP(AO$3,$D$7:$P$336,$R142,FALSE)</f>
        <v>#N/A</v>
      </c>
      <c r="AP142" s="60" t="e">
        <f>100+HLOOKUP(AP$4,$D$7:$P$336,$R142,FALSE)-HLOOKUP(AP$3,$D$7:$P$336,$R142,FALSE)</f>
        <v>#N/A</v>
      </c>
      <c r="AQ142" s="60" t="e">
        <f>100+HLOOKUP(AQ$4,$D$7:$P$336,$R142,FALSE)-HLOOKUP(AQ$3,$D$7:$P$336,$R142,FALSE)</f>
        <v>#N/A</v>
      </c>
      <c r="AV142" s="60">
        <f ca="1">AV$5-S142</f>
        <v>1.2353994267964339</v>
      </c>
      <c r="AW142" s="60">
        <f ca="1">AW$5-T142</f>
        <v>-7.7343494702422504</v>
      </c>
      <c r="AX142" s="60">
        <f ca="1">AX$5-U142</f>
        <v>-0.17908459633194695</v>
      </c>
      <c r="AY142" s="60">
        <f ca="1">AY$5-V142</f>
        <v>-8.3519855984722113</v>
      </c>
      <c r="AZ142" s="60">
        <f ca="1">AZ$5-W142</f>
        <v>-4.5005178274039679</v>
      </c>
      <c r="BA142" s="60">
        <f ca="1">BA$5-X142</f>
        <v>-3.489940941017295</v>
      </c>
      <c r="BB142" s="60">
        <f ca="1">BB$5-Y142</f>
        <v>-8.6044072726188716</v>
      </c>
      <c r="BC142" s="60">
        <f ca="1">BC$5-Z142</f>
        <v>5.4824659098821655</v>
      </c>
      <c r="BD142" s="60">
        <f ca="1">BD$5-AA142</f>
        <v>-4.0184813356176505</v>
      </c>
      <c r="BE142" s="60">
        <f ca="1">BE$5-AB142</f>
        <v>-10.125609408007804</v>
      </c>
      <c r="BF142" s="60">
        <f ca="1">BF$5-AC142</f>
        <v>-0.93769568352291799</v>
      </c>
      <c r="BG142" s="60">
        <f ca="1">BG$5-AD142</f>
        <v>13.760258705018515</v>
      </c>
      <c r="BH142" s="60">
        <f ca="1">BH$5-AE142</f>
        <v>-3.0004077696324316</v>
      </c>
      <c r="BI142" s="60">
        <f ca="1">BI$5-AF142</f>
        <v>-11.346494488745194</v>
      </c>
      <c r="BJ142" s="60">
        <f ca="1">BJ$5-AG142</f>
        <v>-10.515448942321242</v>
      </c>
      <c r="BK142" s="60" t="e">
        <f>BK$5-AH142</f>
        <v>#N/A</v>
      </c>
      <c r="BL142" s="60" t="e">
        <f>BL$5-AI142</f>
        <v>#N/A</v>
      </c>
      <c r="BM142" s="60" t="e">
        <f>BM$5-AJ142</f>
        <v>#N/A</v>
      </c>
      <c r="BN142" s="60" t="e">
        <f>BN$5-AK142</f>
        <v>#N/A</v>
      </c>
      <c r="BO142" s="60" t="e">
        <f>BO$5-AL142</f>
        <v>#N/A</v>
      </c>
      <c r="BP142" s="60" t="e">
        <f>BP$5-AM142</f>
        <v>#N/A</v>
      </c>
      <c r="BQ142" s="60" t="e">
        <f>BQ$5-AN142</f>
        <v>#N/A</v>
      </c>
      <c r="BR142" s="60" t="e">
        <f>BR$5-AO142</f>
        <v>#N/A</v>
      </c>
      <c r="BS142" s="60" t="e">
        <f>BS$5-AP142</f>
        <v>#N/A</v>
      </c>
      <c r="BT142" s="60" t="e">
        <f>BT$5-AQ142</f>
        <v>#N/A</v>
      </c>
      <c r="BV142" s="60" cm="1">
        <f t="array" aca="1" ref="BV142" ca="1">SQRT(SUMSQ(_xlfn._xlws.FILTER(AV142:BT142,ISNUMBER(AV142:BT142)))/COUNT(_xlfn._xlws.FILTER(AV142:BT142,ISNUMBER(AV142:BT142))))</f>
        <v>7.4156677156406348</v>
      </c>
    </row>
    <row r="143" spans="3:74" x14ac:dyDescent="0.2">
      <c r="C143" s="60" t="s">
        <v>238</v>
      </c>
      <c r="D143" s="60">
        <v>0</v>
      </c>
      <c r="E143" s="60">
        <v>2</v>
      </c>
      <c r="F143" s="60">
        <v>4</v>
      </c>
      <c r="G143" s="60">
        <v>6</v>
      </c>
      <c r="H143" s="60">
        <v>8</v>
      </c>
      <c r="I143" s="60">
        <v>10</v>
      </c>
      <c r="J143" s="60">
        <v>0</v>
      </c>
      <c r="K143" s="60">
        <v>2</v>
      </c>
      <c r="L143" s="60">
        <v>4</v>
      </c>
      <c r="M143" s="60">
        <v>6</v>
      </c>
      <c r="N143" s="60">
        <v>8</v>
      </c>
      <c r="O143" s="60">
        <v>-2</v>
      </c>
      <c r="P143" s="60">
        <v>0</v>
      </c>
      <c r="R143" s="61">
        <f>(ROW(R143)-ROW($C$6))</f>
        <v>137</v>
      </c>
      <c r="S143" s="60">
        <f ca="1">100+HLOOKUP(S$4,$D$7:$P$336,$R143,FALSE)-HLOOKUP(S$3,$D$7:$P$336,$R143,FALSE)</f>
        <v>102</v>
      </c>
      <c r="T143" s="60">
        <f ca="1">100+HLOOKUP(T$4,$D$7:$P$336,$R143,FALSE)-HLOOKUP(T$3,$D$7:$P$336,$R143,FALSE)</f>
        <v>102</v>
      </c>
      <c r="U143" s="60">
        <f ca="1">100+HLOOKUP(U$4,$D$7:$P$336,$R143,FALSE)-HLOOKUP(U$3,$D$7:$P$336,$R143,FALSE)</f>
        <v>102</v>
      </c>
      <c r="V143" s="60">
        <f ca="1">100+HLOOKUP(V$4,$D$7:$P$336,$R143,FALSE)-HLOOKUP(V$3,$D$7:$P$336,$R143,FALSE)</f>
        <v>102</v>
      </c>
      <c r="W143" s="60">
        <f ca="1">100+HLOOKUP(W$4,$D$7:$P$336,$R143,FALSE)-HLOOKUP(W$3,$D$7:$P$336,$R143,FALSE)</f>
        <v>102</v>
      </c>
      <c r="X143" s="60">
        <f ca="1">100+HLOOKUP(X$4,$D$7:$P$336,$R143,FALSE)-HLOOKUP(X$3,$D$7:$P$336,$R143,FALSE)</f>
        <v>102</v>
      </c>
      <c r="Y143" s="60">
        <f ca="1">100+HLOOKUP(Y$4,$D$7:$P$336,$R143,FALSE)-HLOOKUP(Y$3,$D$7:$P$336,$R143,FALSE)</f>
        <v>102</v>
      </c>
      <c r="Z143" s="60">
        <f ca="1">100+HLOOKUP(Z$4,$D$7:$P$336,$R143,FALSE)-HLOOKUP(Z$3,$D$7:$P$336,$R143,FALSE)</f>
        <v>102</v>
      </c>
      <c r="AA143" s="60">
        <f ca="1">100+HLOOKUP(AA$4,$D$7:$P$336,$R143,FALSE)-HLOOKUP(AA$3,$D$7:$P$336,$R143,FALSE)</f>
        <v>102</v>
      </c>
      <c r="AB143" s="60">
        <f ca="1">100+HLOOKUP(AB$4,$D$7:$P$336,$R143,FALSE)-HLOOKUP(AB$3,$D$7:$P$336,$R143,FALSE)</f>
        <v>102</v>
      </c>
      <c r="AC143" s="60">
        <f ca="1">100+HLOOKUP(AC$4,$D$7:$P$336,$R143,FALSE)-HLOOKUP(AC$3,$D$7:$P$336,$R143,FALSE)</f>
        <v>102</v>
      </c>
      <c r="AD143" s="60">
        <f ca="1">100+HLOOKUP(AD$4,$D$7:$P$336,$R143,FALSE)-HLOOKUP(AD$3,$D$7:$P$336,$R143,FALSE)</f>
        <v>90</v>
      </c>
      <c r="AE143" s="60">
        <f ca="1">100+HLOOKUP(AE$4,$D$7:$P$336,$R143,FALSE)-HLOOKUP(AE$3,$D$7:$P$336,$R143,FALSE)</f>
        <v>102</v>
      </c>
      <c r="AF143" s="60">
        <f ca="1">100+HLOOKUP(AF$4,$D$7:$P$336,$R143,FALSE)-HLOOKUP(AF$3,$D$7:$P$336,$R143,FALSE)</f>
        <v>102</v>
      </c>
      <c r="AG143" s="60">
        <f ca="1">100+HLOOKUP(AG$4,$D$7:$P$336,$R143,FALSE)-HLOOKUP(AG$3,$D$7:$P$336,$R143,FALSE)</f>
        <v>102</v>
      </c>
      <c r="AH143" s="60" t="e">
        <f>100+HLOOKUP(AH$4,$D$7:$P$336,$R143,FALSE)-HLOOKUP(AH$3,$D$7:$P$336,$R143,FALSE)</f>
        <v>#N/A</v>
      </c>
      <c r="AI143" s="60" t="e">
        <f>100+HLOOKUP(AI$4,$D$7:$P$336,$R143,FALSE)-HLOOKUP(AI$3,$D$7:$P$336,$R143,FALSE)</f>
        <v>#N/A</v>
      </c>
      <c r="AJ143" s="60" t="e">
        <f>100+HLOOKUP(AJ$4,$D$7:$P$336,$R143,FALSE)-HLOOKUP(AJ$3,$D$7:$P$336,$R143,FALSE)</f>
        <v>#N/A</v>
      </c>
      <c r="AK143" s="60" t="e">
        <f>100+HLOOKUP(AK$4,$D$7:$P$336,$R143,FALSE)-HLOOKUP(AK$3,$D$7:$P$336,$R143,FALSE)</f>
        <v>#N/A</v>
      </c>
      <c r="AL143" s="60" t="e">
        <f>100+HLOOKUP(AL$4,$D$7:$P$336,$R143,FALSE)-HLOOKUP(AL$3,$D$7:$P$336,$R143,FALSE)</f>
        <v>#N/A</v>
      </c>
      <c r="AM143" s="60" t="e">
        <f>100+HLOOKUP(AM$4,$D$7:$P$336,$R143,FALSE)-HLOOKUP(AM$3,$D$7:$P$336,$R143,FALSE)</f>
        <v>#N/A</v>
      </c>
      <c r="AN143" s="60" t="e">
        <f>100+HLOOKUP(AN$4,$D$7:$P$336,$R143,FALSE)-HLOOKUP(AN$3,$D$7:$P$336,$R143,FALSE)</f>
        <v>#N/A</v>
      </c>
      <c r="AO143" s="60" t="e">
        <f>100+HLOOKUP(AO$4,$D$7:$P$336,$R143,FALSE)-HLOOKUP(AO$3,$D$7:$P$336,$R143,FALSE)</f>
        <v>#N/A</v>
      </c>
      <c r="AP143" s="60" t="e">
        <f>100+HLOOKUP(AP$4,$D$7:$P$336,$R143,FALSE)-HLOOKUP(AP$3,$D$7:$P$336,$R143,FALSE)</f>
        <v>#N/A</v>
      </c>
      <c r="AQ143" s="60" t="e">
        <f>100+HLOOKUP(AQ$4,$D$7:$P$336,$R143,FALSE)-HLOOKUP(AQ$3,$D$7:$P$336,$R143,FALSE)</f>
        <v>#N/A</v>
      </c>
      <c r="AV143" s="60">
        <f ca="1">AV$5-S143</f>
        <v>1.1903994267964322</v>
      </c>
      <c r="AW143" s="60">
        <f ca="1">AW$5-T143</f>
        <v>-7.7793494702422521</v>
      </c>
      <c r="AX143" s="60">
        <f ca="1">AX$5-U143</f>
        <v>-0.22408459633194866</v>
      </c>
      <c r="AY143" s="60">
        <f ca="1">AY$5-V143</f>
        <v>-8.3969855984721988</v>
      </c>
      <c r="AZ143" s="60">
        <f ca="1">AZ$5-W143</f>
        <v>-4.5455178274039696</v>
      </c>
      <c r="BA143" s="60">
        <f ca="1">BA$5-X143</f>
        <v>-3.5349409410172967</v>
      </c>
      <c r="BB143" s="60">
        <f ca="1">BB$5-Y143</f>
        <v>-8.6494072726188733</v>
      </c>
      <c r="BC143" s="60">
        <f ca="1">BC$5-Z143</f>
        <v>5.4374659098821638</v>
      </c>
      <c r="BD143" s="60">
        <f ca="1">BD$5-AA143</f>
        <v>-4.063481335617638</v>
      </c>
      <c r="BE143" s="60">
        <f ca="1">BE$5-AB143</f>
        <v>-10.170609408007806</v>
      </c>
      <c r="BF143" s="60">
        <f ca="1">BF$5-AC143</f>
        <v>-0.98269568352291969</v>
      </c>
      <c r="BG143" s="60">
        <f ca="1">BG$5-AD143</f>
        <v>13.985258705018509</v>
      </c>
      <c r="BH143" s="60">
        <f ca="1">BH$5-AE143</f>
        <v>-3.0454077696324333</v>
      </c>
      <c r="BI143" s="60">
        <f ca="1">BI$5-AF143</f>
        <v>-11.391494488745195</v>
      </c>
      <c r="BJ143" s="60">
        <f ca="1">BJ$5-AG143</f>
        <v>-10.56044894232123</v>
      </c>
      <c r="BK143" s="60" t="e">
        <f>BK$5-AH143</f>
        <v>#N/A</v>
      </c>
      <c r="BL143" s="60" t="e">
        <f>BL$5-AI143</f>
        <v>#N/A</v>
      </c>
      <c r="BM143" s="60" t="e">
        <f>BM$5-AJ143</f>
        <v>#N/A</v>
      </c>
      <c r="BN143" s="60" t="e">
        <f>BN$5-AK143</f>
        <v>#N/A</v>
      </c>
      <c r="BO143" s="60" t="e">
        <f>BO$5-AL143</f>
        <v>#N/A</v>
      </c>
      <c r="BP143" s="60" t="e">
        <f>BP$5-AM143</f>
        <v>#N/A</v>
      </c>
      <c r="BQ143" s="60" t="e">
        <f>BQ$5-AN143</f>
        <v>#N/A</v>
      </c>
      <c r="BR143" s="60" t="e">
        <f>BR$5-AO143</f>
        <v>#N/A</v>
      </c>
      <c r="BS143" s="60" t="e">
        <f>BS$5-AP143</f>
        <v>#N/A</v>
      </c>
      <c r="BT143" s="60" t="e">
        <f>BT$5-AQ143</f>
        <v>#N/A</v>
      </c>
      <c r="BV143" s="60" cm="1">
        <f t="array" aca="1" ref="BV143" ca="1">SQRT(SUMSQ(_xlfn._xlws.FILTER(AV143:BT143,ISNUMBER(AV143:BT143)))/COUNT(_xlfn._xlws.FILTER(AV143:BT143,ISNUMBER(AV143:BT143))))</f>
        <v>7.470389533212364</v>
      </c>
    </row>
    <row r="144" spans="3:74" x14ac:dyDescent="0.2">
      <c r="C144" s="60" t="s">
        <v>430</v>
      </c>
      <c r="D144" s="60">
        <v>0</v>
      </c>
      <c r="E144" s="60">
        <v>2</v>
      </c>
      <c r="F144" s="60">
        <v>4</v>
      </c>
      <c r="G144" s="60">
        <v>6</v>
      </c>
      <c r="H144" s="60">
        <v>8</v>
      </c>
      <c r="I144" s="60">
        <v>10</v>
      </c>
      <c r="J144" s="60">
        <v>0</v>
      </c>
      <c r="K144" s="60">
        <v>2</v>
      </c>
      <c r="L144" s="60">
        <v>4</v>
      </c>
      <c r="M144" s="60">
        <v>6</v>
      </c>
      <c r="N144" s="60">
        <v>8</v>
      </c>
      <c r="O144" s="60">
        <v>-2</v>
      </c>
      <c r="P144" s="60">
        <v>0</v>
      </c>
      <c r="R144" s="61">
        <f>(ROW(R144)-ROW($C$6))</f>
        <v>138</v>
      </c>
      <c r="S144" s="60">
        <f ca="1">100+HLOOKUP(S$4,$D$7:$P$336,$R144,FALSE)-HLOOKUP(S$3,$D$7:$P$336,$R144,FALSE)</f>
        <v>102</v>
      </c>
      <c r="T144" s="60">
        <f ca="1">100+HLOOKUP(T$4,$D$7:$P$336,$R144,FALSE)-HLOOKUP(T$3,$D$7:$P$336,$R144,FALSE)</f>
        <v>102</v>
      </c>
      <c r="U144" s="60">
        <f ca="1">100+HLOOKUP(U$4,$D$7:$P$336,$R144,FALSE)-HLOOKUP(U$3,$D$7:$P$336,$R144,FALSE)</f>
        <v>102</v>
      </c>
      <c r="V144" s="60">
        <f ca="1">100+HLOOKUP(V$4,$D$7:$P$336,$R144,FALSE)-HLOOKUP(V$3,$D$7:$P$336,$R144,FALSE)</f>
        <v>102</v>
      </c>
      <c r="W144" s="60">
        <f ca="1">100+HLOOKUP(W$4,$D$7:$P$336,$R144,FALSE)-HLOOKUP(W$3,$D$7:$P$336,$R144,FALSE)</f>
        <v>102</v>
      </c>
      <c r="X144" s="60">
        <f ca="1">100+HLOOKUP(X$4,$D$7:$P$336,$R144,FALSE)-HLOOKUP(X$3,$D$7:$P$336,$R144,FALSE)</f>
        <v>102</v>
      </c>
      <c r="Y144" s="60">
        <f ca="1">100+HLOOKUP(Y$4,$D$7:$P$336,$R144,FALSE)-HLOOKUP(Y$3,$D$7:$P$336,$R144,FALSE)</f>
        <v>102</v>
      </c>
      <c r="Z144" s="60">
        <f ca="1">100+HLOOKUP(Z$4,$D$7:$P$336,$R144,FALSE)-HLOOKUP(Z$3,$D$7:$P$336,$R144,FALSE)</f>
        <v>102</v>
      </c>
      <c r="AA144" s="60">
        <f ca="1">100+HLOOKUP(AA$4,$D$7:$P$336,$R144,FALSE)-HLOOKUP(AA$3,$D$7:$P$336,$R144,FALSE)</f>
        <v>102</v>
      </c>
      <c r="AB144" s="60">
        <f ca="1">100+HLOOKUP(AB$4,$D$7:$P$336,$R144,FALSE)-HLOOKUP(AB$3,$D$7:$P$336,$R144,FALSE)</f>
        <v>102</v>
      </c>
      <c r="AC144" s="60">
        <f ca="1">100+HLOOKUP(AC$4,$D$7:$P$336,$R144,FALSE)-HLOOKUP(AC$3,$D$7:$P$336,$R144,FALSE)</f>
        <v>102</v>
      </c>
      <c r="AD144" s="60">
        <f ca="1">100+HLOOKUP(AD$4,$D$7:$P$336,$R144,FALSE)-HLOOKUP(AD$3,$D$7:$P$336,$R144,FALSE)</f>
        <v>90</v>
      </c>
      <c r="AE144" s="60">
        <f ca="1">100+HLOOKUP(AE$4,$D$7:$P$336,$R144,FALSE)-HLOOKUP(AE$3,$D$7:$P$336,$R144,FALSE)</f>
        <v>102</v>
      </c>
      <c r="AF144" s="60">
        <f ca="1">100+HLOOKUP(AF$4,$D$7:$P$336,$R144,FALSE)-HLOOKUP(AF$3,$D$7:$P$336,$R144,FALSE)</f>
        <v>102</v>
      </c>
      <c r="AG144" s="60">
        <f ca="1">100+HLOOKUP(AG$4,$D$7:$P$336,$R144,FALSE)-HLOOKUP(AG$3,$D$7:$P$336,$R144,FALSE)</f>
        <v>102</v>
      </c>
      <c r="AH144" s="60" t="e">
        <f>100+HLOOKUP(AH$4,$D$7:$P$336,$R144,FALSE)-HLOOKUP(AH$3,$D$7:$P$336,$R144,FALSE)</f>
        <v>#N/A</v>
      </c>
      <c r="AI144" s="60" t="e">
        <f>100+HLOOKUP(AI$4,$D$7:$P$336,$R144,FALSE)-HLOOKUP(AI$3,$D$7:$P$336,$R144,FALSE)</f>
        <v>#N/A</v>
      </c>
      <c r="AJ144" s="60" t="e">
        <f>100+HLOOKUP(AJ$4,$D$7:$P$336,$R144,FALSE)-HLOOKUP(AJ$3,$D$7:$P$336,$R144,FALSE)</f>
        <v>#N/A</v>
      </c>
      <c r="AK144" s="60" t="e">
        <f>100+HLOOKUP(AK$4,$D$7:$P$336,$R144,FALSE)-HLOOKUP(AK$3,$D$7:$P$336,$R144,FALSE)</f>
        <v>#N/A</v>
      </c>
      <c r="AL144" s="60" t="e">
        <f>100+HLOOKUP(AL$4,$D$7:$P$336,$R144,FALSE)-HLOOKUP(AL$3,$D$7:$P$336,$R144,FALSE)</f>
        <v>#N/A</v>
      </c>
      <c r="AM144" s="60" t="e">
        <f>100+HLOOKUP(AM$4,$D$7:$P$336,$R144,FALSE)-HLOOKUP(AM$3,$D$7:$P$336,$R144,FALSE)</f>
        <v>#N/A</v>
      </c>
      <c r="AN144" s="60" t="e">
        <f>100+HLOOKUP(AN$4,$D$7:$P$336,$R144,FALSE)-HLOOKUP(AN$3,$D$7:$P$336,$R144,FALSE)</f>
        <v>#N/A</v>
      </c>
      <c r="AO144" s="60" t="e">
        <f>100+HLOOKUP(AO$4,$D$7:$P$336,$R144,FALSE)-HLOOKUP(AO$3,$D$7:$P$336,$R144,FALSE)</f>
        <v>#N/A</v>
      </c>
      <c r="AP144" s="60" t="e">
        <f>100+HLOOKUP(AP$4,$D$7:$P$336,$R144,FALSE)-HLOOKUP(AP$3,$D$7:$P$336,$R144,FALSE)</f>
        <v>#N/A</v>
      </c>
      <c r="AQ144" s="60" t="e">
        <f>100+HLOOKUP(AQ$4,$D$7:$P$336,$R144,FALSE)-HLOOKUP(AQ$3,$D$7:$P$336,$R144,FALSE)</f>
        <v>#N/A</v>
      </c>
      <c r="AV144" s="60">
        <f ca="1">AV$5-S144</f>
        <v>1.1903994267964322</v>
      </c>
      <c r="AW144" s="60">
        <f ca="1">AW$5-T144</f>
        <v>-7.7793494702422521</v>
      </c>
      <c r="AX144" s="60">
        <f ca="1">AX$5-U144</f>
        <v>-0.22408459633194866</v>
      </c>
      <c r="AY144" s="60">
        <f ca="1">AY$5-V144</f>
        <v>-8.3969855984721988</v>
      </c>
      <c r="AZ144" s="60">
        <f ca="1">AZ$5-W144</f>
        <v>-4.5455178274039696</v>
      </c>
      <c r="BA144" s="60">
        <f ca="1">BA$5-X144</f>
        <v>-3.5349409410172967</v>
      </c>
      <c r="BB144" s="60">
        <f ca="1">BB$5-Y144</f>
        <v>-8.6494072726188733</v>
      </c>
      <c r="BC144" s="60">
        <f ca="1">BC$5-Z144</f>
        <v>5.4374659098821638</v>
      </c>
      <c r="BD144" s="60">
        <f ca="1">BD$5-AA144</f>
        <v>-4.063481335617638</v>
      </c>
      <c r="BE144" s="60">
        <f ca="1">BE$5-AB144</f>
        <v>-10.170609408007806</v>
      </c>
      <c r="BF144" s="60">
        <f ca="1">BF$5-AC144</f>
        <v>-0.98269568352291969</v>
      </c>
      <c r="BG144" s="60">
        <f ca="1">BG$5-AD144</f>
        <v>13.985258705018509</v>
      </c>
      <c r="BH144" s="60">
        <f ca="1">BH$5-AE144</f>
        <v>-3.0454077696324333</v>
      </c>
      <c r="BI144" s="60">
        <f ca="1">BI$5-AF144</f>
        <v>-11.391494488745195</v>
      </c>
      <c r="BJ144" s="60">
        <f ca="1">BJ$5-AG144</f>
        <v>-10.56044894232123</v>
      </c>
      <c r="BK144" s="60" t="e">
        <f>BK$5-AH144</f>
        <v>#N/A</v>
      </c>
      <c r="BL144" s="60" t="e">
        <f>BL$5-AI144</f>
        <v>#N/A</v>
      </c>
      <c r="BM144" s="60" t="e">
        <f>BM$5-AJ144</f>
        <v>#N/A</v>
      </c>
      <c r="BN144" s="60" t="e">
        <f>BN$5-AK144</f>
        <v>#N/A</v>
      </c>
      <c r="BO144" s="60" t="e">
        <f>BO$5-AL144</f>
        <v>#N/A</v>
      </c>
      <c r="BP144" s="60" t="e">
        <f>BP$5-AM144</f>
        <v>#N/A</v>
      </c>
      <c r="BQ144" s="60" t="e">
        <f>BQ$5-AN144</f>
        <v>#N/A</v>
      </c>
      <c r="BR144" s="60" t="e">
        <f>BR$5-AO144</f>
        <v>#N/A</v>
      </c>
      <c r="BS144" s="60" t="e">
        <f>BS$5-AP144</f>
        <v>#N/A</v>
      </c>
      <c r="BT144" s="60" t="e">
        <f>BT$5-AQ144</f>
        <v>#N/A</v>
      </c>
      <c r="BV144" s="60" cm="1">
        <f t="array" aca="1" ref="BV144" ca="1">SQRT(SUMSQ(_xlfn._xlws.FILTER(AV144:BT144,ISNUMBER(AV144:BT144)))/COUNT(_xlfn._xlws.FILTER(AV144:BT144,ISNUMBER(AV144:BT144))))</f>
        <v>7.470389533212364</v>
      </c>
    </row>
    <row r="145" spans="3:74" x14ac:dyDescent="0.2">
      <c r="C145" s="60" t="s">
        <v>206</v>
      </c>
      <c r="D145" s="60">
        <v>0</v>
      </c>
      <c r="E145" s="60">
        <v>0</v>
      </c>
      <c r="F145" s="60">
        <v>0</v>
      </c>
      <c r="G145" s="60">
        <v>0</v>
      </c>
      <c r="H145" s="60">
        <v>2</v>
      </c>
      <c r="I145" s="60">
        <v>4</v>
      </c>
      <c r="J145" s="60">
        <v>4</v>
      </c>
      <c r="K145" s="60">
        <v>2</v>
      </c>
      <c r="L145" s="60">
        <v>0</v>
      </c>
      <c r="M145" s="60">
        <v>2</v>
      </c>
      <c r="N145" s="60">
        <v>0</v>
      </c>
      <c r="O145" s="60">
        <v>0</v>
      </c>
      <c r="P145" s="60">
        <v>0</v>
      </c>
      <c r="R145" s="61">
        <f>(ROW(R145)-ROW($C$6))</f>
        <v>139</v>
      </c>
      <c r="S145" s="60">
        <f ca="1">100+HLOOKUP(S$4,$D$7:$P$336,$R145,FALSE)-HLOOKUP(S$3,$D$7:$P$336,$R145,FALSE)</f>
        <v>100</v>
      </c>
      <c r="T145" s="60">
        <f ca="1">100+HLOOKUP(T$4,$D$7:$P$336,$R145,FALSE)-HLOOKUP(T$3,$D$7:$P$336,$R145,FALSE)</f>
        <v>104</v>
      </c>
      <c r="U145" s="60">
        <f ca="1">100+HLOOKUP(U$4,$D$7:$P$336,$R145,FALSE)-HLOOKUP(U$3,$D$7:$P$336,$R145,FALSE)</f>
        <v>100</v>
      </c>
      <c r="V145" s="60">
        <f ca="1">100+HLOOKUP(V$4,$D$7:$P$336,$R145,FALSE)-HLOOKUP(V$3,$D$7:$P$336,$R145,FALSE)</f>
        <v>104</v>
      </c>
      <c r="W145" s="60">
        <f ca="1">100+HLOOKUP(W$4,$D$7:$P$336,$R145,FALSE)-HLOOKUP(W$3,$D$7:$P$336,$R145,FALSE)</f>
        <v>102</v>
      </c>
      <c r="X145" s="60">
        <f ca="1">100+HLOOKUP(X$4,$D$7:$P$336,$R145,FALSE)-HLOOKUP(X$3,$D$7:$P$336,$R145,FALSE)</f>
        <v>100</v>
      </c>
      <c r="Y145" s="60">
        <f ca="1">100+HLOOKUP(Y$4,$D$7:$P$336,$R145,FALSE)-HLOOKUP(Y$3,$D$7:$P$336,$R145,FALSE)</f>
        <v>104</v>
      </c>
      <c r="Z145" s="60">
        <f ca="1">100+HLOOKUP(Z$4,$D$7:$P$336,$R145,FALSE)-HLOOKUP(Z$3,$D$7:$P$336,$R145,FALSE)</f>
        <v>100</v>
      </c>
      <c r="AA145" s="60">
        <f ca="1">100+HLOOKUP(AA$4,$D$7:$P$336,$R145,FALSE)-HLOOKUP(AA$3,$D$7:$P$336,$R145,FALSE)</f>
        <v>104</v>
      </c>
      <c r="AB145" s="60">
        <f ca="1">100+HLOOKUP(AB$4,$D$7:$P$336,$R145,FALSE)-HLOOKUP(AB$3,$D$7:$P$336,$R145,FALSE)</f>
        <v>102</v>
      </c>
      <c r="AC145" s="60">
        <f ca="1">100+HLOOKUP(AC$4,$D$7:$P$336,$R145,FALSE)-HLOOKUP(AC$3,$D$7:$P$336,$R145,FALSE)</f>
        <v>102</v>
      </c>
      <c r="AD145" s="60">
        <f ca="1">100+HLOOKUP(AD$4,$D$7:$P$336,$R145,FALSE)-HLOOKUP(AD$3,$D$7:$P$336,$R145,FALSE)</f>
        <v>98</v>
      </c>
      <c r="AE145" s="60">
        <f ca="1">100+HLOOKUP(AE$4,$D$7:$P$336,$R145,FALSE)-HLOOKUP(AE$3,$D$7:$P$336,$R145,FALSE)</f>
        <v>96</v>
      </c>
      <c r="AF145" s="60">
        <f ca="1">100+HLOOKUP(AF$4,$D$7:$P$336,$R145,FALSE)-HLOOKUP(AF$3,$D$7:$P$336,$R145,FALSE)</f>
        <v>100</v>
      </c>
      <c r="AG145" s="60">
        <f ca="1">100+HLOOKUP(AG$4,$D$7:$P$336,$R145,FALSE)-HLOOKUP(AG$3,$D$7:$P$336,$R145,FALSE)</f>
        <v>104</v>
      </c>
      <c r="AH145" s="60" t="e">
        <f>100+HLOOKUP(AH$4,$D$7:$P$336,$R145,FALSE)-HLOOKUP(AH$3,$D$7:$P$336,$R145,FALSE)</f>
        <v>#N/A</v>
      </c>
      <c r="AI145" s="60" t="e">
        <f>100+HLOOKUP(AI$4,$D$7:$P$336,$R145,FALSE)-HLOOKUP(AI$3,$D$7:$P$336,$R145,FALSE)</f>
        <v>#N/A</v>
      </c>
      <c r="AJ145" s="60" t="e">
        <f>100+HLOOKUP(AJ$4,$D$7:$P$336,$R145,FALSE)-HLOOKUP(AJ$3,$D$7:$P$336,$R145,FALSE)</f>
        <v>#N/A</v>
      </c>
      <c r="AK145" s="60" t="e">
        <f>100+HLOOKUP(AK$4,$D$7:$P$336,$R145,FALSE)-HLOOKUP(AK$3,$D$7:$P$336,$R145,FALSE)</f>
        <v>#N/A</v>
      </c>
      <c r="AL145" s="60" t="e">
        <f>100+HLOOKUP(AL$4,$D$7:$P$336,$R145,FALSE)-HLOOKUP(AL$3,$D$7:$P$336,$R145,FALSE)</f>
        <v>#N/A</v>
      </c>
      <c r="AM145" s="60" t="e">
        <f>100+HLOOKUP(AM$4,$D$7:$P$336,$R145,FALSE)-HLOOKUP(AM$3,$D$7:$P$336,$R145,FALSE)</f>
        <v>#N/A</v>
      </c>
      <c r="AN145" s="60" t="e">
        <f>100+HLOOKUP(AN$4,$D$7:$P$336,$R145,FALSE)-HLOOKUP(AN$3,$D$7:$P$336,$R145,FALSE)</f>
        <v>#N/A</v>
      </c>
      <c r="AO145" s="60" t="e">
        <f>100+HLOOKUP(AO$4,$D$7:$P$336,$R145,FALSE)-HLOOKUP(AO$3,$D$7:$P$336,$R145,FALSE)</f>
        <v>#N/A</v>
      </c>
      <c r="AP145" s="60" t="e">
        <f>100+HLOOKUP(AP$4,$D$7:$P$336,$R145,FALSE)-HLOOKUP(AP$3,$D$7:$P$336,$R145,FALSE)</f>
        <v>#N/A</v>
      </c>
      <c r="AQ145" s="60" t="e">
        <f>100+HLOOKUP(AQ$4,$D$7:$P$336,$R145,FALSE)-HLOOKUP(AQ$3,$D$7:$P$336,$R145,FALSE)</f>
        <v>#N/A</v>
      </c>
      <c r="AV145" s="60">
        <f ca="1">AV$5-S145</f>
        <v>3.1903994267964322</v>
      </c>
      <c r="AW145" s="60">
        <f ca="1">AW$5-T145</f>
        <v>-9.7793494702422521</v>
      </c>
      <c r="AX145" s="60">
        <f ca="1">AX$5-U145</f>
        <v>1.7759154036680513</v>
      </c>
      <c r="AY145" s="60">
        <f ca="1">AY$5-V145</f>
        <v>-10.396985598472199</v>
      </c>
      <c r="AZ145" s="60">
        <f ca="1">AZ$5-W145</f>
        <v>-4.5455178274039696</v>
      </c>
      <c r="BA145" s="60">
        <f ca="1">BA$5-X145</f>
        <v>-1.5349409410172967</v>
      </c>
      <c r="BB145" s="60">
        <f ca="1">BB$5-Y145</f>
        <v>-10.649407272618873</v>
      </c>
      <c r="BC145" s="60">
        <f ca="1">BC$5-Z145</f>
        <v>7.4374659098821638</v>
      </c>
      <c r="BD145" s="60">
        <f ca="1">BD$5-AA145</f>
        <v>-6.063481335617638</v>
      </c>
      <c r="BE145" s="60">
        <f ca="1">BE$5-AB145</f>
        <v>-10.170609408007806</v>
      </c>
      <c r="BF145" s="60">
        <f ca="1">BF$5-AC145</f>
        <v>-0.98269568352291969</v>
      </c>
      <c r="BG145" s="60">
        <f ca="1">BG$5-AD145</f>
        <v>5.9852587050185093</v>
      </c>
      <c r="BH145" s="60">
        <f ca="1">BH$5-AE145</f>
        <v>2.9545922303675667</v>
      </c>
      <c r="BI145" s="60">
        <f ca="1">BI$5-AF145</f>
        <v>-9.3914944887451952</v>
      </c>
      <c r="BJ145" s="60">
        <f ca="1">BJ$5-AG145</f>
        <v>-12.56044894232123</v>
      </c>
      <c r="BK145" s="60" t="e">
        <f>BK$5-AH145</f>
        <v>#N/A</v>
      </c>
      <c r="BL145" s="60" t="e">
        <f>BL$5-AI145</f>
        <v>#N/A</v>
      </c>
      <c r="BM145" s="60" t="e">
        <f>BM$5-AJ145</f>
        <v>#N/A</v>
      </c>
      <c r="BN145" s="60" t="e">
        <f>BN$5-AK145</f>
        <v>#N/A</v>
      </c>
      <c r="BO145" s="60" t="e">
        <f>BO$5-AL145</f>
        <v>#N/A</v>
      </c>
      <c r="BP145" s="60" t="e">
        <f>BP$5-AM145</f>
        <v>#N/A</v>
      </c>
      <c r="BQ145" s="60" t="e">
        <f>BQ$5-AN145</f>
        <v>#N/A</v>
      </c>
      <c r="BR145" s="60" t="e">
        <f>BR$5-AO145</f>
        <v>#N/A</v>
      </c>
      <c r="BS145" s="60" t="e">
        <f>BS$5-AP145</f>
        <v>#N/A</v>
      </c>
      <c r="BT145" s="60" t="e">
        <f>BT$5-AQ145</f>
        <v>#N/A</v>
      </c>
      <c r="BV145" s="60" cm="1">
        <f t="array" aca="1" ref="BV145" ca="1">SQRT(SUMSQ(_xlfn._xlws.FILTER(AV145:BT145,ISNUMBER(AV145:BT145)))/COUNT(_xlfn._xlws.FILTER(AV145:BT145,ISNUMBER(AV145:BT145))))</f>
        <v>7.4855408883726078</v>
      </c>
    </row>
    <row r="146" spans="3:74" x14ac:dyDescent="0.2">
      <c r="C146" s="60" t="s">
        <v>224</v>
      </c>
      <c r="D146" s="60">
        <v>0</v>
      </c>
      <c r="E146" s="60">
        <v>-2</v>
      </c>
      <c r="F146" s="60">
        <v>-4</v>
      </c>
      <c r="G146" s="60">
        <v>-4</v>
      </c>
      <c r="H146" s="60">
        <v>-6</v>
      </c>
      <c r="I146" s="60">
        <v>-8</v>
      </c>
      <c r="J146" s="60">
        <v>-10</v>
      </c>
      <c r="K146" s="60">
        <v>-10</v>
      </c>
      <c r="L146" s="60">
        <v>-10</v>
      </c>
      <c r="M146" s="60">
        <v>-2</v>
      </c>
      <c r="N146" s="60">
        <v>0</v>
      </c>
      <c r="O146" s="60">
        <v>0</v>
      </c>
      <c r="P146" s="60">
        <v>0</v>
      </c>
      <c r="R146" s="61">
        <f>(ROW(R146)-ROW($C$6))</f>
        <v>140</v>
      </c>
      <c r="S146" s="60">
        <f ca="1">100+HLOOKUP(S$4,$D$7:$P$336,$R146,FALSE)-HLOOKUP(S$3,$D$7:$P$336,$R146,FALSE)</f>
        <v>96</v>
      </c>
      <c r="T146" s="60">
        <f ca="1">100+HLOOKUP(T$4,$D$7:$P$336,$R146,FALSE)-HLOOKUP(T$3,$D$7:$P$336,$R146,FALSE)</f>
        <v>90</v>
      </c>
      <c r="U146" s="60">
        <f ca="1">100+HLOOKUP(U$4,$D$7:$P$336,$R146,FALSE)-HLOOKUP(U$3,$D$7:$P$336,$R146,FALSE)</f>
        <v>92</v>
      </c>
      <c r="V146" s="60">
        <f ca="1">100+HLOOKUP(V$4,$D$7:$P$336,$R146,FALSE)-HLOOKUP(V$3,$D$7:$P$336,$R146,FALSE)</f>
        <v>92</v>
      </c>
      <c r="W146" s="60">
        <f ca="1">100+HLOOKUP(W$4,$D$7:$P$336,$R146,FALSE)-HLOOKUP(W$3,$D$7:$P$336,$R146,FALSE)</f>
        <v>90</v>
      </c>
      <c r="X146" s="60">
        <f ca="1">100+HLOOKUP(X$4,$D$7:$P$336,$R146,FALSE)-HLOOKUP(X$3,$D$7:$P$336,$R146,FALSE)</f>
        <v>96</v>
      </c>
      <c r="Y146" s="60">
        <f ca="1">100+HLOOKUP(Y$4,$D$7:$P$336,$R146,FALSE)-HLOOKUP(Y$3,$D$7:$P$336,$R146,FALSE)</f>
        <v>90</v>
      </c>
      <c r="Z146" s="60">
        <f ca="1">100+HLOOKUP(Z$4,$D$7:$P$336,$R146,FALSE)-HLOOKUP(Z$3,$D$7:$P$336,$R146,FALSE)</f>
        <v>92</v>
      </c>
      <c r="AA146" s="60">
        <f ca="1">100+HLOOKUP(AA$4,$D$7:$P$336,$R146,FALSE)-HLOOKUP(AA$3,$D$7:$P$336,$R146,FALSE)</f>
        <v>92</v>
      </c>
      <c r="AB146" s="60">
        <f ca="1">100+HLOOKUP(AB$4,$D$7:$P$336,$R146,FALSE)-HLOOKUP(AB$3,$D$7:$P$336,$R146,FALSE)</f>
        <v>90</v>
      </c>
      <c r="AC146" s="60">
        <f ca="1">100+HLOOKUP(AC$4,$D$7:$P$336,$R146,FALSE)-HLOOKUP(AC$3,$D$7:$P$336,$R146,FALSE)</f>
        <v>102</v>
      </c>
      <c r="AD146" s="60">
        <f ca="1">100+HLOOKUP(AD$4,$D$7:$P$336,$R146,FALSE)-HLOOKUP(AD$3,$D$7:$P$336,$R146,FALSE)</f>
        <v>106</v>
      </c>
      <c r="AE146" s="60">
        <f ca="1">100+HLOOKUP(AE$4,$D$7:$P$336,$R146,FALSE)-HLOOKUP(AE$3,$D$7:$P$336,$R146,FALSE)</f>
        <v>108</v>
      </c>
      <c r="AF146" s="60">
        <f ca="1">100+HLOOKUP(AF$4,$D$7:$P$336,$R146,FALSE)-HLOOKUP(AF$3,$D$7:$P$336,$R146,FALSE)</f>
        <v>106</v>
      </c>
      <c r="AG146" s="60">
        <f ca="1">100+HLOOKUP(AG$4,$D$7:$P$336,$R146,FALSE)-HLOOKUP(AG$3,$D$7:$P$336,$R146,FALSE)</f>
        <v>92</v>
      </c>
      <c r="AH146" s="60" t="e">
        <f>100+HLOOKUP(AH$4,$D$7:$P$336,$R146,FALSE)-HLOOKUP(AH$3,$D$7:$P$336,$R146,FALSE)</f>
        <v>#N/A</v>
      </c>
      <c r="AI146" s="60" t="e">
        <f>100+HLOOKUP(AI$4,$D$7:$P$336,$R146,FALSE)-HLOOKUP(AI$3,$D$7:$P$336,$R146,FALSE)</f>
        <v>#N/A</v>
      </c>
      <c r="AJ146" s="60" t="e">
        <f>100+HLOOKUP(AJ$4,$D$7:$P$336,$R146,FALSE)-HLOOKUP(AJ$3,$D$7:$P$336,$R146,FALSE)</f>
        <v>#N/A</v>
      </c>
      <c r="AK146" s="60" t="e">
        <f>100+HLOOKUP(AK$4,$D$7:$P$336,$R146,FALSE)-HLOOKUP(AK$3,$D$7:$P$336,$R146,FALSE)</f>
        <v>#N/A</v>
      </c>
      <c r="AL146" s="60" t="e">
        <f>100+HLOOKUP(AL$4,$D$7:$P$336,$R146,FALSE)-HLOOKUP(AL$3,$D$7:$P$336,$R146,FALSE)</f>
        <v>#N/A</v>
      </c>
      <c r="AM146" s="60" t="e">
        <f>100+HLOOKUP(AM$4,$D$7:$P$336,$R146,FALSE)-HLOOKUP(AM$3,$D$7:$P$336,$R146,FALSE)</f>
        <v>#N/A</v>
      </c>
      <c r="AN146" s="60" t="e">
        <f>100+HLOOKUP(AN$4,$D$7:$P$336,$R146,FALSE)-HLOOKUP(AN$3,$D$7:$P$336,$R146,FALSE)</f>
        <v>#N/A</v>
      </c>
      <c r="AO146" s="60" t="e">
        <f>100+HLOOKUP(AO$4,$D$7:$P$336,$R146,FALSE)-HLOOKUP(AO$3,$D$7:$P$336,$R146,FALSE)</f>
        <v>#N/A</v>
      </c>
      <c r="AP146" s="60" t="e">
        <f>100+HLOOKUP(AP$4,$D$7:$P$336,$R146,FALSE)-HLOOKUP(AP$3,$D$7:$P$336,$R146,FALSE)</f>
        <v>#N/A</v>
      </c>
      <c r="AQ146" s="60" t="e">
        <f>100+HLOOKUP(AQ$4,$D$7:$P$336,$R146,FALSE)-HLOOKUP(AQ$3,$D$7:$P$336,$R146,FALSE)</f>
        <v>#N/A</v>
      </c>
      <c r="AV146" s="60">
        <f ca="1">AV$5-S146</f>
        <v>7.1903994267964322</v>
      </c>
      <c r="AW146" s="60">
        <f ca="1">AW$5-T146</f>
        <v>4.2206505297577479</v>
      </c>
      <c r="AX146" s="60">
        <f ca="1">AX$5-U146</f>
        <v>9.7759154036680513</v>
      </c>
      <c r="AY146" s="60">
        <f ca="1">AY$5-V146</f>
        <v>1.6030144015278012</v>
      </c>
      <c r="AZ146" s="60">
        <f ca="1">AZ$5-W146</f>
        <v>7.4544821725960304</v>
      </c>
      <c r="BA146" s="60">
        <f ca="1">BA$5-X146</f>
        <v>2.4650590589827033</v>
      </c>
      <c r="BB146" s="60">
        <f ca="1">BB$5-Y146</f>
        <v>3.3505927273811267</v>
      </c>
      <c r="BC146" s="60">
        <f ca="1">BC$5-Z146</f>
        <v>15.437465909882164</v>
      </c>
      <c r="BD146" s="60">
        <f ca="1">BD$5-AA146</f>
        <v>5.936518664382362</v>
      </c>
      <c r="BE146" s="60">
        <f ca="1">BE$5-AB146</f>
        <v>1.829390591992194</v>
      </c>
      <c r="BF146" s="60">
        <f ca="1">BF$5-AC146</f>
        <v>-0.98269568352291969</v>
      </c>
      <c r="BG146" s="60">
        <f ca="1">BG$5-AD146</f>
        <v>-2.0147412949814907</v>
      </c>
      <c r="BH146" s="60">
        <f ca="1">BH$5-AE146</f>
        <v>-9.0454077696324333</v>
      </c>
      <c r="BI146" s="60">
        <f ca="1">BI$5-AF146</f>
        <v>-15.391494488745195</v>
      </c>
      <c r="BJ146" s="60">
        <f ca="1">BJ$5-AG146</f>
        <v>-0.56044894232122999</v>
      </c>
      <c r="BK146" s="60" t="e">
        <f>BK$5-AH146</f>
        <v>#N/A</v>
      </c>
      <c r="BL146" s="60" t="e">
        <f>BL$5-AI146</f>
        <v>#N/A</v>
      </c>
      <c r="BM146" s="60" t="e">
        <f>BM$5-AJ146</f>
        <v>#N/A</v>
      </c>
      <c r="BN146" s="60" t="e">
        <f>BN$5-AK146</f>
        <v>#N/A</v>
      </c>
      <c r="BO146" s="60" t="e">
        <f>BO$5-AL146</f>
        <v>#N/A</v>
      </c>
      <c r="BP146" s="60" t="e">
        <f>BP$5-AM146</f>
        <v>#N/A</v>
      </c>
      <c r="BQ146" s="60" t="e">
        <f>BQ$5-AN146</f>
        <v>#N/A</v>
      </c>
      <c r="BR146" s="60" t="e">
        <f>BR$5-AO146</f>
        <v>#N/A</v>
      </c>
      <c r="BS146" s="60" t="e">
        <f>BS$5-AP146</f>
        <v>#N/A</v>
      </c>
      <c r="BT146" s="60" t="e">
        <f>BT$5-AQ146</f>
        <v>#N/A</v>
      </c>
      <c r="BV146" s="60" cm="1">
        <f t="array" aca="1" ref="BV146" ca="1">SQRT(SUMSQ(_xlfn._xlws.FILTER(AV146:BT146,ISNUMBER(AV146:BT146)))/COUNT(_xlfn._xlws.FILTER(AV146:BT146,ISNUMBER(AV146:BT146))))</f>
        <v>7.4899353016674937</v>
      </c>
    </row>
    <row r="147" spans="3:74" x14ac:dyDescent="0.2">
      <c r="C147" s="60" t="s">
        <v>379</v>
      </c>
      <c r="D147" s="60">
        <v>0</v>
      </c>
      <c r="E147" s="60">
        <v>-2</v>
      </c>
      <c r="F147" s="60">
        <v>-4</v>
      </c>
      <c r="G147" s="60">
        <v>-4</v>
      </c>
      <c r="H147" s="60">
        <v>-6</v>
      </c>
      <c r="I147" s="60">
        <v>-8</v>
      </c>
      <c r="J147" s="60">
        <v>-10</v>
      </c>
      <c r="K147" s="60">
        <v>-10</v>
      </c>
      <c r="L147" s="60">
        <v>-10</v>
      </c>
      <c r="M147" s="60">
        <v>-2</v>
      </c>
      <c r="N147" s="60">
        <v>0</v>
      </c>
      <c r="O147" s="60">
        <v>0</v>
      </c>
      <c r="P147" s="60">
        <v>0</v>
      </c>
      <c r="R147" s="61">
        <f>(ROW(R147)-ROW($C$6))</f>
        <v>141</v>
      </c>
      <c r="S147" s="60">
        <f ca="1">100+HLOOKUP(S$4,$D$7:$P$336,$R147,FALSE)-HLOOKUP(S$3,$D$7:$P$336,$R147,FALSE)</f>
        <v>96</v>
      </c>
      <c r="T147" s="60">
        <f ca="1">100+HLOOKUP(T$4,$D$7:$P$336,$R147,FALSE)-HLOOKUP(T$3,$D$7:$P$336,$R147,FALSE)</f>
        <v>90</v>
      </c>
      <c r="U147" s="60">
        <f ca="1">100+HLOOKUP(U$4,$D$7:$P$336,$R147,FALSE)-HLOOKUP(U$3,$D$7:$P$336,$R147,FALSE)</f>
        <v>92</v>
      </c>
      <c r="V147" s="60">
        <f ca="1">100+HLOOKUP(V$4,$D$7:$P$336,$R147,FALSE)-HLOOKUP(V$3,$D$7:$P$336,$R147,FALSE)</f>
        <v>92</v>
      </c>
      <c r="W147" s="60">
        <f ca="1">100+HLOOKUP(W$4,$D$7:$P$336,$R147,FALSE)-HLOOKUP(W$3,$D$7:$P$336,$R147,FALSE)</f>
        <v>90</v>
      </c>
      <c r="X147" s="60">
        <f ca="1">100+HLOOKUP(X$4,$D$7:$P$336,$R147,FALSE)-HLOOKUP(X$3,$D$7:$P$336,$R147,FALSE)</f>
        <v>96</v>
      </c>
      <c r="Y147" s="60">
        <f ca="1">100+HLOOKUP(Y$4,$D$7:$P$336,$R147,FALSE)-HLOOKUP(Y$3,$D$7:$P$336,$R147,FALSE)</f>
        <v>90</v>
      </c>
      <c r="Z147" s="60">
        <f ca="1">100+HLOOKUP(Z$4,$D$7:$P$336,$R147,FALSE)-HLOOKUP(Z$3,$D$7:$P$336,$R147,FALSE)</f>
        <v>92</v>
      </c>
      <c r="AA147" s="60">
        <f ca="1">100+HLOOKUP(AA$4,$D$7:$P$336,$R147,FALSE)-HLOOKUP(AA$3,$D$7:$P$336,$R147,FALSE)</f>
        <v>92</v>
      </c>
      <c r="AB147" s="60">
        <f ca="1">100+HLOOKUP(AB$4,$D$7:$P$336,$R147,FALSE)-HLOOKUP(AB$3,$D$7:$P$336,$R147,FALSE)</f>
        <v>90</v>
      </c>
      <c r="AC147" s="60">
        <f ca="1">100+HLOOKUP(AC$4,$D$7:$P$336,$R147,FALSE)-HLOOKUP(AC$3,$D$7:$P$336,$R147,FALSE)</f>
        <v>102</v>
      </c>
      <c r="AD147" s="60">
        <f ca="1">100+HLOOKUP(AD$4,$D$7:$P$336,$R147,FALSE)-HLOOKUP(AD$3,$D$7:$P$336,$R147,FALSE)</f>
        <v>106</v>
      </c>
      <c r="AE147" s="60">
        <f ca="1">100+HLOOKUP(AE$4,$D$7:$P$336,$R147,FALSE)-HLOOKUP(AE$3,$D$7:$P$336,$R147,FALSE)</f>
        <v>108</v>
      </c>
      <c r="AF147" s="60">
        <f ca="1">100+HLOOKUP(AF$4,$D$7:$P$336,$R147,FALSE)-HLOOKUP(AF$3,$D$7:$P$336,$R147,FALSE)</f>
        <v>106</v>
      </c>
      <c r="AG147" s="60">
        <f ca="1">100+HLOOKUP(AG$4,$D$7:$P$336,$R147,FALSE)-HLOOKUP(AG$3,$D$7:$P$336,$R147,FALSE)</f>
        <v>92</v>
      </c>
      <c r="AH147" s="60" t="e">
        <f>100+HLOOKUP(AH$4,$D$7:$P$336,$R147,FALSE)-HLOOKUP(AH$3,$D$7:$P$336,$R147,FALSE)</f>
        <v>#N/A</v>
      </c>
      <c r="AI147" s="60" t="e">
        <f>100+HLOOKUP(AI$4,$D$7:$P$336,$R147,FALSE)-HLOOKUP(AI$3,$D$7:$P$336,$R147,FALSE)</f>
        <v>#N/A</v>
      </c>
      <c r="AJ147" s="60" t="e">
        <f>100+HLOOKUP(AJ$4,$D$7:$P$336,$R147,FALSE)-HLOOKUP(AJ$3,$D$7:$P$336,$R147,FALSE)</f>
        <v>#N/A</v>
      </c>
      <c r="AK147" s="60" t="e">
        <f>100+HLOOKUP(AK$4,$D$7:$P$336,$R147,FALSE)-HLOOKUP(AK$3,$D$7:$P$336,$R147,FALSE)</f>
        <v>#N/A</v>
      </c>
      <c r="AL147" s="60" t="e">
        <f>100+HLOOKUP(AL$4,$D$7:$P$336,$R147,FALSE)-HLOOKUP(AL$3,$D$7:$P$336,$R147,FALSE)</f>
        <v>#N/A</v>
      </c>
      <c r="AM147" s="60" t="e">
        <f>100+HLOOKUP(AM$4,$D$7:$P$336,$R147,FALSE)-HLOOKUP(AM$3,$D$7:$P$336,$R147,FALSE)</f>
        <v>#N/A</v>
      </c>
      <c r="AN147" s="60" t="e">
        <f>100+HLOOKUP(AN$4,$D$7:$P$336,$R147,FALSE)-HLOOKUP(AN$3,$D$7:$P$336,$R147,FALSE)</f>
        <v>#N/A</v>
      </c>
      <c r="AO147" s="60" t="e">
        <f>100+HLOOKUP(AO$4,$D$7:$P$336,$R147,FALSE)-HLOOKUP(AO$3,$D$7:$P$336,$R147,FALSE)</f>
        <v>#N/A</v>
      </c>
      <c r="AP147" s="60" t="e">
        <f>100+HLOOKUP(AP$4,$D$7:$P$336,$R147,FALSE)-HLOOKUP(AP$3,$D$7:$P$336,$R147,FALSE)</f>
        <v>#N/A</v>
      </c>
      <c r="AQ147" s="60" t="e">
        <f>100+HLOOKUP(AQ$4,$D$7:$P$336,$R147,FALSE)-HLOOKUP(AQ$3,$D$7:$P$336,$R147,FALSE)</f>
        <v>#N/A</v>
      </c>
      <c r="AV147" s="60">
        <f ca="1">AV$5-S147</f>
        <v>7.1903994267964322</v>
      </c>
      <c r="AW147" s="60">
        <f ca="1">AW$5-T147</f>
        <v>4.2206505297577479</v>
      </c>
      <c r="AX147" s="60">
        <f ca="1">AX$5-U147</f>
        <v>9.7759154036680513</v>
      </c>
      <c r="AY147" s="60">
        <f ca="1">AY$5-V147</f>
        <v>1.6030144015278012</v>
      </c>
      <c r="AZ147" s="60">
        <f ca="1">AZ$5-W147</f>
        <v>7.4544821725960304</v>
      </c>
      <c r="BA147" s="60">
        <f ca="1">BA$5-X147</f>
        <v>2.4650590589827033</v>
      </c>
      <c r="BB147" s="60">
        <f ca="1">BB$5-Y147</f>
        <v>3.3505927273811267</v>
      </c>
      <c r="BC147" s="60">
        <f ca="1">BC$5-Z147</f>
        <v>15.437465909882164</v>
      </c>
      <c r="BD147" s="60">
        <f ca="1">BD$5-AA147</f>
        <v>5.936518664382362</v>
      </c>
      <c r="BE147" s="60">
        <f ca="1">BE$5-AB147</f>
        <v>1.829390591992194</v>
      </c>
      <c r="BF147" s="60">
        <f ca="1">BF$5-AC147</f>
        <v>-0.98269568352291969</v>
      </c>
      <c r="BG147" s="60">
        <f ca="1">BG$5-AD147</f>
        <v>-2.0147412949814907</v>
      </c>
      <c r="BH147" s="60">
        <f ca="1">BH$5-AE147</f>
        <v>-9.0454077696324333</v>
      </c>
      <c r="BI147" s="60">
        <f ca="1">BI$5-AF147</f>
        <v>-15.391494488745195</v>
      </c>
      <c r="BJ147" s="60">
        <f ca="1">BJ$5-AG147</f>
        <v>-0.56044894232122999</v>
      </c>
      <c r="BK147" s="60" t="e">
        <f>BK$5-AH147</f>
        <v>#N/A</v>
      </c>
      <c r="BL147" s="60" t="e">
        <f>BL$5-AI147</f>
        <v>#N/A</v>
      </c>
      <c r="BM147" s="60" t="e">
        <f>BM$5-AJ147</f>
        <v>#N/A</v>
      </c>
      <c r="BN147" s="60" t="e">
        <f>BN$5-AK147</f>
        <v>#N/A</v>
      </c>
      <c r="BO147" s="60" t="e">
        <f>BO$5-AL147</f>
        <v>#N/A</v>
      </c>
      <c r="BP147" s="60" t="e">
        <f>BP$5-AM147</f>
        <v>#N/A</v>
      </c>
      <c r="BQ147" s="60" t="e">
        <f>BQ$5-AN147</f>
        <v>#N/A</v>
      </c>
      <c r="BR147" s="60" t="e">
        <f>BR$5-AO147</f>
        <v>#N/A</v>
      </c>
      <c r="BS147" s="60" t="e">
        <f>BS$5-AP147</f>
        <v>#N/A</v>
      </c>
      <c r="BT147" s="60" t="e">
        <f>BT$5-AQ147</f>
        <v>#N/A</v>
      </c>
      <c r="BV147" s="60" cm="1">
        <f t="array" aca="1" ref="BV147" ca="1">SQRT(SUMSQ(_xlfn._xlws.FILTER(AV147:BT147,ISNUMBER(AV147:BT147)))/COUNT(_xlfn._xlws.FILTER(AV147:BT147,ISNUMBER(AV147:BT147))))</f>
        <v>7.4899353016674937</v>
      </c>
    </row>
    <row r="148" spans="3:74" x14ac:dyDescent="0.2">
      <c r="C148" s="60" t="s">
        <v>327</v>
      </c>
      <c r="D148" s="60">
        <v>0</v>
      </c>
      <c r="E148" s="60">
        <v>-1</v>
      </c>
      <c r="F148" s="60">
        <v>-2</v>
      </c>
      <c r="G148" s="60">
        <v>-3</v>
      </c>
      <c r="H148" s="60">
        <v>-4</v>
      </c>
      <c r="I148" s="60">
        <v>-6</v>
      </c>
      <c r="J148" s="60">
        <v>-7</v>
      </c>
      <c r="K148" s="60">
        <v>-8</v>
      </c>
      <c r="L148" s="60">
        <v>-9</v>
      </c>
      <c r="M148" s="60">
        <v>3</v>
      </c>
      <c r="N148" s="60">
        <v>2</v>
      </c>
      <c r="O148" s="60">
        <v>1</v>
      </c>
      <c r="P148" s="60">
        <v>0</v>
      </c>
      <c r="R148" s="61">
        <f>(ROW(R148)-ROW($C$6))</f>
        <v>142</v>
      </c>
      <c r="S148" s="60">
        <f ca="1">100+HLOOKUP(S$4,$D$7:$P$336,$R148,FALSE)-HLOOKUP(S$3,$D$7:$P$336,$R148,FALSE)</f>
        <v>93</v>
      </c>
      <c r="T148" s="60">
        <f ca="1">100+HLOOKUP(T$4,$D$7:$P$336,$R148,FALSE)-HLOOKUP(T$3,$D$7:$P$336,$R148,FALSE)</f>
        <v>92</v>
      </c>
      <c r="U148" s="60">
        <f ca="1">100+HLOOKUP(U$4,$D$7:$P$336,$R148,FALSE)-HLOOKUP(U$3,$D$7:$P$336,$R148,FALSE)</f>
        <v>92</v>
      </c>
      <c r="V148" s="60">
        <f ca="1">100+HLOOKUP(V$4,$D$7:$P$336,$R148,FALSE)-HLOOKUP(V$3,$D$7:$P$336,$R148,FALSE)</f>
        <v>92</v>
      </c>
      <c r="W148" s="60">
        <f ca="1">100+HLOOKUP(W$4,$D$7:$P$336,$R148,FALSE)-HLOOKUP(W$3,$D$7:$P$336,$R148,FALSE)</f>
        <v>92</v>
      </c>
      <c r="X148" s="60">
        <f ca="1">100+HLOOKUP(X$4,$D$7:$P$336,$R148,FALSE)-HLOOKUP(X$3,$D$7:$P$336,$R148,FALSE)</f>
        <v>93</v>
      </c>
      <c r="Y148" s="60">
        <f ca="1">100+HLOOKUP(Y$4,$D$7:$P$336,$R148,FALSE)-HLOOKUP(Y$3,$D$7:$P$336,$R148,FALSE)</f>
        <v>92</v>
      </c>
      <c r="Z148" s="60">
        <f ca="1">100+HLOOKUP(Z$4,$D$7:$P$336,$R148,FALSE)-HLOOKUP(Z$3,$D$7:$P$336,$R148,FALSE)</f>
        <v>92</v>
      </c>
      <c r="AA148" s="60">
        <f ca="1">100+HLOOKUP(AA$4,$D$7:$P$336,$R148,FALSE)-HLOOKUP(AA$3,$D$7:$P$336,$R148,FALSE)</f>
        <v>92</v>
      </c>
      <c r="AB148" s="60">
        <f ca="1">100+HLOOKUP(AB$4,$D$7:$P$336,$R148,FALSE)-HLOOKUP(AB$3,$D$7:$P$336,$R148,FALSE)</f>
        <v>92</v>
      </c>
      <c r="AC148" s="60">
        <f ca="1">100+HLOOKUP(AC$4,$D$7:$P$336,$R148,FALSE)-HLOOKUP(AC$3,$D$7:$P$336,$R148,FALSE)</f>
        <v>105</v>
      </c>
      <c r="AD148" s="60">
        <f ca="1">100+HLOOKUP(AD$4,$D$7:$P$336,$R148,FALSE)-HLOOKUP(AD$3,$D$7:$P$336,$R148,FALSE)</f>
        <v>105</v>
      </c>
      <c r="AE148" s="60">
        <f ca="1">100+HLOOKUP(AE$4,$D$7:$P$336,$R148,FALSE)-HLOOKUP(AE$3,$D$7:$P$336,$R148,FALSE)</f>
        <v>106</v>
      </c>
      <c r="AF148" s="60">
        <f ca="1">100+HLOOKUP(AF$4,$D$7:$P$336,$R148,FALSE)-HLOOKUP(AF$3,$D$7:$P$336,$R148,FALSE)</f>
        <v>106</v>
      </c>
      <c r="AG148" s="60">
        <f ca="1">100+HLOOKUP(AG$4,$D$7:$P$336,$R148,FALSE)-HLOOKUP(AG$3,$D$7:$P$336,$R148,FALSE)</f>
        <v>92</v>
      </c>
      <c r="AH148" s="60" t="e">
        <f>100+HLOOKUP(AH$4,$D$7:$P$336,$R148,FALSE)-HLOOKUP(AH$3,$D$7:$P$336,$R148,FALSE)</f>
        <v>#N/A</v>
      </c>
      <c r="AI148" s="60" t="e">
        <f>100+HLOOKUP(AI$4,$D$7:$P$336,$R148,FALSE)-HLOOKUP(AI$3,$D$7:$P$336,$R148,FALSE)</f>
        <v>#N/A</v>
      </c>
      <c r="AJ148" s="60" t="e">
        <f>100+HLOOKUP(AJ$4,$D$7:$P$336,$R148,FALSE)-HLOOKUP(AJ$3,$D$7:$P$336,$R148,FALSE)</f>
        <v>#N/A</v>
      </c>
      <c r="AK148" s="60" t="e">
        <f>100+HLOOKUP(AK$4,$D$7:$P$336,$R148,FALSE)-HLOOKUP(AK$3,$D$7:$P$336,$R148,FALSE)</f>
        <v>#N/A</v>
      </c>
      <c r="AL148" s="60" t="e">
        <f>100+HLOOKUP(AL$4,$D$7:$P$336,$R148,FALSE)-HLOOKUP(AL$3,$D$7:$P$336,$R148,FALSE)</f>
        <v>#N/A</v>
      </c>
      <c r="AM148" s="60" t="e">
        <f>100+HLOOKUP(AM$4,$D$7:$P$336,$R148,FALSE)-HLOOKUP(AM$3,$D$7:$P$336,$R148,FALSE)</f>
        <v>#N/A</v>
      </c>
      <c r="AN148" s="60" t="e">
        <f>100+HLOOKUP(AN$4,$D$7:$P$336,$R148,FALSE)-HLOOKUP(AN$3,$D$7:$P$336,$R148,FALSE)</f>
        <v>#N/A</v>
      </c>
      <c r="AO148" s="60" t="e">
        <f>100+HLOOKUP(AO$4,$D$7:$P$336,$R148,FALSE)-HLOOKUP(AO$3,$D$7:$P$336,$R148,FALSE)</f>
        <v>#N/A</v>
      </c>
      <c r="AP148" s="60" t="e">
        <f>100+HLOOKUP(AP$4,$D$7:$P$336,$R148,FALSE)-HLOOKUP(AP$3,$D$7:$P$336,$R148,FALSE)</f>
        <v>#N/A</v>
      </c>
      <c r="AQ148" s="60" t="e">
        <f>100+HLOOKUP(AQ$4,$D$7:$P$336,$R148,FALSE)-HLOOKUP(AQ$3,$D$7:$P$336,$R148,FALSE)</f>
        <v>#N/A</v>
      </c>
      <c r="AV148" s="60">
        <f ca="1">AV$5-S148</f>
        <v>10.190399426796432</v>
      </c>
      <c r="AW148" s="60">
        <f ca="1">AW$5-T148</f>
        <v>2.2206505297577479</v>
      </c>
      <c r="AX148" s="60">
        <f ca="1">AX$5-U148</f>
        <v>9.7759154036680513</v>
      </c>
      <c r="AY148" s="60">
        <f ca="1">AY$5-V148</f>
        <v>1.6030144015278012</v>
      </c>
      <c r="AZ148" s="60">
        <f ca="1">AZ$5-W148</f>
        <v>5.4544821725960304</v>
      </c>
      <c r="BA148" s="60">
        <f ca="1">BA$5-X148</f>
        <v>5.4650590589827033</v>
      </c>
      <c r="BB148" s="60">
        <f ca="1">BB$5-Y148</f>
        <v>1.3505927273811267</v>
      </c>
      <c r="BC148" s="60">
        <f ca="1">BC$5-Z148</f>
        <v>15.437465909882164</v>
      </c>
      <c r="BD148" s="60">
        <f ca="1">BD$5-AA148</f>
        <v>5.936518664382362</v>
      </c>
      <c r="BE148" s="60">
        <f ca="1">BE$5-AB148</f>
        <v>-0.170609408007806</v>
      </c>
      <c r="BF148" s="60">
        <f ca="1">BF$5-AC148</f>
        <v>-3.9826956835229197</v>
      </c>
      <c r="BG148" s="60">
        <f ca="1">BG$5-AD148</f>
        <v>-1.0147412949814907</v>
      </c>
      <c r="BH148" s="60">
        <f ca="1">BH$5-AE148</f>
        <v>-7.0454077696324333</v>
      </c>
      <c r="BI148" s="60">
        <f ca="1">BI$5-AF148</f>
        <v>-15.391494488745195</v>
      </c>
      <c r="BJ148" s="60">
        <f ca="1">BJ$5-AG148</f>
        <v>-0.56044894232122999</v>
      </c>
      <c r="BK148" s="60" t="e">
        <f>BK$5-AH148</f>
        <v>#N/A</v>
      </c>
      <c r="BL148" s="60" t="e">
        <f>BL$5-AI148</f>
        <v>#N/A</v>
      </c>
      <c r="BM148" s="60" t="e">
        <f>BM$5-AJ148</f>
        <v>#N/A</v>
      </c>
      <c r="BN148" s="60" t="e">
        <f>BN$5-AK148</f>
        <v>#N/A</v>
      </c>
      <c r="BO148" s="60" t="e">
        <f>BO$5-AL148</f>
        <v>#N/A</v>
      </c>
      <c r="BP148" s="60" t="e">
        <f>BP$5-AM148</f>
        <v>#N/A</v>
      </c>
      <c r="BQ148" s="60" t="e">
        <f>BQ$5-AN148</f>
        <v>#N/A</v>
      </c>
      <c r="BR148" s="60" t="e">
        <f>BR$5-AO148</f>
        <v>#N/A</v>
      </c>
      <c r="BS148" s="60" t="e">
        <f>BS$5-AP148</f>
        <v>#N/A</v>
      </c>
      <c r="BT148" s="60" t="e">
        <f>BT$5-AQ148</f>
        <v>#N/A</v>
      </c>
      <c r="BV148" s="60" cm="1">
        <f t="array" aca="1" ref="BV148" ca="1">SQRT(SUMSQ(_xlfn._xlws.FILTER(AV148:BT148,ISNUMBER(AV148:BT148)))/COUNT(_xlfn._xlws.FILTER(AV148:BT148,ISNUMBER(AV148:BT148))))</f>
        <v>7.5085920100814514</v>
      </c>
    </row>
    <row r="149" spans="3:74" x14ac:dyDescent="0.2">
      <c r="C149" s="60" t="s">
        <v>328</v>
      </c>
      <c r="D149" s="60">
        <v>0</v>
      </c>
      <c r="E149" s="60">
        <v>-1.117</v>
      </c>
      <c r="F149" s="60">
        <v>-2.2349999999999999</v>
      </c>
      <c r="G149" s="60">
        <v>-3.3519999999999999</v>
      </c>
      <c r="H149" s="60">
        <v>-4.4690000000000003</v>
      </c>
      <c r="I149" s="60">
        <v>-5.5869999999999997</v>
      </c>
      <c r="J149" s="60">
        <v>-6.7039999999999997</v>
      </c>
      <c r="K149" s="60">
        <v>-7.8209999999999997</v>
      </c>
      <c r="L149" s="60">
        <v>-8.9390000000000001</v>
      </c>
      <c r="M149" s="60">
        <v>3.3519999999999999</v>
      </c>
      <c r="N149" s="60">
        <v>2.2349999999999999</v>
      </c>
      <c r="O149" s="60">
        <v>1.117</v>
      </c>
      <c r="P149" s="60">
        <v>0</v>
      </c>
      <c r="R149" s="61">
        <f>(ROW(R149)-ROW($C$6))</f>
        <v>143</v>
      </c>
      <c r="S149" s="60">
        <f ca="1">100+HLOOKUP(S$4,$D$7:$P$336,$R149,FALSE)-HLOOKUP(S$3,$D$7:$P$336,$R149,FALSE)</f>
        <v>92.179000000000002</v>
      </c>
      <c r="T149" s="60">
        <f ca="1">100+HLOOKUP(T$4,$D$7:$P$336,$R149,FALSE)-HLOOKUP(T$3,$D$7:$P$336,$R149,FALSE)</f>
        <v>92.179000000000002</v>
      </c>
      <c r="U149" s="60">
        <f ca="1">100+HLOOKUP(U$4,$D$7:$P$336,$R149,FALSE)-HLOOKUP(U$3,$D$7:$P$336,$R149,FALSE)</f>
        <v>92.178000000000011</v>
      </c>
      <c r="V149" s="60">
        <f ca="1">100+HLOOKUP(V$4,$D$7:$P$336,$R149,FALSE)-HLOOKUP(V$3,$D$7:$P$336,$R149,FALSE)</f>
        <v>92.177999999999997</v>
      </c>
      <c r="W149" s="60">
        <f ca="1">100+HLOOKUP(W$4,$D$7:$P$336,$R149,FALSE)-HLOOKUP(W$3,$D$7:$P$336,$R149,FALSE)</f>
        <v>92.179000000000002</v>
      </c>
      <c r="X149" s="60">
        <f ca="1">100+HLOOKUP(X$4,$D$7:$P$336,$R149,FALSE)-HLOOKUP(X$3,$D$7:$P$336,$R149,FALSE)</f>
        <v>92.179000000000002</v>
      </c>
      <c r="Y149" s="60">
        <f ca="1">100+HLOOKUP(Y$4,$D$7:$P$336,$R149,FALSE)-HLOOKUP(Y$3,$D$7:$P$336,$R149,FALSE)</f>
        <v>92.179000000000002</v>
      </c>
      <c r="Z149" s="60">
        <f ca="1">100+HLOOKUP(Z$4,$D$7:$P$336,$R149,FALSE)-HLOOKUP(Z$3,$D$7:$P$336,$R149,FALSE)</f>
        <v>92.178000000000011</v>
      </c>
      <c r="AA149" s="60">
        <f ca="1">100+HLOOKUP(AA$4,$D$7:$P$336,$R149,FALSE)-HLOOKUP(AA$3,$D$7:$P$336,$R149,FALSE)</f>
        <v>92.177999999999997</v>
      </c>
      <c r="AB149" s="60">
        <f ca="1">100+HLOOKUP(AB$4,$D$7:$P$336,$R149,FALSE)-HLOOKUP(AB$3,$D$7:$P$336,$R149,FALSE)</f>
        <v>92.179000000000002</v>
      </c>
      <c r="AC149" s="60">
        <f ca="1">100+HLOOKUP(AC$4,$D$7:$P$336,$R149,FALSE)-HLOOKUP(AC$3,$D$7:$P$336,$R149,FALSE)</f>
        <v>105.587</v>
      </c>
      <c r="AD149" s="60">
        <f ca="1">100+HLOOKUP(AD$4,$D$7:$P$336,$R149,FALSE)-HLOOKUP(AD$3,$D$7:$P$336,$R149,FALSE)</f>
        <v>105.586</v>
      </c>
      <c r="AE149" s="60">
        <f ca="1">100+HLOOKUP(AE$4,$D$7:$P$336,$R149,FALSE)-HLOOKUP(AE$3,$D$7:$P$336,$R149,FALSE)</f>
        <v>105.58699999999999</v>
      </c>
      <c r="AF149" s="60">
        <f ca="1">100+HLOOKUP(AF$4,$D$7:$P$336,$R149,FALSE)-HLOOKUP(AF$3,$D$7:$P$336,$R149,FALSE)</f>
        <v>105.58699999999999</v>
      </c>
      <c r="AG149" s="60">
        <f ca="1">100+HLOOKUP(AG$4,$D$7:$P$336,$R149,FALSE)-HLOOKUP(AG$3,$D$7:$P$336,$R149,FALSE)</f>
        <v>92.177999999999997</v>
      </c>
      <c r="AH149" s="60" t="e">
        <f>100+HLOOKUP(AH$4,$D$7:$P$336,$R149,FALSE)-HLOOKUP(AH$3,$D$7:$P$336,$R149,FALSE)</f>
        <v>#N/A</v>
      </c>
      <c r="AI149" s="60" t="e">
        <f>100+HLOOKUP(AI$4,$D$7:$P$336,$R149,FALSE)-HLOOKUP(AI$3,$D$7:$P$336,$R149,FALSE)</f>
        <v>#N/A</v>
      </c>
      <c r="AJ149" s="60" t="e">
        <f>100+HLOOKUP(AJ$4,$D$7:$P$336,$R149,FALSE)-HLOOKUP(AJ$3,$D$7:$P$336,$R149,FALSE)</f>
        <v>#N/A</v>
      </c>
      <c r="AK149" s="60" t="e">
        <f>100+HLOOKUP(AK$4,$D$7:$P$336,$R149,FALSE)-HLOOKUP(AK$3,$D$7:$P$336,$R149,FALSE)</f>
        <v>#N/A</v>
      </c>
      <c r="AL149" s="60" t="e">
        <f>100+HLOOKUP(AL$4,$D$7:$P$336,$R149,FALSE)-HLOOKUP(AL$3,$D$7:$P$336,$R149,FALSE)</f>
        <v>#N/A</v>
      </c>
      <c r="AM149" s="60" t="e">
        <f>100+HLOOKUP(AM$4,$D$7:$P$336,$R149,FALSE)-HLOOKUP(AM$3,$D$7:$P$336,$R149,FALSE)</f>
        <v>#N/A</v>
      </c>
      <c r="AN149" s="60" t="e">
        <f>100+HLOOKUP(AN$4,$D$7:$P$336,$R149,FALSE)-HLOOKUP(AN$3,$D$7:$P$336,$R149,FALSE)</f>
        <v>#N/A</v>
      </c>
      <c r="AO149" s="60" t="e">
        <f>100+HLOOKUP(AO$4,$D$7:$P$336,$R149,FALSE)-HLOOKUP(AO$3,$D$7:$P$336,$R149,FALSE)</f>
        <v>#N/A</v>
      </c>
      <c r="AP149" s="60" t="e">
        <f>100+HLOOKUP(AP$4,$D$7:$P$336,$R149,FALSE)-HLOOKUP(AP$3,$D$7:$P$336,$R149,FALSE)</f>
        <v>#N/A</v>
      </c>
      <c r="AQ149" s="60" t="e">
        <f>100+HLOOKUP(AQ$4,$D$7:$P$336,$R149,FALSE)-HLOOKUP(AQ$3,$D$7:$P$336,$R149,FALSE)</f>
        <v>#N/A</v>
      </c>
      <c r="AV149" s="60">
        <f ca="1">AV$5-S149</f>
        <v>11.01139942679643</v>
      </c>
      <c r="AW149" s="60">
        <f ca="1">AW$5-T149</f>
        <v>2.0416505297577459</v>
      </c>
      <c r="AX149" s="60">
        <f ca="1">AX$5-U149</f>
        <v>9.5979154036680399</v>
      </c>
      <c r="AY149" s="60">
        <f ca="1">AY$5-V149</f>
        <v>1.4250144015278039</v>
      </c>
      <c r="AZ149" s="60">
        <f ca="1">AZ$5-W149</f>
        <v>5.2754821725960284</v>
      </c>
      <c r="BA149" s="60">
        <f ca="1">BA$5-X149</f>
        <v>6.2860590589827012</v>
      </c>
      <c r="BB149" s="60">
        <f ca="1">BB$5-Y149</f>
        <v>1.1715927273811246</v>
      </c>
      <c r="BC149" s="60">
        <f ca="1">BC$5-Z149</f>
        <v>15.259465909882152</v>
      </c>
      <c r="BD149" s="60">
        <f ca="1">BD$5-AA149</f>
        <v>5.7585186643823647</v>
      </c>
      <c r="BE149" s="60">
        <f ca="1">BE$5-AB149</f>
        <v>-0.34960940800780804</v>
      </c>
      <c r="BF149" s="60">
        <f ca="1">BF$5-AC149</f>
        <v>-4.569695683522923</v>
      </c>
      <c r="BG149" s="60">
        <f ca="1">BG$5-AD149</f>
        <v>-1.6007412949814892</v>
      </c>
      <c r="BH149" s="60">
        <f ca="1">BH$5-AE149</f>
        <v>-6.6324077696324224</v>
      </c>
      <c r="BI149" s="60">
        <f ca="1">BI$5-AF149</f>
        <v>-14.978494488745184</v>
      </c>
      <c r="BJ149" s="60">
        <f ca="1">BJ$5-AG149</f>
        <v>-0.73844894232122726</v>
      </c>
      <c r="BK149" s="60" t="e">
        <f>BK$5-AH149</f>
        <v>#N/A</v>
      </c>
      <c r="BL149" s="60" t="e">
        <f>BL$5-AI149</f>
        <v>#N/A</v>
      </c>
      <c r="BM149" s="60" t="e">
        <f>BM$5-AJ149</f>
        <v>#N/A</v>
      </c>
      <c r="BN149" s="60" t="e">
        <f>BN$5-AK149</f>
        <v>#N/A</v>
      </c>
      <c r="BO149" s="60" t="e">
        <f>BO$5-AL149</f>
        <v>#N/A</v>
      </c>
      <c r="BP149" s="60" t="e">
        <f>BP$5-AM149</f>
        <v>#N/A</v>
      </c>
      <c r="BQ149" s="60" t="e">
        <f>BQ$5-AN149</f>
        <v>#N/A</v>
      </c>
      <c r="BR149" s="60" t="e">
        <f>BR$5-AO149</f>
        <v>#N/A</v>
      </c>
      <c r="BS149" s="60" t="e">
        <f>BS$5-AP149</f>
        <v>#N/A</v>
      </c>
      <c r="BT149" s="60" t="e">
        <f>BT$5-AQ149</f>
        <v>#N/A</v>
      </c>
      <c r="BV149" s="60" cm="1">
        <f t="array" aca="1" ref="BV149" ca="1">SQRT(SUMSQ(_xlfn._xlws.FILTER(AV149:BT149,ISNUMBER(AV149:BT149)))/COUNT(_xlfn._xlws.FILTER(AV149:BT149,ISNUMBER(AV149:BT149))))</f>
        <v>7.5133471124166222</v>
      </c>
    </row>
    <row r="150" spans="3:74" x14ac:dyDescent="0.2">
      <c r="C150" s="60" t="s">
        <v>186</v>
      </c>
      <c r="D150" s="60">
        <v>0</v>
      </c>
      <c r="E150" s="60">
        <v>1.9550000000000001</v>
      </c>
      <c r="F150" s="60">
        <v>-2.09</v>
      </c>
      <c r="G150" s="60">
        <v>-6.1349999999999998</v>
      </c>
      <c r="H150" s="60">
        <v>-4.18</v>
      </c>
      <c r="I150" s="60">
        <v>-2.2250000000000001</v>
      </c>
      <c r="J150" s="60">
        <v>-6.27</v>
      </c>
      <c r="K150" s="60">
        <v>-10.315</v>
      </c>
      <c r="L150" s="60">
        <v>-8.36</v>
      </c>
      <c r="M150" s="60">
        <v>0.13500000000000001</v>
      </c>
      <c r="N150" s="60">
        <v>2.09</v>
      </c>
      <c r="O150" s="60">
        <v>-1.9550000000000001</v>
      </c>
      <c r="P150" s="60">
        <v>0</v>
      </c>
      <c r="R150" s="61">
        <f>(ROW(R150)-ROW($C$6))</f>
        <v>144</v>
      </c>
      <c r="S150" s="60">
        <f ca="1">100+HLOOKUP(S$4,$D$7:$P$336,$R150,FALSE)-HLOOKUP(S$3,$D$7:$P$336,$R150,FALSE)</f>
        <v>95.684999999999988</v>
      </c>
      <c r="T150" s="60">
        <f ca="1">100+HLOOKUP(T$4,$D$7:$P$336,$R150,FALSE)-HLOOKUP(T$3,$D$7:$P$336,$R150,FALSE)</f>
        <v>95.685000000000002</v>
      </c>
      <c r="U150" s="60">
        <f ca="1">100+HLOOKUP(U$4,$D$7:$P$336,$R150,FALSE)-HLOOKUP(U$3,$D$7:$P$336,$R150,FALSE)</f>
        <v>89.685000000000002</v>
      </c>
      <c r="V150" s="60">
        <f ca="1">100+HLOOKUP(V$4,$D$7:$P$336,$R150,FALSE)-HLOOKUP(V$3,$D$7:$P$336,$R150,FALSE)</f>
        <v>95.685000000000002</v>
      </c>
      <c r="W150" s="60">
        <f ca="1">100+HLOOKUP(W$4,$D$7:$P$336,$R150,FALSE)-HLOOKUP(W$3,$D$7:$P$336,$R150,FALSE)</f>
        <v>89.685000000000002</v>
      </c>
      <c r="X150" s="60">
        <f ca="1">100+HLOOKUP(X$4,$D$7:$P$336,$R150,FALSE)-HLOOKUP(X$3,$D$7:$P$336,$R150,FALSE)</f>
        <v>95.684999999999988</v>
      </c>
      <c r="Y150" s="60">
        <f ca="1">100+HLOOKUP(Y$4,$D$7:$P$336,$R150,FALSE)-HLOOKUP(Y$3,$D$7:$P$336,$R150,FALSE)</f>
        <v>95.685000000000002</v>
      </c>
      <c r="Z150" s="60">
        <f ca="1">100+HLOOKUP(Z$4,$D$7:$P$336,$R150,FALSE)-HLOOKUP(Z$3,$D$7:$P$336,$R150,FALSE)</f>
        <v>89.685000000000002</v>
      </c>
      <c r="AA150" s="60">
        <f ca="1">100+HLOOKUP(AA$4,$D$7:$P$336,$R150,FALSE)-HLOOKUP(AA$3,$D$7:$P$336,$R150,FALSE)</f>
        <v>95.685000000000002</v>
      </c>
      <c r="AB150" s="60">
        <f ca="1">100+HLOOKUP(AB$4,$D$7:$P$336,$R150,FALSE)-HLOOKUP(AB$3,$D$7:$P$336,$R150,FALSE)</f>
        <v>89.685000000000002</v>
      </c>
      <c r="AC150" s="60">
        <f ca="1">100+HLOOKUP(AC$4,$D$7:$P$336,$R150,FALSE)-HLOOKUP(AC$3,$D$7:$P$336,$R150,FALSE)</f>
        <v>102.22500000000001</v>
      </c>
      <c r="AD150" s="60">
        <f ca="1">100+HLOOKUP(AD$4,$D$7:$P$336,$R150,FALSE)-HLOOKUP(AD$3,$D$7:$P$336,$R150,FALSE)</f>
        <v>102.22499999999999</v>
      </c>
      <c r="AE150" s="60">
        <f ca="1">100+HLOOKUP(AE$4,$D$7:$P$336,$R150,FALSE)-HLOOKUP(AE$3,$D$7:$P$336,$R150,FALSE)</f>
        <v>108.22499999999999</v>
      </c>
      <c r="AF150" s="60">
        <f ca="1">100+HLOOKUP(AF$4,$D$7:$P$336,$R150,FALSE)-HLOOKUP(AF$3,$D$7:$P$336,$R150,FALSE)</f>
        <v>102.22499999999999</v>
      </c>
      <c r="AG150" s="60">
        <f ca="1">100+HLOOKUP(AG$4,$D$7:$P$336,$R150,FALSE)-HLOOKUP(AG$3,$D$7:$P$336,$R150,FALSE)</f>
        <v>95.685000000000002</v>
      </c>
      <c r="AH150" s="60" t="e">
        <f>100+HLOOKUP(AH$4,$D$7:$P$336,$R150,FALSE)-HLOOKUP(AH$3,$D$7:$P$336,$R150,FALSE)</f>
        <v>#N/A</v>
      </c>
      <c r="AI150" s="60" t="e">
        <f>100+HLOOKUP(AI$4,$D$7:$P$336,$R150,FALSE)-HLOOKUP(AI$3,$D$7:$P$336,$R150,FALSE)</f>
        <v>#N/A</v>
      </c>
      <c r="AJ150" s="60" t="e">
        <f>100+HLOOKUP(AJ$4,$D$7:$P$336,$R150,FALSE)-HLOOKUP(AJ$3,$D$7:$P$336,$R150,FALSE)</f>
        <v>#N/A</v>
      </c>
      <c r="AK150" s="60" t="e">
        <f>100+HLOOKUP(AK$4,$D$7:$P$336,$R150,FALSE)-HLOOKUP(AK$3,$D$7:$P$336,$R150,FALSE)</f>
        <v>#N/A</v>
      </c>
      <c r="AL150" s="60" t="e">
        <f>100+HLOOKUP(AL$4,$D$7:$P$336,$R150,FALSE)-HLOOKUP(AL$3,$D$7:$P$336,$R150,FALSE)</f>
        <v>#N/A</v>
      </c>
      <c r="AM150" s="60" t="e">
        <f>100+HLOOKUP(AM$4,$D$7:$P$336,$R150,FALSE)-HLOOKUP(AM$3,$D$7:$P$336,$R150,FALSE)</f>
        <v>#N/A</v>
      </c>
      <c r="AN150" s="60" t="e">
        <f>100+HLOOKUP(AN$4,$D$7:$P$336,$R150,FALSE)-HLOOKUP(AN$3,$D$7:$P$336,$R150,FALSE)</f>
        <v>#N/A</v>
      </c>
      <c r="AO150" s="60" t="e">
        <f>100+HLOOKUP(AO$4,$D$7:$P$336,$R150,FALSE)-HLOOKUP(AO$3,$D$7:$P$336,$R150,FALSE)</f>
        <v>#N/A</v>
      </c>
      <c r="AP150" s="60" t="e">
        <f>100+HLOOKUP(AP$4,$D$7:$P$336,$R150,FALSE)-HLOOKUP(AP$3,$D$7:$P$336,$R150,FALSE)</f>
        <v>#N/A</v>
      </c>
      <c r="AQ150" s="60" t="e">
        <f>100+HLOOKUP(AQ$4,$D$7:$P$336,$R150,FALSE)-HLOOKUP(AQ$3,$D$7:$P$336,$R150,FALSE)</f>
        <v>#N/A</v>
      </c>
      <c r="AV150" s="60">
        <f ca="1">AV$5-S150</f>
        <v>7.5053994267964441</v>
      </c>
      <c r="AW150" s="60">
        <f ca="1">AW$5-T150</f>
        <v>-1.4643494702422544</v>
      </c>
      <c r="AX150" s="60">
        <f ca="1">AX$5-U150</f>
        <v>12.090915403668049</v>
      </c>
      <c r="AY150" s="60">
        <f ca="1">AY$5-V150</f>
        <v>-2.0819855984722011</v>
      </c>
      <c r="AZ150" s="60">
        <f ca="1">AZ$5-W150</f>
        <v>7.7694821725960281</v>
      </c>
      <c r="BA150" s="60">
        <f ca="1">BA$5-X150</f>
        <v>2.7800590589827152</v>
      </c>
      <c r="BB150" s="60">
        <f ca="1">BB$5-Y150</f>
        <v>-2.3344072726188756</v>
      </c>
      <c r="BC150" s="60">
        <f ca="1">BC$5-Z150</f>
        <v>17.752465909882162</v>
      </c>
      <c r="BD150" s="60">
        <f ca="1">BD$5-AA150</f>
        <v>2.2515186643823597</v>
      </c>
      <c r="BE150" s="60">
        <f ca="1">BE$5-AB150</f>
        <v>2.1443905919921917</v>
      </c>
      <c r="BF150" s="60">
        <f ca="1">BF$5-AC150</f>
        <v>-1.2076956835229282</v>
      </c>
      <c r="BG150" s="60">
        <f ca="1">BG$5-AD150</f>
        <v>1.760258705018515</v>
      </c>
      <c r="BH150" s="60">
        <f ca="1">BH$5-AE150</f>
        <v>-9.2704077696324276</v>
      </c>
      <c r="BI150" s="60">
        <f ca="1">BI$5-AF150</f>
        <v>-11.61649448874519</v>
      </c>
      <c r="BJ150" s="60">
        <f ca="1">BJ$5-AG150</f>
        <v>-4.2454489423212323</v>
      </c>
      <c r="BK150" s="60" t="e">
        <f>BK$5-AH150</f>
        <v>#N/A</v>
      </c>
      <c r="BL150" s="60" t="e">
        <f>BL$5-AI150</f>
        <v>#N/A</v>
      </c>
      <c r="BM150" s="60" t="e">
        <f>BM$5-AJ150</f>
        <v>#N/A</v>
      </c>
      <c r="BN150" s="60" t="e">
        <f>BN$5-AK150</f>
        <v>#N/A</v>
      </c>
      <c r="BO150" s="60" t="e">
        <f>BO$5-AL150</f>
        <v>#N/A</v>
      </c>
      <c r="BP150" s="60" t="e">
        <f>BP$5-AM150</f>
        <v>#N/A</v>
      </c>
      <c r="BQ150" s="60" t="e">
        <f>BQ$5-AN150</f>
        <v>#N/A</v>
      </c>
      <c r="BR150" s="60" t="e">
        <f>BR$5-AO150</f>
        <v>#N/A</v>
      </c>
      <c r="BS150" s="60" t="e">
        <f>BS$5-AP150</f>
        <v>#N/A</v>
      </c>
      <c r="BT150" s="60" t="e">
        <f>BT$5-AQ150</f>
        <v>#N/A</v>
      </c>
      <c r="BV150" s="60" cm="1">
        <f t="array" aca="1" ref="BV150" ca="1">SQRT(SUMSQ(_xlfn._xlws.FILTER(AV150:BT150,ISNUMBER(AV150:BT150)))/COUNT(_xlfn._xlws.FILTER(AV150:BT150,ISNUMBER(AV150:BT150))))</f>
        <v>7.5313803607714433</v>
      </c>
    </row>
    <row r="151" spans="3:74" x14ac:dyDescent="0.2">
      <c r="C151" s="60" t="s">
        <v>353</v>
      </c>
      <c r="D151" s="60">
        <v>0</v>
      </c>
      <c r="E151" s="60">
        <v>-2</v>
      </c>
      <c r="F151" s="60">
        <v>-4</v>
      </c>
      <c r="G151" s="60">
        <v>-6</v>
      </c>
      <c r="H151" s="60">
        <v>-8</v>
      </c>
      <c r="I151" s="60">
        <v>-10</v>
      </c>
      <c r="J151" s="60">
        <v>-10</v>
      </c>
      <c r="K151" s="60">
        <v>-12</v>
      </c>
      <c r="L151" s="60">
        <v>0</v>
      </c>
      <c r="M151" s="60">
        <v>4</v>
      </c>
      <c r="N151" s="60">
        <v>2</v>
      </c>
      <c r="O151" s="60">
        <v>2</v>
      </c>
      <c r="P151" s="60">
        <v>0</v>
      </c>
      <c r="R151" s="61">
        <f>(ROW(R151)-ROW($C$6))</f>
        <v>145</v>
      </c>
      <c r="S151" s="60">
        <f ca="1">100+HLOOKUP(S$4,$D$7:$P$336,$R151,FALSE)-HLOOKUP(S$3,$D$7:$P$336,$R151,FALSE)</f>
        <v>88</v>
      </c>
      <c r="T151" s="60">
        <f ca="1">100+HLOOKUP(T$4,$D$7:$P$336,$R151,FALSE)-HLOOKUP(T$3,$D$7:$P$336,$R151,FALSE)</f>
        <v>88</v>
      </c>
      <c r="U151" s="60">
        <f ca="1">100+HLOOKUP(U$4,$D$7:$P$336,$R151,FALSE)-HLOOKUP(U$3,$D$7:$P$336,$R151,FALSE)</f>
        <v>102</v>
      </c>
      <c r="V151" s="60">
        <f ca="1">100+HLOOKUP(V$4,$D$7:$P$336,$R151,FALSE)-HLOOKUP(V$3,$D$7:$P$336,$R151,FALSE)</f>
        <v>88</v>
      </c>
      <c r="W151" s="60">
        <f ca="1">100+HLOOKUP(W$4,$D$7:$P$336,$R151,FALSE)-HLOOKUP(W$3,$D$7:$P$336,$R151,FALSE)</f>
        <v>88</v>
      </c>
      <c r="X151" s="60">
        <f ca="1">100+HLOOKUP(X$4,$D$7:$P$336,$R151,FALSE)-HLOOKUP(X$3,$D$7:$P$336,$R151,FALSE)</f>
        <v>88</v>
      </c>
      <c r="Y151" s="60">
        <f ca="1">100+HLOOKUP(Y$4,$D$7:$P$336,$R151,FALSE)-HLOOKUP(Y$3,$D$7:$P$336,$R151,FALSE)</f>
        <v>88</v>
      </c>
      <c r="Z151" s="60">
        <f ca="1">100+HLOOKUP(Z$4,$D$7:$P$336,$R151,FALSE)-HLOOKUP(Z$3,$D$7:$P$336,$R151,FALSE)</f>
        <v>102</v>
      </c>
      <c r="AA151" s="60">
        <f ca="1">100+HLOOKUP(AA$4,$D$7:$P$336,$R151,FALSE)-HLOOKUP(AA$3,$D$7:$P$336,$R151,FALSE)</f>
        <v>88</v>
      </c>
      <c r="AB151" s="60">
        <f ca="1">100+HLOOKUP(AB$4,$D$7:$P$336,$R151,FALSE)-HLOOKUP(AB$3,$D$7:$P$336,$R151,FALSE)</f>
        <v>88</v>
      </c>
      <c r="AC151" s="60">
        <f ca="1">100+HLOOKUP(AC$4,$D$7:$P$336,$R151,FALSE)-HLOOKUP(AC$3,$D$7:$P$336,$R151,FALSE)</f>
        <v>108</v>
      </c>
      <c r="AD151" s="60">
        <f ca="1">100+HLOOKUP(AD$4,$D$7:$P$336,$R151,FALSE)-HLOOKUP(AD$3,$D$7:$P$336,$R151,FALSE)</f>
        <v>110</v>
      </c>
      <c r="AE151" s="60">
        <f ca="1">100+HLOOKUP(AE$4,$D$7:$P$336,$R151,FALSE)-HLOOKUP(AE$3,$D$7:$P$336,$R151,FALSE)</f>
        <v>108</v>
      </c>
      <c r="AF151" s="60">
        <f ca="1">100+HLOOKUP(AF$4,$D$7:$P$336,$R151,FALSE)-HLOOKUP(AF$3,$D$7:$P$336,$R151,FALSE)</f>
        <v>94</v>
      </c>
      <c r="AG151" s="60">
        <f ca="1">100+HLOOKUP(AG$4,$D$7:$P$336,$R151,FALSE)-HLOOKUP(AG$3,$D$7:$P$336,$R151,FALSE)</f>
        <v>88</v>
      </c>
      <c r="AH151" s="60" t="e">
        <f>100+HLOOKUP(AH$4,$D$7:$P$336,$R151,FALSE)-HLOOKUP(AH$3,$D$7:$P$336,$R151,FALSE)</f>
        <v>#N/A</v>
      </c>
      <c r="AI151" s="60" t="e">
        <f>100+HLOOKUP(AI$4,$D$7:$P$336,$R151,FALSE)-HLOOKUP(AI$3,$D$7:$P$336,$R151,FALSE)</f>
        <v>#N/A</v>
      </c>
      <c r="AJ151" s="60" t="e">
        <f>100+HLOOKUP(AJ$4,$D$7:$P$336,$R151,FALSE)-HLOOKUP(AJ$3,$D$7:$P$336,$R151,FALSE)</f>
        <v>#N/A</v>
      </c>
      <c r="AK151" s="60" t="e">
        <f>100+HLOOKUP(AK$4,$D$7:$P$336,$R151,FALSE)-HLOOKUP(AK$3,$D$7:$P$336,$R151,FALSE)</f>
        <v>#N/A</v>
      </c>
      <c r="AL151" s="60" t="e">
        <f>100+HLOOKUP(AL$4,$D$7:$P$336,$R151,FALSE)-HLOOKUP(AL$3,$D$7:$P$336,$R151,FALSE)</f>
        <v>#N/A</v>
      </c>
      <c r="AM151" s="60" t="e">
        <f>100+HLOOKUP(AM$4,$D$7:$P$336,$R151,FALSE)-HLOOKUP(AM$3,$D$7:$P$336,$R151,FALSE)</f>
        <v>#N/A</v>
      </c>
      <c r="AN151" s="60" t="e">
        <f>100+HLOOKUP(AN$4,$D$7:$P$336,$R151,FALSE)-HLOOKUP(AN$3,$D$7:$P$336,$R151,FALSE)</f>
        <v>#N/A</v>
      </c>
      <c r="AO151" s="60" t="e">
        <f>100+HLOOKUP(AO$4,$D$7:$P$336,$R151,FALSE)-HLOOKUP(AO$3,$D$7:$P$336,$R151,FALSE)</f>
        <v>#N/A</v>
      </c>
      <c r="AP151" s="60" t="e">
        <f>100+HLOOKUP(AP$4,$D$7:$P$336,$R151,FALSE)-HLOOKUP(AP$3,$D$7:$P$336,$R151,FALSE)</f>
        <v>#N/A</v>
      </c>
      <c r="AQ151" s="60" t="e">
        <f>100+HLOOKUP(AQ$4,$D$7:$P$336,$R151,FALSE)-HLOOKUP(AQ$3,$D$7:$P$336,$R151,FALSE)</f>
        <v>#N/A</v>
      </c>
      <c r="AV151" s="60">
        <f ca="1">AV$5-S151</f>
        <v>15.190399426796432</v>
      </c>
      <c r="AW151" s="60">
        <f ca="1">AW$5-T151</f>
        <v>6.2206505297577479</v>
      </c>
      <c r="AX151" s="60">
        <f ca="1">AX$5-U151</f>
        <v>-0.22408459633194866</v>
      </c>
      <c r="AY151" s="60">
        <f ca="1">AY$5-V151</f>
        <v>5.6030144015278012</v>
      </c>
      <c r="AZ151" s="60">
        <f ca="1">AZ$5-W151</f>
        <v>9.4544821725960304</v>
      </c>
      <c r="BA151" s="60">
        <f ca="1">BA$5-X151</f>
        <v>10.465059058982703</v>
      </c>
      <c r="BB151" s="60">
        <f ca="1">BB$5-Y151</f>
        <v>5.3505927273811267</v>
      </c>
      <c r="BC151" s="60">
        <f ca="1">BC$5-Z151</f>
        <v>5.4374659098821638</v>
      </c>
      <c r="BD151" s="60">
        <f ca="1">BD$5-AA151</f>
        <v>9.936518664382362</v>
      </c>
      <c r="BE151" s="60">
        <f ca="1">BE$5-AB151</f>
        <v>3.829390591992194</v>
      </c>
      <c r="BF151" s="60">
        <f ca="1">BF$5-AC151</f>
        <v>-6.9826956835229197</v>
      </c>
      <c r="BG151" s="60">
        <f ca="1">BG$5-AD151</f>
        <v>-6.0147412949814907</v>
      </c>
      <c r="BH151" s="60">
        <f ca="1">BH$5-AE151</f>
        <v>-9.0454077696324333</v>
      </c>
      <c r="BI151" s="60">
        <f ca="1">BI$5-AF151</f>
        <v>-3.3914944887451952</v>
      </c>
      <c r="BJ151" s="60">
        <f ca="1">BJ$5-AG151</f>
        <v>3.43955105767877</v>
      </c>
      <c r="BK151" s="60" t="e">
        <f>BK$5-AH151</f>
        <v>#N/A</v>
      </c>
      <c r="BL151" s="60" t="e">
        <f>BL$5-AI151</f>
        <v>#N/A</v>
      </c>
      <c r="BM151" s="60" t="e">
        <f>BM$5-AJ151</f>
        <v>#N/A</v>
      </c>
      <c r="BN151" s="60" t="e">
        <f>BN$5-AK151</f>
        <v>#N/A</v>
      </c>
      <c r="BO151" s="60" t="e">
        <f>BO$5-AL151</f>
        <v>#N/A</v>
      </c>
      <c r="BP151" s="60" t="e">
        <f>BP$5-AM151</f>
        <v>#N/A</v>
      </c>
      <c r="BQ151" s="60" t="e">
        <f>BQ$5-AN151</f>
        <v>#N/A</v>
      </c>
      <c r="BR151" s="60" t="e">
        <f>BR$5-AO151</f>
        <v>#N/A</v>
      </c>
      <c r="BS151" s="60" t="e">
        <f>BS$5-AP151</f>
        <v>#N/A</v>
      </c>
      <c r="BT151" s="60" t="e">
        <f>BT$5-AQ151</f>
        <v>#N/A</v>
      </c>
      <c r="BV151" s="60" cm="1">
        <f t="array" aca="1" ref="BV151" ca="1">SQRT(SUMSQ(_xlfn._xlws.FILTER(AV151:BT151,ISNUMBER(AV151:BT151)))/COUNT(_xlfn._xlws.FILTER(AV151:BT151,ISNUMBER(AV151:BT151))))</f>
        <v>7.5783649061293685</v>
      </c>
    </row>
    <row r="152" spans="3:74" x14ac:dyDescent="0.2">
      <c r="C152" s="60" t="s">
        <v>205</v>
      </c>
      <c r="D152" s="60">
        <v>0</v>
      </c>
      <c r="E152" s="60">
        <v>0</v>
      </c>
      <c r="F152" s="60">
        <v>0</v>
      </c>
      <c r="G152" s="60">
        <v>-5</v>
      </c>
      <c r="H152" s="60">
        <v>-10</v>
      </c>
      <c r="I152" s="60">
        <v>-10</v>
      </c>
      <c r="J152" s="60">
        <v>-5</v>
      </c>
      <c r="K152" s="60">
        <v>5</v>
      </c>
      <c r="L152" s="60">
        <v>4</v>
      </c>
      <c r="M152" s="60">
        <v>3</v>
      </c>
      <c r="N152" s="60">
        <v>2</v>
      </c>
      <c r="O152" s="60">
        <v>1</v>
      </c>
      <c r="P152" s="60">
        <v>0</v>
      </c>
      <c r="R152" s="61">
        <f>(ROW(R152)-ROW($C$6))</f>
        <v>146</v>
      </c>
      <c r="S152" s="60">
        <f ca="1">100+HLOOKUP(S$4,$D$7:$P$336,$R152,FALSE)-HLOOKUP(S$3,$D$7:$P$336,$R152,FALSE)</f>
        <v>87</v>
      </c>
      <c r="T152" s="60">
        <f ca="1">100+HLOOKUP(T$4,$D$7:$P$336,$R152,FALSE)-HLOOKUP(T$3,$D$7:$P$336,$R152,FALSE)</f>
        <v>94</v>
      </c>
      <c r="U152" s="60">
        <f ca="1">100+HLOOKUP(U$4,$D$7:$P$336,$R152,FALSE)-HLOOKUP(U$3,$D$7:$P$336,$R152,FALSE)</f>
        <v>104</v>
      </c>
      <c r="V152" s="60">
        <f ca="1">100+HLOOKUP(V$4,$D$7:$P$336,$R152,FALSE)-HLOOKUP(V$3,$D$7:$P$336,$R152,FALSE)</f>
        <v>88</v>
      </c>
      <c r="W152" s="60">
        <f ca="1">100+HLOOKUP(W$4,$D$7:$P$336,$R152,FALSE)-HLOOKUP(W$3,$D$7:$P$336,$R152,FALSE)</f>
        <v>105</v>
      </c>
      <c r="X152" s="60">
        <f ca="1">100+HLOOKUP(X$4,$D$7:$P$336,$R152,FALSE)-HLOOKUP(X$3,$D$7:$P$336,$R152,FALSE)</f>
        <v>87</v>
      </c>
      <c r="Y152" s="60">
        <f ca="1">100+HLOOKUP(Y$4,$D$7:$P$336,$R152,FALSE)-HLOOKUP(Y$3,$D$7:$P$336,$R152,FALSE)</f>
        <v>94</v>
      </c>
      <c r="Z152" s="60">
        <f ca="1">100+HLOOKUP(Z$4,$D$7:$P$336,$R152,FALSE)-HLOOKUP(Z$3,$D$7:$P$336,$R152,FALSE)</f>
        <v>104</v>
      </c>
      <c r="AA152" s="60">
        <f ca="1">100+HLOOKUP(AA$4,$D$7:$P$336,$R152,FALSE)-HLOOKUP(AA$3,$D$7:$P$336,$R152,FALSE)</f>
        <v>88</v>
      </c>
      <c r="AB152" s="60">
        <f ca="1">100+HLOOKUP(AB$4,$D$7:$P$336,$R152,FALSE)-HLOOKUP(AB$3,$D$7:$P$336,$R152,FALSE)</f>
        <v>105</v>
      </c>
      <c r="AC152" s="60">
        <f ca="1">100+HLOOKUP(AC$4,$D$7:$P$336,$R152,FALSE)-HLOOKUP(AC$3,$D$7:$P$336,$R152,FALSE)</f>
        <v>103</v>
      </c>
      <c r="AD152" s="60">
        <f ca="1">100+HLOOKUP(AD$4,$D$7:$P$336,$R152,FALSE)-HLOOKUP(AD$3,$D$7:$P$336,$R152,FALSE)</f>
        <v>111</v>
      </c>
      <c r="AE152" s="60">
        <f ca="1">100+HLOOKUP(AE$4,$D$7:$P$336,$R152,FALSE)-HLOOKUP(AE$3,$D$7:$P$336,$R152,FALSE)</f>
        <v>105</v>
      </c>
      <c r="AF152" s="60">
        <f ca="1">100+HLOOKUP(AF$4,$D$7:$P$336,$R152,FALSE)-HLOOKUP(AF$3,$D$7:$P$336,$R152,FALSE)</f>
        <v>91</v>
      </c>
      <c r="AG152" s="60">
        <f ca="1">100+HLOOKUP(AG$4,$D$7:$P$336,$R152,FALSE)-HLOOKUP(AG$3,$D$7:$P$336,$R152,FALSE)</f>
        <v>88</v>
      </c>
      <c r="AH152" s="60" t="e">
        <f>100+HLOOKUP(AH$4,$D$7:$P$336,$R152,FALSE)-HLOOKUP(AH$3,$D$7:$P$336,$R152,FALSE)</f>
        <v>#N/A</v>
      </c>
      <c r="AI152" s="60" t="e">
        <f>100+HLOOKUP(AI$4,$D$7:$P$336,$R152,FALSE)-HLOOKUP(AI$3,$D$7:$P$336,$R152,FALSE)</f>
        <v>#N/A</v>
      </c>
      <c r="AJ152" s="60" t="e">
        <f>100+HLOOKUP(AJ$4,$D$7:$P$336,$R152,FALSE)-HLOOKUP(AJ$3,$D$7:$P$336,$R152,FALSE)</f>
        <v>#N/A</v>
      </c>
      <c r="AK152" s="60" t="e">
        <f>100+HLOOKUP(AK$4,$D$7:$P$336,$R152,FALSE)-HLOOKUP(AK$3,$D$7:$P$336,$R152,FALSE)</f>
        <v>#N/A</v>
      </c>
      <c r="AL152" s="60" t="e">
        <f>100+HLOOKUP(AL$4,$D$7:$P$336,$R152,FALSE)-HLOOKUP(AL$3,$D$7:$P$336,$R152,FALSE)</f>
        <v>#N/A</v>
      </c>
      <c r="AM152" s="60" t="e">
        <f>100+HLOOKUP(AM$4,$D$7:$P$336,$R152,FALSE)-HLOOKUP(AM$3,$D$7:$P$336,$R152,FALSE)</f>
        <v>#N/A</v>
      </c>
      <c r="AN152" s="60" t="e">
        <f>100+HLOOKUP(AN$4,$D$7:$P$336,$R152,FALSE)-HLOOKUP(AN$3,$D$7:$P$336,$R152,FALSE)</f>
        <v>#N/A</v>
      </c>
      <c r="AO152" s="60" t="e">
        <f>100+HLOOKUP(AO$4,$D$7:$P$336,$R152,FALSE)-HLOOKUP(AO$3,$D$7:$P$336,$R152,FALSE)</f>
        <v>#N/A</v>
      </c>
      <c r="AP152" s="60" t="e">
        <f>100+HLOOKUP(AP$4,$D$7:$P$336,$R152,FALSE)-HLOOKUP(AP$3,$D$7:$P$336,$R152,FALSE)</f>
        <v>#N/A</v>
      </c>
      <c r="AQ152" s="60" t="e">
        <f>100+HLOOKUP(AQ$4,$D$7:$P$336,$R152,FALSE)-HLOOKUP(AQ$3,$D$7:$P$336,$R152,FALSE)</f>
        <v>#N/A</v>
      </c>
      <c r="AV152" s="60">
        <f ca="1">AV$5-S152</f>
        <v>16.190399426796432</v>
      </c>
      <c r="AW152" s="60">
        <f ca="1">AW$5-T152</f>
        <v>0.2206505297577479</v>
      </c>
      <c r="AX152" s="60">
        <f ca="1">AX$5-U152</f>
        <v>-2.2240845963319487</v>
      </c>
      <c r="AY152" s="60">
        <f ca="1">AY$5-V152</f>
        <v>5.6030144015278012</v>
      </c>
      <c r="AZ152" s="60">
        <f ca="1">AZ$5-W152</f>
        <v>-7.5455178274039696</v>
      </c>
      <c r="BA152" s="60">
        <f ca="1">BA$5-X152</f>
        <v>11.465059058982703</v>
      </c>
      <c r="BB152" s="60">
        <f ca="1">BB$5-Y152</f>
        <v>-0.64940727261887332</v>
      </c>
      <c r="BC152" s="60">
        <f ca="1">BC$5-Z152</f>
        <v>3.4374659098821638</v>
      </c>
      <c r="BD152" s="60">
        <f ca="1">BD$5-AA152</f>
        <v>9.936518664382362</v>
      </c>
      <c r="BE152" s="60">
        <f ca="1">BE$5-AB152</f>
        <v>-13.170609408007806</v>
      </c>
      <c r="BF152" s="60">
        <f ca="1">BF$5-AC152</f>
        <v>-1.9826956835229197</v>
      </c>
      <c r="BG152" s="60">
        <f ca="1">BG$5-AD152</f>
        <v>-7.0147412949814907</v>
      </c>
      <c r="BH152" s="60">
        <f ca="1">BH$5-AE152</f>
        <v>-6.0454077696324333</v>
      </c>
      <c r="BI152" s="60">
        <f ca="1">BI$5-AF152</f>
        <v>-0.39149448874519521</v>
      </c>
      <c r="BJ152" s="60">
        <f ca="1">BJ$5-AG152</f>
        <v>3.43955105767877</v>
      </c>
      <c r="BK152" s="60" t="e">
        <f>BK$5-AH152</f>
        <v>#N/A</v>
      </c>
      <c r="BL152" s="60" t="e">
        <f>BL$5-AI152</f>
        <v>#N/A</v>
      </c>
      <c r="BM152" s="60" t="e">
        <f>BM$5-AJ152</f>
        <v>#N/A</v>
      </c>
      <c r="BN152" s="60" t="e">
        <f>BN$5-AK152</f>
        <v>#N/A</v>
      </c>
      <c r="BO152" s="60" t="e">
        <f>BO$5-AL152</f>
        <v>#N/A</v>
      </c>
      <c r="BP152" s="60" t="e">
        <f>BP$5-AM152</f>
        <v>#N/A</v>
      </c>
      <c r="BQ152" s="60" t="e">
        <f>BQ$5-AN152</f>
        <v>#N/A</v>
      </c>
      <c r="BR152" s="60" t="e">
        <f>BR$5-AO152</f>
        <v>#N/A</v>
      </c>
      <c r="BS152" s="60" t="e">
        <f>BS$5-AP152</f>
        <v>#N/A</v>
      </c>
      <c r="BT152" s="60" t="e">
        <f>BT$5-AQ152</f>
        <v>#N/A</v>
      </c>
      <c r="BV152" s="60" cm="1">
        <f t="array" aca="1" ref="BV152" ca="1">SQRT(SUMSQ(_xlfn._xlws.FILTER(AV152:BT152,ISNUMBER(AV152:BT152)))/COUNT(_xlfn._xlws.FILTER(AV152:BT152,ISNUMBER(AV152:BT152))))</f>
        <v>7.6289192358068529</v>
      </c>
    </row>
    <row r="153" spans="3:74" x14ac:dyDescent="0.2">
      <c r="C153" s="60" t="s">
        <v>366</v>
      </c>
      <c r="D153" s="60">
        <v>0</v>
      </c>
      <c r="E153" s="60">
        <v>-2</v>
      </c>
      <c r="F153" s="60">
        <v>-4</v>
      </c>
      <c r="G153" s="60">
        <v>-6</v>
      </c>
      <c r="H153" s="60">
        <v>-8</v>
      </c>
      <c r="I153" s="60">
        <v>-10</v>
      </c>
      <c r="J153" s="60">
        <v>-12</v>
      </c>
      <c r="K153" s="60">
        <v>-8</v>
      </c>
      <c r="L153" s="60">
        <v>-4</v>
      </c>
      <c r="M153" s="60">
        <v>0</v>
      </c>
      <c r="N153" s="60">
        <v>4</v>
      </c>
      <c r="O153" s="60">
        <v>2</v>
      </c>
      <c r="P153" s="60">
        <v>0</v>
      </c>
      <c r="R153" s="61">
        <f>(ROW(R153)-ROW($C$6))</f>
        <v>147</v>
      </c>
      <c r="S153" s="60">
        <f ca="1">100+HLOOKUP(S$4,$D$7:$P$336,$R153,FALSE)-HLOOKUP(S$3,$D$7:$P$336,$R153,FALSE)</f>
        <v>92</v>
      </c>
      <c r="T153" s="60">
        <f ca="1">100+HLOOKUP(T$4,$D$7:$P$336,$R153,FALSE)-HLOOKUP(T$3,$D$7:$P$336,$R153,FALSE)</f>
        <v>86</v>
      </c>
      <c r="U153" s="60">
        <f ca="1">100+HLOOKUP(U$4,$D$7:$P$336,$R153,FALSE)-HLOOKUP(U$3,$D$7:$P$336,$R153,FALSE)</f>
        <v>98</v>
      </c>
      <c r="V153" s="60">
        <f ca="1">100+HLOOKUP(V$4,$D$7:$P$336,$R153,FALSE)-HLOOKUP(V$3,$D$7:$P$336,$R153,FALSE)</f>
        <v>86</v>
      </c>
      <c r="W153" s="60">
        <f ca="1">100+HLOOKUP(W$4,$D$7:$P$336,$R153,FALSE)-HLOOKUP(W$3,$D$7:$P$336,$R153,FALSE)</f>
        <v>92</v>
      </c>
      <c r="X153" s="60">
        <f ca="1">100+HLOOKUP(X$4,$D$7:$P$336,$R153,FALSE)-HLOOKUP(X$3,$D$7:$P$336,$R153,FALSE)</f>
        <v>92</v>
      </c>
      <c r="Y153" s="60">
        <f ca="1">100+HLOOKUP(Y$4,$D$7:$P$336,$R153,FALSE)-HLOOKUP(Y$3,$D$7:$P$336,$R153,FALSE)</f>
        <v>86</v>
      </c>
      <c r="Z153" s="60">
        <f ca="1">100+HLOOKUP(Z$4,$D$7:$P$336,$R153,FALSE)-HLOOKUP(Z$3,$D$7:$P$336,$R153,FALSE)</f>
        <v>98</v>
      </c>
      <c r="AA153" s="60">
        <f ca="1">100+HLOOKUP(AA$4,$D$7:$P$336,$R153,FALSE)-HLOOKUP(AA$3,$D$7:$P$336,$R153,FALSE)</f>
        <v>86</v>
      </c>
      <c r="AB153" s="60">
        <f ca="1">100+HLOOKUP(AB$4,$D$7:$P$336,$R153,FALSE)-HLOOKUP(AB$3,$D$7:$P$336,$R153,FALSE)</f>
        <v>92</v>
      </c>
      <c r="AC153" s="60">
        <f ca="1">100+HLOOKUP(AC$4,$D$7:$P$336,$R153,FALSE)-HLOOKUP(AC$3,$D$7:$P$336,$R153,FALSE)</f>
        <v>104</v>
      </c>
      <c r="AD153" s="60">
        <f ca="1">100+HLOOKUP(AD$4,$D$7:$P$336,$R153,FALSE)-HLOOKUP(AD$3,$D$7:$P$336,$R153,FALSE)</f>
        <v>110</v>
      </c>
      <c r="AE153" s="60">
        <f ca="1">100+HLOOKUP(AE$4,$D$7:$P$336,$R153,FALSE)-HLOOKUP(AE$3,$D$7:$P$336,$R153,FALSE)</f>
        <v>110</v>
      </c>
      <c r="AF153" s="60">
        <f ca="1">100+HLOOKUP(AF$4,$D$7:$P$336,$R153,FALSE)-HLOOKUP(AF$3,$D$7:$P$336,$R153,FALSE)</f>
        <v>98</v>
      </c>
      <c r="AG153" s="60">
        <f ca="1">100+HLOOKUP(AG$4,$D$7:$P$336,$R153,FALSE)-HLOOKUP(AG$3,$D$7:$P$336,$R153,FALSE)</f>
        <v>86</v>
      </c>
      <c r="AH153" s="60" t="e">
        <f>100+HLOOKUP(AH$4,$D$7:$P$336,$R153,FALSE)-HLOOKUP(AH$3,$D$7:$P$336,$R153,FALSE)</f>
        <v>#N/A</v>
      </c>
      <c r="AI153" s="60" t="e">
        <f>100+HLOOKUP(AI$4,$D$7:$P$336,$R153,FALSE)-HLOOKUP(AI$3,$D$7:$P$336,$R153,FALSE)</f>
        <v>#N/A</v>
      </c>
      <c r="AJ153" s="60" t="e">
        <f>100+HLOOKUP(AJ$4,$D$7:$P$336,$R153,FALSE)-HLOOKUP(AJ$3,$D$7:$P$336,$R153,FALSE)</f>
        <v>#N/A</v>
      </c>
      <c r="AK153" s="60" t="e">
        <f>100+HLOOKUP(AK$4,$D$7:$P$336,$R153,FALSE)-HLOOKUP(AK$3,$D$7:$P$336,$R153,FALSE)</f>
        <v>#N/A</v>
      </c>
      <c r="AL153" s="60" t="e">
        <f>100+HLOOKUP(AL$4,$D$7:$P$336,$R153,FALSE)-HLOOKUP(AL$3,$D$7:$P$336,$R153,FALSE)</f>
        <v>#N/A</v>
      </c>
      <c r="AM153" s="60" t="e">
        <f>100+HLOOKUP(AM$4,$D$7:$P$336,$R153,FALSE)-HLOOKUP(AM$3,$D$7:$P$336,$R153,FALSE)</f>
        <v>#N/A</v>
      </c>
      <c r="AN153" s="60" t="e">
        <f>100+HLOOKUP(AN$4,$D$7:$P$336,$R153,FALSE)-HLOOKUP(AN$3,$D$7:$P$336,$R153,FALSE)</f>
        <v>#N/A</v>
      </c>
      <c r="AO153" s="60" t="e">
        <f>100+HLOOKUP(AO$4,$D$7:$P$336,$R153,FALSE)-HLOOKUP(AO$3,$D$7:$P$336,$R153,FALSE)</f>
        <v>#N/A</v>
      </c>
      <c r="AP153" s="60" t="e">
        <f>100+HLOOKUP(AP$4,$D$7:$P$336,$R153,FALSE)-HLOOKUP(AP$3,$D$7:$P$336,$R153,FALSE)</f>
        <v>#N/A</v>
      </c>
      <c r="AQ153" s="60" t="e">
        <f>100+HLOOKUP(AQ$4,$D$7:$P$336,$R153,FALSE)-HLOOKUP(AQ$3,$D$7:$P$336,$R153,FALSE)</f>
        <v>#N/A</v>
      </c>
      <c r="AV153" s="60">
        <f ca="1">AV$5-S153</f>
        <v>11.190399426796432</v>
      </c>
      <c r="AW153" s="60">
        <f ca="1">AW$5-T153</f>
        <v>8.2206505297577479</v>
      </c>
      <c r="AX153" s="60">
        <f ca="1">AX$5-U153</f>
        <v>3.7759154036680513</v>
      </c>
      <c r="AY153" s="60">
        <f ca="1">AY$5-V153</f>
        <v>7.6030144015278012</v>
      </c>
      <c r="AZ153" s="60">
        <f ca="1">AZ$5-W153</f>
        <v>5.4544821725960304</v>
      </c>
      <c r="BA153" s="60">
        <f ca="1">BA$5-X153</f>
        <v>6.4650590589827033</v>
      </c>
      <c r="BB153" s="60">
        <f ca="1">BB$5-Y153</f>
        <v>7.3505927273811267</v>
      </c>
      <c r="BC153" s="60">
        <f ca="1">BC$5-Z153</f>
        <v>9.4374659098821638</v>
      </c>
      <c r="BD153" s="60">
        <f ca="1">BD$5-AA153</f>
        <v>11.936518664382362</v>
      </c>
      <c r="BE153" s="60">
        <f ca="1">BE$5-AB153</f>
        <v>-0.170609408007806</v>
      </c>
      <c r="BF153" s="60">
        <f ca="1">BF$5-AC153</f>
        <v>-2.9826956835229197</v>
      </c>
      <c r="BG153" s="60">
        <f ca="1">BG$5-AD153</f>
        <v>-6.0147412949814907</v>
      </c>
      <c r="BH153" s="60">
        <f ca="1">BH$5-AE153</f>
        <v>-11.045407769632433</v>
      </c>
      <c r="BI153" s="60">
        <f ca="1">BI$5-AF153</f>
        <v>-7.3914944887451952</v>
      </c>
      <c r="BJ153" s="60">
        <f ca="1">BJ$5-AG153</f>
        <v>5.43955105767877</v>
      </c>
      <c r="BK153" s="60" t="e">
        <f>BK$5-AH153</f>
        <v>#N/A</v>
      </c>
      <c r="BL153" s="60" t="e">
        <f>BL$5-AI153</f>
        <v>#N/A</v>
      </c>
      <c r="BM153" s="60" t="e">
        <f>BM$5-AJ153</f>
        <v>#N/A</v>
      </c>
      <c r="BN153" s="60" t="e">
        <f>BN$5-AK153</f>
        <v>#N/A</v>
      </c>
      <c r="BO153" s="60" t="e">
        <f>BO$5-AL153</f>
        <v>#N/A</v>
      </c>
      <c r="BP153" s="60" t="e">
        <f>BP$5-AM153</f>
        <v>#N/A</v>
      </c>
      <c r="BQ153" s="60" t="e">
        <f>BQ$5-AN153</f>
        <v>#N/A</v>
      </c>
      <c r="BR153" s="60" t="e">
        <f>BR$5-AO153</f>
        <v>#N/A</v>
      </c>
      <c r="BS153" s="60" t="e">
        <f>BS$5-AP153</f>
        <v>#N/A</v>
      </c>
      <c r="BT153" s="60" t="e">
        <f>BT$5-AQ153</f>
        <v>#N/A</v>
      </c>
      <c r="BV153" s="60" cm="1">
        <f t="array" aca="1" ref="BV153" ca="1">SQRT(SUMSQ(_xlfn._xlws.FILTER(AV153:BT153,ISNUMBER(AV153:BT153)))/COUNT(_xlfn._xlws.FILTER(AV153:BT153,ISNUMBER(AV153:BT153))))</f>
        <v>7.6302903016223445</v>
      </c>
    </row>
    <row r="154" spans="3:74" x14ac:dyDescent="0.2">
      <c r="C154" s="60" t="s">
        <v>506</v>
      </c>
      <c r="D154" s="60">
        <v>0</v>
      </c>
      <c r="E154" s="60">
        <v>0</v>
      </c>
      <c r="F154" s="60">
        <v>-5</v>
      </c>
      <c r="G154" s="60">
        <v>-10</v>
      </c>
      <c r="H154" s="60">
        <v>-10</v>
      </c>
      <c r="I154" s="60">
        <v>-10</v>
      </c>
      <c r="J154" s="60">
        <v>-9</v>
      </c>
      <c r="K154" s="60">
        <v>-9</v>
      </c>
      <c r="L154" s="60">
        <v>-9</v>
      </c>
      <c r="M154" s="60">
        <v>-5</v>
      </c>
      <c r="N154" s="60">
        <v>-1</v>
      </c>
      <c r="O154" s="60">
        <v>3</v>
      </c>
      <c r="P154" s="60">
        <v>0</v>
      </c>
      <c r="R154" s="61">
        <f>(ROW(R154)-ROW($C$6))</f>
        <v>148</v>
      </c>
      <c r="S154" s="60">
        <f ca="1">100+HLOOKUP(S$4,$D$7:$P$336,$R154,FALSE)-HLOOKUP(S$3,$D$7:$P$336,$R154,FALSE)</f>
        <v>95</v>
      </c>
      <c r="T154" s="60">
        <f ca="1">100+HLOOKUP(T$4,$D$7:$P$336,$R154,FALSE)-HLOOKUP(T$3,$D$7:$P$336,$R154,FALSE)</f>
        <v>88</v>
      </c>
      <c r="U154" s="60">
        <f ca="1">100+HLOOKUP(U$4,$D$7:$P$336,$R154,FALSE)-HLOOKUP(U$3,$D$7:$P$336,$R154,FALSE)</f>
        <v>91</v>
      </c>
      <c r="V154" s="60">
        <f ca="1">100+HLOOKUP(V$4,$D$7:$P$336,$R154,FALSE)-HLOOKUP(V$3,$D$7:$P$336,$R154,FALSE)</f>
        <v>91</v>
      </c>
      <c r="W154" s="60">
        <f ca="1">100+HLOOKUP(W$4,$D$7:$P$336,$R154,FALSE)-HLOOKUP(W$3,$D$7:$P$336,$R154,FALSE)</f>
        <v>91</v>
      </c>
      <c r="X154" s="60">
        <f ca="1">100+HLOOKUP(X$4,$D$7:$P$336,$R154,FALSE)-HLOOKUP(X$3,$D$7:$P$336,$R154,FALSE)</f>
        <v>95</v>
      </c>
      <c r="Y154" s="60">
        <f ca="1">100+HLOOKUP(Y$4,$D$7:$P$336,$R154,FALSE)-HLOOKUP(Y$3,$D$7:$P$336,$R154,FALSE)</f>
        <v>88</v>
      </c>
      <c r="Z154" s="60">
        <f ca="1">100+HLOOKUP(Z$4,$D$7:$P$336,$R154,FALSE)-HLOOKUP(Z$3,$D$7:$P$336,$R154,FALSE)</f>
        <v>91</v>
      </c>
      <c r="AA154" s="60">
        <f ca="1">100+HLOOKUP(AA$4,$D$7:$P$336,$R154,FALSE)-HLOOKUP(AA$3,$D$7:$P$336,$R154,FALSE)</f>
        <v>91</v>
      </c>
      <c r="AB154" s="60">
        <f ca="1">100+HLOOKUP(AB$4,$D$7:$P$336,$R154,FALSE)-HLOOKUP(AB$3,$D$7:$P$336,$R154,FALSE)</f>
        <v>91</v>
      </c>
      <c r="AC154" s="60">
        <f ca="1">100+HLOOKUP(AC$4,$D$7:$P$336,$R154,FALSE)-HLOOKUP(AC$3,$D$7:$P$336,$R154,FALSE)</f>
        <v>100</v>
      </c>
      <c r="AD154" s="60">
        <f ca="1">100+HLOOKUP(AD$4,$D$7:$P$336,$R154,FALSE)-HLOOKUP(AD$3,$D$7:$P$336,$R154,FALSE)</f>
        <v>113</v>
      </c>
      <c r="AE154" s="60">
        <f ca="1">100+HLOOKUP(AE$4,$D$7:$P$336,$R154,FALSE)-HLOOKUP(AE$3,$D$7:$P$336,$R154,FALSE)</f>
        <v>109</v>
      </c>
      <c r="AF154" s="60">
        <f ca="1">100+HLOOKUP(AF$4,$D$7:$P$336,$R154,FALSE)-HLOOKUP(AF$3,$D$7:$P$336,$R154,FALSE)</f>
        <v>99</v>
      </c>
      <c r="AG154" s="60">
        <f ca="1">100+HLOOKUP(AG$4,$D$7:$P$336,$R154,FALSE)-HLOOKUP(AG$3,$D$7:$P$336,$R154,FALSE)</f>
        <v>91</v>
      </c>
      <c r="AH154" s="60" t="e">
        <f>100+HLOOKUP(AH$4,$D$7:$P$336,$R154,FALSE)-HLOOKUP(AH$3,$D$7:$P$336,$R154,FALSE)</f>
        <v>#N/A</v>
      </c>
      <c r="AI154" s="60" t="e">
        <f>100+HLOOKUP(AI$4,$D$7:$P$336,$R154,FALSE)-HLOOKUP(AI$3,$D$7:$P$336,$R154,FALSE)</f>
        <v>#N/A</v>
      </c>
      <c r="AJ154" s="60" t="e">
        <f>100+HLOOKUP(AJ$4,$D$7:$P$336,$R154,FALSE)-HLOOKUP(AJ$3,$D$7:$P$336,$R154,FALSE)</f>
        <v>#N/A</v>
      </c>
      <c r="AK154" s="60" t="e">
        <f>100+HLOOKUP(AK$4,$D$7:$P$336,$R154,FALSE)-HLOOKUP(AK$3,$D$7:$P$336,$R154,FALSE)</f>
        <v>#N/A</v>
      </c>
      <c r="AL154" s="60" t="e">
        <f>100+HLOOKUP(AL$4,$D$7:$P$336,$R154,FALSE)-HLOOKUP(AL$3,$D$7:$P$336,$R154,FALSE)</f>
        <v>#N/A</v>
      </c>
      <c r="AM154" s="60" t="e">
        <f>100+HLOOKUP(AM$4,$D$7:$P$336,$R154,FALSE)-HLOOKUP(AM$3,$D$7:$P$336,$R154,FALSE)</f>
        <v>#N/A</v>
      </c>
      <c r="AN154" s="60" t="e">
        <f>100+HLOOKUP(AN$4,$D$7:$P$336,$R154,FALSE)-HLOOKUP(AN$3,$D$7:$P$336,$R154,FALSE)</f>
        <v>#N/A</v>
      </c>
      <c r="AO154" s="60" t="e">
        <f>100+HLOOKUP(AO$4,$D$7:$P$336,$R154,FALSE)-HLOOKUP(AO$3,$D$7:$P$336,$R154,FALSE)</f>
        <v>#N/A</v>
      </c>
      <c r="AP154" s="60" t="e">
        <f>100+HLOOKUP(AP$4,$D$7:$P$336,$R154,FALSE)-HLOOKUP(AP$3,$D$7:$P$336,$R154,FALSE)</f>
        <v>#N/A</v>
      </c>
      <c r="AQ154" s="60" t="e">
        <f>100+HLOOKUP(AQ$4,$D$7:$P$336,$R154,FALSE)-HLOOKUP(AQ$3,$D$7:$P$336,$R154,FALSE)</f>
        <v>#N/A</v>
      </c>
      <c r="AV154" s="60">
        <f ca="1">AV$5-S154</f>
        <v>8.1903994267964322</v>
      </c>
      <c r="AW154" s="60">
        <f ca="1">AW$5-T154</f>
        <v>6.2206505297577479</v>
      </c>
      <c r="AX154" s="60">
        <f ca="1">AX$5-U154</f>
        <v>10.775915403668051</v>
      </c>
      <c r="AY154" s="60">
        <f ca="1">AY$5-V154</f>
        <v>2.6030144015278012</v>
      </c>
      <c r="AZ154" s="60">
        <f ca="1">AZ$5-W154</f>
        <v>6.4544821725960304</v>
      </c>
      <c r="BA154" s="60">
        <f ca="1">BA$5-X154</f>
        <v>3.4650590589827033</v>
      </c>
      <c r="BB154" s="60">
        <f ca="1">BB$5-Y154</f>
        <v>5.3505927273811267</v>
      </c>
      <c r="BC154" s="60">
        <f ca="1">BC$5-Z154</f>
        <v>16.437465909882164</v>
      </c>
      <c r="BD154" s="60">
        <f ca="1">BD$5-AA154</f>
        <v>6.936518664382362</v>
      </c>
      <c r="BE154" s="60">
        <f ca="1">BE$5-AB154</f>
        <v>0.829390591992194</v>
      </c>
      <c r="BF154" s="60">
        <f ca="1">BF$5-AC154</f>
        <v>1.0173043164770803</v>
      </c>
      <c r="BG154" s="60">
        <f ca="1">BG$5-AD154</f>
        <v>-9.0147412949814907</v>
      </c>
      <c r="BH154" s="60">
        <f ca="1">BH$5-AE154</f>
        <v>-10.045407769632433</v>
      </c>
      <c r="BI154" s="60">
        <f ca="1">BI$5-AF154</f>
        <v>-8.3914944887451952</v>
      </c>
      <c r="BJ154" s="60">
        <f ca="1">BJ$5-AG154</f>
        <v>0.43955105767877001</v>
      </c>
      <c r="BK154" s="60" t="e">
        <f>BK$5-AH154</f>
        <v>#N/A</v>
      </c>
      <c r="BL154" s="60" t="e">
        <f>BL$5-AI154</f>
        <v>#N/A</v>
      </c>
      <c r="BM154" s="60" t="e">
        <f>BM$5-AJ154</f>
        <v>#N/A</v>
      </c>
      <c r="BN154" s="60" t="e">
        <f>BN$5-AK154</f>
        <v>#N/A</v>
      </c>
      <c r="BO154" s="60" t="e">
        <f>BO$5-AL154</f>
        <v>#N/A</v>
      </c>
      <c r="BP154" s="60" t="e">
        <f>BP$5-AM154</f>
        <v>#N/A</v>
      </c>
      <c r="BQ154" s="60" t="e">
        <f>BQ$5-AN154</f>
        <v>#N/A</v>
      </c>
      <c r="BR154" s="60" t="e">
        <f>BR$5-AO154</f>
        <v>#N/A</v>
      </c>
      <c r="BS154" s="60" t="e">
        <f>BS$5-AP154</f>
        <v>#N/A</v>
      </c>
      <c r="BT154" s="60" t="e">
        <f>BT$5-AQ154</f>
        <v>#N/A</v>
      </c>
      <c r="BV154" s="60" cm="1">
        <f t="array" aca="1" ref="BV154" ca="1">SQRT(SUMSQ(_xlfn._xlws.FILTER(AV154:BT154,ISNUMBER(AV154:BT154)))/COUNT(_xlfn._xlws.FILTER(AV154:BT154,ISNUMBER(AV154:BT154))))</f>
        <v>7.6758735693303812</v>
      </c>
    </row>
    <row r="155" spans="3:74" x14ac:dyDescent="0.2">
      <c r="C155" s="60" t="s">
        <v>446</v>
      </c>
      <c r="D155" s="60">
        <v>0</v>
      </c>
      <c r="E155" s="60">
        <v>1.9550000000000001</v>
      </c>
      <c r="F155" s="60">
        <v>3.91</v>
      </c>
      <c r="G155" s="60">
        <v>0</v>
      </c>
      <c r="H155" s="60">
        <v>-3.91</v>
      </c>
      <c r="I155" s="60">
        <v>-1.9550000000000001</v>
      </c>
      <c r="J155" s="60">
        <v>0</v>
      </c>
      <c r="K155" s="60">
        <v>-3.91</v>
      </c>
      <c r="L155" s="60">
        <v>-7.82</v>
      </c>
      <c r="M155" s="60">
        <v>0</v>
      </c>
      <c r="N155" s="60">
        <v>1.9550000000000001</v>
      </c>
      <c r="O155" s="60">
        <v>3.91</v>
      </c>
      <c r="P155" s="60">
        <v>0</v>
      </c>
      <c r="R155" s="61">
        <f>(ROW(R155)-ROW($C$6))</f>
        <v>149</v>
      </c>
      <c r="S155" s="60">
        <f ca="1">100+HLOOKUP(S$4,$D$7:$P$336,$R155,FALSE)-HLOOKUP(S$3,$D$7:$P$336,$R155,FALSE)</f>
        <v>96.09</v>
      </c>
      <c r="T155" s="60">
        <f ca="1">100+HLOOKUP(T$4,$D$7:$P$336,$R155,FALSE)-HLOOKUP(T$3,$D$7:$P$336,$R155,FALSE)</f>
        <v>96.09</v>
      </c>
      <c r="U155" s="60">
        <f ca="1">100+HLOOKUP(U$4,$D$7:$P$336,$R155,FALSE)-HLOOKUP(U$3,$D$7:$P$336,$R155,FALSE)</f>
        <v>90.225000000000009</v>
      </c>
      <c r="V155" s="60">
        <f ca="1">100+HLOOKUP(V$4,$D$7:$P$336,$R155,FALSE)-HLOOKUP(V$3,$D$7:$P$336,$R155,FALSE)</f>
        <v>96.09</v>
      </c>
      <c r="W155" s="60">
        <f ca="1">100+HLOOKUP(W$4,$D$7:$P$336,$R155,FALSE)-HLOOKUP(W$3,$D$7:$P$336,$R155,FALSE)</f>
        <v>96.09</v>
      </c>
      <c r="X155" s="60">
        <f ca="1">100+HLOOKUP(X$4,$D$7:$P$336,$R155,FALSE)-HLOOKUP(X$3,$D$7:$P$336,$R155,FALSE)</f>
        <v>96.09</v>
      </c>
      <c r="Y155" s="60">
        <f ca="1">100+HLOOKUP(Y$4,$D$7:$P$336,$R155,FALSE)-HLOOKUP(Y$3,$D$7:$P$336,$R155,FALSE)</f>
        <v>96.09</v>
      </c>
      <c r="Z155" s="60">
        <f ca="1">100+HLOOKUP(Z$4,$D$7:$P$336,$R155,FALSE)-HLOOKUP(Z$3,$D$7:$P$336,$R155,FALSE)</f>
        <v>90.225000000000009</v>
      </c>
      <c r="AA155" s="60">
        <f ca="1">100+HLOOKUP(AA$4,$D$7:$P$336,$R155,FALSE)-HLOOKUP(AA$3,$D$7:$P$336,$R155,FALSE)</f>
        <v>96.09</v>
      </c>
      <c r="AB155" s="60">
        <f ca="1">100+HLOOKUP(AB$4,$D$7:$P$336,$R155,FALSE)-HLOOKUP(AB$3,$D$7:$P$336,$R155,FALSE)</f>
        <v>96.09</v>
      </c>
      <c r="AC155" s="60">
        <f ca="1">100+HLOOKUP(AC$4,$D$7:$P$336,$R155,FALSE)-HLOOKUP(AC$3,$D$7:$P$336,$R155,FALSE)</f>
        <v>96.09</v>
      </c>
      <c r="AD155" s="60">
        <f ca="1">100+HLOOKUP(AD$4,$D$7:$P$336,$R155,FALSE)-HLOOKUP(AD$3,$D$7:$P$336,$R155,FALSE)</f>
        <v>107.82</v>
      </c>
      <c r="AE155" s="60">
        <f ca="1">100+HLOOKUP(AE$4,$D$7:$P$336,$R155,FALSE)-HLOOKUP(AE$3,$D$7:$P$336,$R155,FALSE)</f>
        <v>101.955</v>
      </c>
      <c r="AF155" s="60">
        <f ca="1">100+HLOOKUP(AF$4,$D$7:$P$336,$R155,FALSE)-HLOOKUP(AF$3,$D$7:$P$336,$R155,FALSE)</f>
        <v>107.82</v>
      </c>
      <c r="AG155" s="60">
        <f ca="1">100+HLOOKUP(AG$4,$D$7:$P$336,$R155,FALSE)-HLOOKUP(AG$3,$D$7:$P$336,$R155,FALSE)</f>
        <v>96.09</v>
      </c>
      <c r="AH155" s="60" t="e">
        <f>100+HLOOKUP(AH$4,$D$7:$P$336,$R155,FALSE)-HLOOKUP(AH$3,$D$7:$P$336,$R155,FALSE)</f>
        <v>#N/A</v>
      </c>
      <c r="AI155" s="60" t="e">
        <f>100+HLOOKUP(AI$4,$D$7:$P$336,$R155,FALSE)-HLOOKUP(AI$3,$D$7:$P$336,$R155,FALSE)</f>
        <v>#N/A</v>
      </c>
      <c r="AJ155" s="60" t="e">
        <f>100+HLOOKUP(AJ$4,$D$7:$P$336,$R155,FALSE)-HLOOKUP(AJ$3,$D$7:$P$336,$R155,FALSE)</f>
        <v>#N/A</v>
      </c>
      <c r="AK155" s="60" t="e">
        <f>100+HLOOKUP(AK$4,$D$7:$P$336,$R155,FALSE)-HLOOKUP(AK$3,$D$7:$P$336,$R155,FALSE)</f>
        <v>#N/A</v>
      </c>
      <c r="AL155" s="60" t="e">
        <f>100+HLOOKUP(AL$4,$D$7:$P$336,$R155,FALSE)-HLOOKUP(AL$3,$D$7:$P$336,$R155,FALSE)</f>
        <v>#N/A</v>
      </c>
      <c r="AM155" s="60" t="e">
        <f>100+HLOOKUP(AM$4,$D$7:$P$336,$R155,FALSE)-HLOOKUP(AM$3,$D$7:$P$336,$R155,FALSE)</f>
        <v>#N/A</v>
      </c>
      <c r="AN155" s="60" t="e">
        <f>100+HLOOKUP(AN$4,$D$7:$P$336,$R155,FALSE)-HLOOKUP(AN$3,$D$7:$P$336,$R155,FALSE)</f>
        <v>#N/A</v>
      </c>
      <c r="AO155" s="60" t="e">
        <f>100+HLOOKUP(AO$4,$D$7:$P$336,$R155,FALSE)-HLOOKUP(AO$3,$D$7:$P$336,$R155,FALSE)</f>
        <v>#N/A</v>
      </c>
      <c r="AP155" s="60" t="e">
        <f>100+HLOOKUP(AP$4,$D$7:$P$336,$R155,FALSE)-HLOOKUP(AP$3,$D$7:$P$336,$R155,FALSE)</f>
        <v>#N/A</v>
      </c>
      <c r="AQ155" s="60" t="e">
        <f>100+HLOOKUP(AQ$4,$D$7:$P$336,$R155,FALSE)-HLOOKUP(AQ$3,$D$7:$P$336,$R155,FALSE)</f>
        <v>#N/A</v>
      </c>
      <c r="AV155" s="60">
        <f ca="1">AV$5-S155</f>
        <v>7.1003994267964288</v>
      </c>
      <c r="AW155" s="60">
        <f ca="1">AW$5-T155</f>
        <v>-1.8693494702422555</v>
      </c>
      <c r="AX155" s="60">
        <f ca="1">AX$5-U155</f>
        <v>11.550915403668043</v>
      </c>
      <c r="AY155" s="60">
        <f ca="1">AY$5-V155</f>
        <v>-2.4869855984722022</v>
      </c>
      <c r="AZ155" s="60">
        <f ca="1">AZ$5-W155</f>
        <v>1.364482172596027</v>
      </c>
      <c r="BA155" s="60">
        <f ca="1">BA$5-X155</f>
        <v>2.3750590589826999</v>
      </c>
      <c r="BB155" s="60">
        <f ca="1">BB$5-Y155</f>
        <v>-2.7394072726188767</v>
      </c>
      <c r="BC155" s="60">
        <f ca="1">BC$5-Z155</f>
        <v>17.212465909882155</v>
      </c>
      <c r="BD155" s="60">
        <f ca="1">BD$5-AA155</f>
        <v>1.8465186643823586</v>
      </c>
      <c r="BE155" s="60">
        <f ca="1">BE$5-AB155</f>
        <v>-4.2606094080078094</v>
      </c>
      <c r="BF155" s="60">
        <f ca="1">BF$5-AC155</f>
        <v>4.9273043164770769</v>
      </c>
      <c r="BG155" s="60">
        <f ca="1">BG$5-AD155</f>
        <v>-3.8347412949814839</v>
      </c>
      <c r="BH155" s="60">
        <f ca="1">BH$5-AE155</f>
        <v>-3.0004077696324316</v>
      </c>
      <c r="BI155" s="60">
        <f ca="1">BI$5-AF155</f>
        <v>-17.211494488745188</v>
      </c>
      <c r="BJ155" s="60">
        <f ca="1">BJ$5-AG155</f>
        <v>-4.6504489423212334</v>
      </c>
      <c r="BK155" s="60" t="e">
        <f>BK$5-AH155</f>
        <v>#N/A</v>
      </c>
      <c r="BL155" s="60" t="e">
        <f>BL$5-AI155</f>
        <v>#N/A</v>
      </c>
      <c r="BM155" s="60" t="e">
        <f>BM$5-AJ155</f>
        <v>#N/A</v>
      </c>
      <c r="BN155" s="60" t="e">
        <f>BN$5-AK155</f>
        <v>#N/A</v>
      </c>
      <c r="BO155" s="60" t="e">
        <f>BO$5-AL155</f>
        <v>#N/A</v>
      </c>
      <c r="BP155" s="60" t="e">
        <f>BP$5-AM155</f>
        <v>#N/A</v>
      </c>
      <c r="BQ155" s="60" t="e">
        <f>BQ$5-AN155</f>
        <v>#N/A</v>
      </c>
      <c r="BR155" s="60" t="e">
        <f>BR$5-AO155</f>
        <v>#N/A</v>
      </c>
      <c r="BS155" s="60" t="e">
        <f>BS$5-AP155</f>
        <v>#N/A</v>
      </c>
      <c r="BT155" s="60" t="e">
        <f>BT$5-AQ155</f>
        <v>#N/A</v>
      </c>
      <c r="BV155" s="60" cm="1">
        <f t="array" aca="1" ref="BV155" ca="1">SQRT(SUMSQ(_xlfn._xlws.FILTER(AV155:BT155,ISNUMBER(AV155:BT155)))/COUNT(_xlfn._xlws.FILTER(AV155:BT155,ISNUMBER(AV155:BT155))))</f>
        <v>7.7123519652836157</v>
      </c>
    </row>
    <row r="156" spans="3:74" x14ac:dyDescent="0.2">
      <c r="C156" s="60" t="s">
        <v>514</v>
      </c>
      <c r="D156" s="60">
        <v>0</v>
      </c>
      <c r="E156" s="60">
        <v>0</v>
      </c>
      <c r="F156" s="60">
        <v>0</v>
      </c>
      <c r="G156" s="60">
        <v>-4</v>
      </c>
      <c r="H156" s="60">
        <v>-8</v>
      </c>
      <c r="I156" s="60">
        <v>-8</v>
      </c>
      <c r="J156" s="60">
        <v>-8</v>
      </c>
      <c r="K156" s="60">
        <v>-12</v>
      </c>
      <c r="L156" s="60">
        <v>-9</v>
      </c>
      <c r="M156" s="60">
        <v>-6</v>
      </c>
      <c r="N156" s="60">
        <v>-3</v>
      </c>
      <c r="O156" s="60">
        <v>0</v>
      </c>
      <c r="P156" s="60">
        <v>0</v>
      </c>
      <c r="R156" s="61">
        <f>(ROW(R156)-ROW($C$6))</f>
        <v>150</v>
      </c>
      <c r="S156" s="60">
        <f ca="1">100+HLOOKUP(S$4,$D$7:$P$336,$R156,FALSE)-HLOOKUP(S$3,$D$7:$P$336,$R156,FALSE)</f>
        <v>98</v>
      </c>
      <c r="T156" s="60">
        <f ca="1">100+HLOOKUP(T$4,$D$7:$P$336,$R156,FALSE)-HLOOKUP(T$3,$D$7:$P$336,$R156,FALSE)</f>
        <v>92</v>
      </c>
      <c r="U156" s="60">
        <f ca="1">100+HLOOKUP(U$4,$D$7:$P$336,$R156,FALSE)-HLOOKUP(U$3,$D$7:$P$336,$R156,FALSE)</f>
        <v>91</v>
      </c>
      <c r="V156" s="60">
        <f ca="1">100+HLOOKUP(V$4,$D$7:$P$336,$R156,FALSE)-HLOOKUP(V$3,$D$7:$P$336,$R156,FALSE)</f>
        <v>95</v>
      </c>
      <c r="W156" s="60">
        <f ca="1">100+HLOOKUP(W$4,$D$7:$P$336,$R156,FALSE)-HLOOKUP(W$3,$D$7:$P$336,$R156,FALSE)</f>
        <v>88</v>
      </c>
      <c r="X156" s="60">
        <f ca="1">100+HLOOKUP(X$4,$D$7:$P$336,$R156,FALSE)-HLOOKUP(X$3,$D$7:$P$336,$R156,FALSE)</f>
        <v>98</v>
      </c>
      <c r="Y156" s="60">
        <f ca="1">100+HLOOKUP(Y$4,$D$7:$P$336,$R156,FALSE)-HLOOKUP(Y$3,$D$7:$P$336,$R156,FALSE)</f>
        <v>92</v>
      </c>
      <c r="Z156" s="60">
        <f ca="1">100+HLOOKUP(Z$4,$D$7:$P$336,$R156,FALSE)-HLOOKUP(Z$3,$D$7:$P$336,$R156,FALSE)</f>
        <v>91</v>
      </c>
      <c r="AA156" s="60">
        <f ca="1">100+HLOOKUP(AA$4,$D$7:$P$336,$R156,FALSE)-HLOOKUP(AA$3,$D$7:$P$336,$R156,FALSE)</f>
        <v>95</v>
      </c>
      <c r="AB156" s="60">
        <f ca="1">100+HLOOKUP(AB$4,$D$7:$P$336,$R156,FALSE)-HLOOKUP(AB$3,$D$7:$P$336,$R156,FALSE)</f>
        <v>88</v>
      </c>
      <c r="AC156" s="60">
        <f ca="1">100+HLOOKUP(AC$4,$D$7:$P$336,$R156,FALSE)-HLOOKUP(AC$3,$D$7:$P$336,$R156,FALSE)</f>
        <v>94</v>
      </c>
      <c r="AD156" s="60">
        <f ca="1">100+HLOOKUP(AD$4,$D$7:$P$336,$R156,FALSE)-HLOOKUP(AD$3,$D$7:$P$336,$R156,FALSE)</f>
        <v>108</v>
      </c>
      <c r="AE156" s="60">
        <f ca="1">100+HLOOKUP(AE$4,$D$7:$P$336,$R156,FALSE)-HLOOKUP(AE$3,$D$7:$P$336,$R156,FALSE)</f>
        <v>108</v>
      </c>
      <c r="AF156" s="60">
        <f ca="1">100+HLOOKUP(AF$4,$D$7:$P$336,$R156,FALSE)-HLOOKUP(AF$3,$D$7:$P$336,$R156,FALSE)</f>
        <v>105</v>
      </c>
      <c r="AG156" s="60">
        <f ca="1">100+HLOOKUP(AG$4,$D$7:$P$336,$R156,FALSE)-HLOOKUP(AG$3,$D$7:$P$336,$R156,FALSE)</f>
        <v>95</v>
      </c>
      <c r="AH156" s="60" t="e">
        <f>100+HLOOKUP(AH$4,$D$7:$P$336,$R156,FALSE)-HLOOKUP(AH$3,$D$7:$P$336,$R156,FALSE)</f>
        <v>#N/A</v>
      </c>
      <c r="AI156" s="60" t="e">
        <f>100+HLOOKUP(AI$4,$D$7:$P$336,$R156,FALSE)-HLOOKUP(AI$3,$D$7:$P$336,$R156,FALSE)</f>
        <v>#N/A</v>
      </c>
      <c r="AJ156" s="60" t="e">
        <f>100+HLOOKUP(AJ$4,$D$7:$P$336,$R156,FALSE)-HLOOKUP(AJ$3,$D$7:$P$336,$R156,FALSE)</f>
        <v>#N/A</v>
      </c>
      <c r="AK156" s="60" t="e">
        <f>100+HLOOKUP(AK$4,$D$7:$P$336,$R156,FALSE)-HLOOKUP(AK$3,$D$7:$P$336,$R156,FALSE)</f>
        <v>#N/A</v>
      </c>
      <c r="AL156" s="60" t="e">
        <f>100+HLOOKUP(AL$4,$D$7:$P$336,$R156,FALSE)-HLOOKUP(AL$3,$D$7:$P$336,$R156,FALSE)</f>
        <v>#N/A</v>
      </c>
      <c r="AM156" s="60" t="e">
        <f>100+HLOOKUP(AM$4,$D$7:$P$336,$R156,FALSE)-HLOOKUP(AM$3,$D$7:$P$336,$R156,FALSE)</f>
        <v>#N/A</v>
      </c>
      <c r="AN156" s="60" t="e">
        <f>100+HLOOKUP(AN$4,$D$7:$P$336,$R156,FALSE)-HLOOKUP(AN$3,$D$7:$P$336,$R156,FALSE)</f>
        <v>#N/A</v>
      </c>
      <c r="AO156" s="60" t="e">
        <f>100+HLOOKUP(AO$4,$D$7:$P$336,$R156,FALSE)-HLOOKUP(AO$3,$D$7:$P$336,$R156,FALSE)</f>
        <v>#N/A</v>
      </c>
      <c r="AP156" s="60" t="e">
        <f>100+HLOOKUP(AP$4,$D$7:$P$336,$R156,FALSE)-HLOOKUP(AP$3,$D$7:$P$336,$R156,FALSE)</f>
        <v>#N/A</v>
      </c>
      <c r="AQ156" s="60" t="e">
        <f>100+HLOOKUP(AQ$4,$D$7:$P$336,$R156,FALSE)-HLOOKUP(AQ$3,$D$7:$P$336,$R156,FALSE)</f>
        <v>#N/A</v>
      </c>
      <c r="AV156" s="60">
        <f ca="1">AV$5-S156</f>
        <v>5.1903994267964322</v>
      </c>
      <c r="AW156" s="60">
        <f ca="1">AW$5-T156</f>
        <v>2.2206505297577479</v>
      </c>
      <c r="AX156" s="60">
        <f ca="1">AX$5-U156</f>
        <v>10.775915403668051</v>
      </c>
      <c r="AY156" s="60">
        <f ca="1">AY$5-V156</f>
        <v>-1.3969855984721988</v>
      </c>
      <c r="AZ156" s="60">
        <f ca="1">AZ$5-W156</f>
        <v>9.4544821725960304</v>
      </c>
      <c r="BA156" s="60">
        <f ca="1">BA$5-X156</f>
        <v>0.46505905898270328</v>
      </c>
      <c r="BB156" s="60">
        <f ca="1">BB$5-Y156</f>
        <v>1.3505927273811267</v>
      </c>
      <c r="BC156" s="60">
        <f ca="1">BC$5-Z156</f>
        <v>16.437465909882164</v>
      </c>
      <c r="BD156" s="60">
        <f ca="1">BD$5-AA156</f>
        <v>2.936518664382362</v>
      </c>
      <c r="BE156" s="60">
        <f ca="1">BE$5-AB156</f>
        <v>3.829390591992194</v>
      </c>
      <c r="BF156" s="60">
        <f ca="1">BF$5-AC156</f>
        <v>7.0173043164770803</v>
      </c>
      <c r="BG156" s="60">
        <f ca="1">BG$5-AD156</f>
        <v>-4.0147412949814907</v>
      </c>
      <c r="BH156" s="60">
        <f ca="1">BH$5-AE156</f>
        <v>-9.0454077696324333</v>
      </c>
      <c r="BI156" s="60">
        <f ca="1">BI$5-AF156</f>
        <v>-14.391494488745195</v>
      </c>
      <c r="BJ156" s="60">
        <f ca="1">BJ$5-AG156</f>
        <v>-3.56044894232123</v>
      </c>
      <c r="BK156" s="60" t="e">
        <f>BK$5-AH156</f>
        <v>#N/A</v>
      </c>
      <c r="BL156" s="60" t="e">
        <f>BL$5-AI156</f>
        <v>#N/A</v>
      </c>
      <c r="BM156" s="60" t="e">
        <f>BM$5-AJ156</f>
        <v>#N/A</v>
      </c>
      <c r="BN156" s="60" t="e">
        <f>BN$5-AK156</f>
        <v>#N/A</v>
      </c>
      <c r="BO156" s="60" t="e">
        <f>BO$5-AL156</f>
        <v>#N/A</v>
      </c>
      <c r="BP156" s="60" t="e">
        <f>BP$5-AM156</f>
        <v>#N/A</v>
      </c>
      <c r="BQ156" s="60" t="e">
        <f>BQ$5-AN156</f>
        <v>#N/A</v>
      </c>
      <c r="BR156" s="60" t="e">
        <f>BR$5-AO156</f>
        <v>#N/A</v>
      </c>
      <c r="BS156" s="60" t="e">
        <f>BS$5-AP156</f>
        <v>#N/A</v>
      </c>
      <c r="BT156" s="60" t="e">
        <f>BT$5-AQ156</f>
        <v>#N/A</v>
      </c>
      <c r="BV156" s="60" cm="1">
        <f t="array" aca="1" ref="BV156" ca="1">SQRT(SUMSQ(_xlfn._xlws.FILTER(AV156:BT156,ISNUMBER(AV156:BT156)))/COUNT(_xlfn._xlws.FILTER(AV156:BT156,ISNUMBER(AV156:BT156))))</f>
        <v>7.7537979923208846</v>
      </c>
    </row>
    <row r="157" spans="3:74" x14ac:dyDescent="0.2">
      <c r="C157" s="60" t="s">
        <v>512</v>
      </c>
      <c r="D157" s="60">
        <v>0</v>
      </c>
      <c r="E157" s="60">
        <v>0</v>
      </c>
      <c r="F157" s="60">
        <v>0</v>
      </c>
      <c r="G157" s="60">
        <v>-5</v>
      </c>
      <c r="H157" s="60">
        <v>-10</v>
      </c>
      <c r="I157" s="60">
        <v>-10</v>
      </c>
      <c r="J157" s="60">
        <v>-7</v>
      </c>
      <c r="K157" s="60">
        <v>-12</v>
      </c>
      <c r="L157" s="60">
        <v>-9</v>
      </c>
      <c r="M157" s="60">
        <v>-6</v>
      </c>
      <c r="N157" s="60">
        <v>-3</v>
      </c>
      <c r="O157" s="60">
        <v>0</v>
      </c>
      <c r="P157" s="60">
        <v>0</v>
      </c>
      <c r="R157" s="61">
        <f>(ROW(R157)-ROW($C$6))</f>
        <v>151</v>
      </c>
      <c r="S157" s="60">
        <f ca="1">100+HLOOKUP(S$4,$D$7:$P$336,$R157,FALSE)-HLOOKUP(S$3,$D$7:$P$336,$R157,FALSE)</f>
        <v>96</v>
      </c>
      <c r="T157" s="60">
        <f ca="1">100+HLOOKUP(T$4,$D$7:$P$336,$R157,FALSE)-HLOOKUP(T$3,$D$7:$P$336,$R157,FALSE)</f>
        <v>93</v>
      </c>
      <c r="U157" s="60">
        <f ca="1">100+HLOOKUP(U$4,$D$7:$P$336,$R157,FALSE)-HLOOKUP(U$3,$D$7:$P$336,$R157,FALSE)</f>
        <v>91</v>
      </c>
      <c r="V157" s="60">
        <f ca="1">100+HLOOKUP(V$4,$D$7:$P$336,$R157,FALSE)-HLOOKUP(V$3,$D$7:$P$336,$R157,FALSE)</f>
        <v>93</v>
      </c>
      <c r="W157" s="60">
        <f ca="1">100+HLOOKUP(W$4,$D$7:$P$336,$R157,FALSE)-HLOOKUP(W$3,$D$7:$P$336,$R157,FALSE)</f>
        <v>88</v>
      </c>
      <c r="X157" s="60">
        <f ca="1">100+HLOOKUP(X$4,$D$7:$P$336,$R157,FALSE)-HLOOKUP(X$3,$D$7:$P$336,$R157,FALSE)</f>
        <v>96</v>
      </c>
      <c r="Y157" s="60">
        <f ca="1">100+HLOOKUP(Y$4,$D$7:$P$336,$R157,FALSE)-HLOOKUP(Y$3,$D$7:$P$336,$R157,FALSE)</f>
        <v>93</v>
      </c>
      <c r="Z157" s="60">
        <f ca="1">100+HLOOKUP(Z$4,$D$7:$P$336,$R157,FALSE)-HLOOKUP(Z$3,$D$7:$P$336,$R157,FALSE)</f>
        <v>91</v>
      </c>
      <c r="AA157" s="60">
        <f ca="1">100+HLOOKUP(AA$4,$D$7:$P$336,$R157,FALSE)-HLOOKUP(AA$3,$D$7:$P$336,$R157,FALSE)</f>
        <v>93</v>
      </c>
      <c r="AB157" s="60">
        <f ca="1">100+HLOOKUP(AB$4,$D$7:$P$336,$R157,FALSE)-HLOOKUP(AB$3,$D$7:$P$336,$R157,FALSE)</f>
        <v>88</v>
      </c>
      <c r="AC157" s="60">
        <f ca="1">100+HLOOKUP(AC$4,$D$7:$P$336,$R157,FALSE)-HLOOKUP(AC$3,$D$7:$P$336,$R157,FALSE)</f>
        <v>94</v>
      </c>
      <c r="AD157" s="60">
        <f ca="1">100+HLOOKUP(AD$4,$D$7:$P$336,$R157,FALSE)-HLOOKUP(AD$3,$D$7:$P$336,$R157,FALSE)</f>
        <v>110</v>
      </c>
      <c r="AE157" s="60">
        <f ca="1">100+HLOOKUP(AE$4,$D$7:$P$336,$R157,FALSE)-HLOOKUP(AE$3,$D$7:$P$336,$R157,FALSE)</f>
        <v>107</v>
      </c>
      <c r="AF157" s="60">
        <f ca="1">100+HLOOKUP(AF$4,$D$7:$P$336,$R157,FALSE)-HLOOKUP(AF$3,$D$7:$P$336,$R157,FALSE)</f>
        <v>104</v>
      </c>
      <c r="AG157" s="60">
        <f ca="1">100+HLOOKUP(AG$4,$D$7:$P$336,$R157,FALSE)-HLOOKUP(AG$3,$D$7:$P$336,$R157,FALSE)</f>
        <v>93</v>
      </c>
      <c r="AH157" s="60" t="e">
        <f>100+HLOOKUP(AH$4,$D$7:$P$336,$R157,FALSE)-HLOOKUP(AH$3,$D$7:$P$336,$R157,FALSE)</f>
        <v>#N/A</v>
      </c>
      <c r="AI157" s="60" t="e">
        <f>100+HLOOKUP(AI$4,$D$7:$P$336,$R157,FALSE)-HLOOKUP(AI$3,$D$7:$P$336,$R157,FALSE)</f>
        <v>#N/A</v>
      </c>
      <c r="AJ157" s="60" t="e">
        <f>100+HLOOKUP(AJ$4,$D$7:$P$336,$R157,FALSE)-HLOOKUP(AJ$3,$D$7:$P$336,$R157,FALSE)</f>
        <v>#N/A</v>
      </c>
      <c r="AK157" s="60" t="e">
        <f>100+HLOOKUP(AK$4,$D$7:$P$336,$R157,FALSE)-HLOOKUP(AK$3,$D$7:$P$336,$R157,FALSE)</f>
        <v>#N/A</v>
      </c>
      <c r="AL157" s="60" t="e">
        <f>100+HLOOKUP(AL$4,$D$7:$P$336,$R157,FALSE)-HLOOKUP(AL$3,$D$7:$P$336,$R157,FALSE)</f>
        <v>#N/A</v>
      </c>
      <c r="AM157" s="60" t="e">
        <f>100+HLOOKUP(AM$4,$D$7:$P$336,$R157,FALSE)-HLOOKUP(AM$3,$D$7:$P$336,$R157,FALSE)</f>
        <v>#N/A</v>
      </c>
      <c r="AN157" s="60" t="e">
        <f>100+HLOOKUP(AN$4,$D$7:$P$336,$R157,FALSE)-HLOOKUP(AN$3,$D$7:$P$336,$R157,FALSE)</f>
        <v>#N/A</v>
      </c>
      <c r="AO157" s="60" t="e">
        <f>100+HLOOKUP(AO$4,$D$7:$P$336,$R157,FALSE)-HLOOKUP(AO$3,$D$7:$P$336,$R157,FALSE)</f>
        <v>#N/A</v>
      </c>
      <c r="AP157" s="60" t="e">
        <f>100+HLOOKUP(AP$4,$D$7:$P$336,$R157,FALSE)-HLOOKUP(AP$3,$D$7:$P$336,$R157,FALSE)</f>
        <v>#N/A</v>
      </c>
      <c r="AQ157" s="60" t="e">
        <f>100+HLOOKUP(AQ$4,$D$7:$P$336,$R157,FALSE)-HLOOKUP(AQ$3,$D$7:$P$336,$R157,FALSE)</f>
        <v>#N/A</v>
      </c>
      <c r="AV157" s="60">
        <f ca="1">AV$5-S157</f>
        <v>7.1903994267964322</v>
      </c>
      <c r="AW157" s="60">
        <f ca="1">AW$5-T157</f>
        <v>1.2206505297577479</v>
      </c>
      <c r="AX157" s="60">
        <f ca="1">AX$5-U157</f>
        <v>10.775915403668051</v>
      </c>
      <c r="AY157" s="60">
        <f ca="1">AY$5-V157</f>
        <v>0.60301440152780117</v>
      </c>
      <c r="AZ157" s="60">
        <f ca="1">AZ$5-W157</f>
        <v>9.4544821725960304</v>
      </c>
      <c r="BA157" s="60">
        <f ca="1">BA$5-X157</f>
        <v>2.4650590589827033</v>
      </c>
      <c r="BB157" s="60">
        <f ca="1">BB$5-Y157</f>
        <v>0.35059272738112668</v>
      </c>
      <c r="BC157" s="60">
        <f ca="1">BC$5-Z157</f>
        <v>16.437465909882164</v>
      </c>
      <c r="BD157" s="60">
        <f ca="1">BD$5-AA157</f>
        <v>4.936518664382362</v>
      </c>
      <c r="BE157" s="60">
        <f ca="1">BE$5-AB157</f>
        <v>3.829390591992194</v>
      </c>
      <c r="BF157" s="60">
        <f ca="1">BF$5-AC157</f>
        <v>7.0173043164770803</v>
      </c>
      <c r="BG157" s="60">
        <f ca="1">BG$5-AD157</f>
        <v>-6.0147412949814907</v>
      </c>
      <c r="BH157" s="60">
        <f ca="1">BH$5-AE157</f>
        <v>-8.0454077696324333</v>
      </c>
      <c r="BI157" s="60">
        <f ca="1">BI$5-AF157</f>
        <v>-13.391494488745195</v>
      </c>
      <c r="BJ157" s="60">
        <f ca="1">BJ$5-AG157</f>
        <v>-1.56044894232123</v>
      </c>
      <c r="BK157" s="60" t="e">
        <f>BK$5-AH157</f>
        <v>#N/A</v>
      </c>
      <c r="BL157" s="60" t="e">
        <f>BL$5-AI157</f>
        <v>#N/A</v>
      </c>
      <c r="BM157" s="60" t="e">
        <f>BM$5-AJ157</f>
        <v>#N/A</v>
      </c>
      <c r="BN157" s="60" t="e">
        <f>BN$5-AK157</f>
        <v>#N/A</v>
      </c>
      <c r="BO157" s="60" t="e">
        <f>BO$5-AL157</f>
        <v>#N/A</v>
      </c>
      <c r="BP157" s="60" t="e">
        <f>BP$5-AM157</f>
        <v>#N/A</v>
      </c>
      <c r="BQ157" s="60" t="e">
        <f>BQ$5-AN157</f>
        <v>#N/A</v>
      </c>
      <c r="BR157" s="60" t="e">
        <f>BR$5-AO157</f>
        <v>#N/A</v>
      </c>
      <c r="BS157" s="60" t="e">
        <f>BS$5-AP157</f>
        <v>#N/A</v>
      </c>
      <c r="BT157" s="60" t="e">
        <f>BT$5-AQ157</f>
        <v>#N/A</v>
      </c>
      <c r="BV157" s="60" cm="1">
        <f t="array" aca="1" ref="BV157" ca="1">SQRT(SUMSQ(_xlfn._xlws.FILTER(AV157:BT157,ISNUMBER(AV157:BT157)))/COUNT(_xlfn._xlws.FILTER(AV157:BT157,ISNUMBER(AV157:BT157))))</f>
        <v>7.7734659544382385</v>
      </c>
    </row>
    <row r="158" spans="3:74" x14ac:dyDescent="0.2">
      <c r="C158" s="60" t="s">
        <v>462</v>
      </c>
      <c r="D158" s="60">
        <v>0</v>
      </c>
      <c r="E158" s="60">
        <v>0</v>
      </c>
      <c r="F158" s="60">
        <v>-4</v>
      </c>
      <c r="G158" s="60">
        <v>-8</v>
      </c>
      <c r="H158" s="60">
        <v>-12</v>
      </c>
      <c r="I158" s="60">
        <v>-14</v>
      </c>
      <c r="J158" s="60">
        <v>-12</v>
      </c>
      <c r="K158" s="60">
        <v>-10</v>
      </c>
      <c r="L158" s="60">
        <v>-8</v>
      </c>
      <c r="M158" s="60">
        <v>-6</v>
      </c>
      <c r="N158" s="60">
        <v>-4</v>
      </c>
      <c r="O158" s="60">
        <v>-2</v>
      </c>
      <c r="P158" s="60">
        <v>0</v>
      </c>
      <c r="R158" s="61">
        <f>(ROW(R158)-ROW($C$6))</f>
        <v>152</v>
      </c>
      <c r="S158" s="60">
        <f ca="1">100+HLOOKUP(S$4,$D$7:$P$336,$R158,FALSE)-HLOOKUP(S$3,$D$7:$P$336,$R158,FALSE)</f>
        <v>94</v>
      </c>
      <c r="T158" s="60">
        <f ca="1">100+HLOOKUP(T$4,$D$7:$P$336,$R158,FALSE)-HLOOKUP(T$3,$D$7:$P$336,$R158,FALSE)</f>
        <v>90</v>
      </c>
      <c r="U158" s="60">
        <f ca="1">100+HLOOKUP(U$4,$D$7:$P$336,$R158,FALSE)-HLOOKUP(U$3,$D$7:$P$336,$R158,FALSE)</f>
        <v>92</v>
      </c>
      <c r="V158" s="60">
        <f ca="1">100+HLOOKUP(V$4,$D$7:$P$336,$R158,FALSE)-HLOOKUP(V$3,$D$7:$P$336,$R158,FALSE)</f>
        <v>90</v>
      </c>
      <c r="W158" s="60">
        <f ca="1">100+HLOOKUP(W$4,$D$7:$P$336,$R158,FALSE)-HLOOKUP(W$3,$D$7:$P$336,$R158,FALSE)</f>
        <v>90</v>
      </c>
      <c r="X158" s="60">
        <f ca="1">100+HLOOKUP(X$4,$D$7:$P$336,$R158,FALSE)-HLOOKUP(X$3,$D$7:$P$336,$R158,FALSE)</f>
        <v>94</v>
      </c>
      <c r="Y158" s="60">
        <f ca="1">100+HLOOKUP(Y$4,$D$7:$P$336,$R158,FALSE)-HLOOKUP(Y$3,$D$7:$P$336,$R158,FALSE)</f>
        <v>90</v>
      </c>
      <c r="Z158" s="60">
        <f ca="1">100+HLOOKUP(Z$4,$D$7:$P$336,$R158,FALSE)-HLOOKUP(Z$3,$D$7:$P$336,$R158,FALSE)</f>
        <v>92</v>
      </c>
      <c r="AA158" s="60">
        <f ca="1">100+HLOOKUP(AA$4,$D$7:$P$336,$R158,FALSE)-HLOOKUP(AA$3,$D$7:$P$336,$R158,FALSE)</f>
        <v>90</v>
      </c>
      <c r="AB158" s="60">
        <f ca="1">100+HLOOKUP(AB$4,$D$7:$P$336,$R158,FALSE)-HLOOKUP(AB$3,$D$7:$P$336,$R158,FALSE)</f>
        <v>90</v>
      </c>
      <c r="AC158" s="60">
        <f ca="1">100+HLOOKUP(AC$4,$D$7:$P$336,$R158,FALSE)-HLOOKUP(AC$3,$D$7:$P$336,$R158,FALSE)</f>
        <v>98</v>
      </c>
      <c r="AD158" s="60">
        <f ca="1">100+HLOOKUP(AD$4,$D$7:$P$336,$R158,FALSE)-HLOOKUP(AD$3,$D$7:$P$336,$R158,FALSE)</f>
        <v>110</v>
      </c>
      <c r="AE158" s="60">
        <f ca="1">100+HLOOKUP(AE$4,$D$7:$P$336,$R158,FALSE)-HLOOKUP(AE$3,$D$7:$P$336,$R158,FALSE)</f>
        <v>112</v>
      </c>
      <c r="AF158" s="60">
        <f ca="1">100+HLOOKUP(AF$4,$D$7:$P$336,$R158,FALSE)-HLOOKUP(AF$3,$D$7:$P$336,$R158,FALSE)</f>
        <v>100</v>
      </c>
      <c r="AG158" s="60">
        <f ca="1">100+HLOOKUP(AG$4,$D$7:$P$336,$R158,FALSE)-HLOOKUP(AG$3,$D$7:$P$336,$R158,FALSE)</f>
        <v>90</v>
      </c>
      <c r="AH158" s="60" t="e">
        <f>100+HLOOKUP(AH$4,$D$7:$P$336,$R158,FALSE)-HLOOKUP(AH$3,$D$7:$P$336,$R158,FALSE)</f>
        <v>#N/A</v>
      </c>
      <c r="AI158" s="60" t="e">
        <f>100+HLOOKUP(AI$4,$D$7:$P$336,$R158,FALSE)-HLOOKUP(AI$3,$D$7:$P$336,$R158,FALSE)</f>
        <v>#N/A</v>
      </c>
      <c r="AJ158" s="60" t="e">
        <f>100+HLOOKUP(AJ$4,$D$7:$P$336,$R158,FALSE)-HLOOKUP(AJ$3,$D$7:$P$336,$R158,FALSE)</f>
        <v>#N/A</v>
      </c>
      <c r="AK158" s="60" t="e">
        <f>100+HLOOKUP(AK$4,$D$7:$P$336,$R158,FALSE)-HLOOKUP(AK$3,$D$7:$P$336,$R158,FALSE)</f>
        <v>#N/A</v>
      </c>
      <c r="AL158" s="60" t="e">
        <f>100+HLOOKUP(AL$4,$D$7:$P$336,$R158,FALSE)-HLOOKUP(AL$3,$D$7:$P$336,$R158,FALSE)</f>
        <v>#N/A</v>
      </c>
      <c r="AM158" s="60" t="e">
        <f>100+HLOOKUP(AM$4,$D$7:$P$336,$R158,FALSE)-HLOOKUP(AM$3,$D$7:$P$336,$R158,FALSE)</f>
        <v>#N/A</v>
      </c>
      <c r="AN158" s="60" t="e">
        <f>100+HLOOKUP(AN$4,$D$7:$P$336,$R158,FALSE)-HLOOKUP(AN$3,$D$7:$P$336,$R158,FALSE)</f>
        <v>#N/A</v>
      </c>
      <c r="AO158" s="60" t="e">
        <f>100+HLOOKUP(AO$4,$D$7:$P$336,$R158,FALSE)-HLOOKUP(AO$3,$D$7:$P$336,$R158,FALSE)</f>
        <v>#N/A</v>
      </c>
      <c r="AP158" s="60" t="e">
        <f>100+HLOOKUP(AP$4,$D$7:$P$336,$R158,FALSE)-HLOOKUP(AP$3,$D$7:$P$336,$R158,FALSE)</f>
        <v>#N/A</v>
      </c>
      <c r="AQ158" s="60" t="e">
        <f>100+HLOOKUP(AQ$4,$D$7:$P$336,$R158,FALSE)-HLOOKUP(AQ$3,$D$7:$P$336,$R158,FALSE)</f>
        <v>#N/A</v>
      </c>
      <c r="AV158" s="60">
        <f ca="1">AV$5-S158</f>
        <v>9.1903994267964322</v>
      </c>
      <c r="AW158" s="60">
        <f ca="1">AW$5-T158</f>
        <v>4.2206505297577479</v>
      </c>
      <c r="AX158" s="60">
        <f ca="1">AX$5-U158</f>
        <v>9.7759154036680513</v>
      </c>
      <c r="AY158" s="60">
        <f ca="1">AY$5-V158</f>
        <v>3.6030144015278012</v>
      </c>
      <c r="AZ158" s="60">
        <f ca="1">AZ$5-W158</f>
        <v>7.4544821725960304</v>
      </c>
      <c r="BA158" s="60">
        <f ca="1">BA$5-X158</f>
        <v>4.4650590589827033</v>
      </c>
      <c r="BB158" s="60">
        <f ca="1">BB$5-Y158</f>
        <v>3.3505927273811267</v>
      </c>
      <c r="BC158" s="60">
        <f ca="1">BC$5-Z158</f>
        <v>15.437465909882164</v>
      </c>
      <c r="BD158" s="60">
        <f ca="1">BD$5-AA158</f>
        <v>7.936518664382362</v>
      </c>
      <c r="BE158" s="60">
        <f ca="1">BE$5-AB158</f>
        <v>1.829390591992194</v>
      </c>
      <c r="BF158" s="60">
        <f ca="1">BF$5-AC158</f>
        <v>3.0173043164770803</v>
      </c>
      <c r="BG158" s="60">
        <f ca="1">BG$5-AD158</f>
        <v>-6.0147412949814907</v>
      </c>
      <c r="BH158" s="60">
        <f ca="1">BH$5-AE158</f>
        <v>-13.045407769632433</v>
      </c>
      <c r="BI158" s="60">
        <f ca="1">BI$5-AF158</f>
        <v>-9.3914944887451952</v>
      </c>
      <c r="BJ158" s="60">
        <f ca="1">BJ$5-AG158</f>
        <v>1.43955105767877</v>
      </c>
      <c r="BK158" s="60" t="e">
        <f>BK$5-AH158</f>
        <v>#N/A</v>
      </c>
      <c r="BL158" s="60" t="e">
        <f>BL$5-AI158</f>
        <v>#N/A</v>
      </c>
      <c r="BM158" s="60" t="e">
        <f>BM$5-AJ158</f>
        <v>#N/A</v>
      </c>
      <c r="BN158" s="60" t="e">
        <f>BN$5-AK158</f>
        <v>#N/A</v>
      </c>
      <c r="BO158" s="60" t="e">
        <f>BO$5-AL158</f>
        <v>#N/A</v>
      </c>
      <c r="BP158" s="60" t="e">
        <f>BP$5-AM158</f>
        <v>#N/A</v>
      </c>
      <c r="BQ158" s="60" t="e">
        <f>BQ$5-AN158</f>
        <v>#N/A</v>
      </c>
      <c r="BR158" s="60" t="e">
        <f>BR$5-AO158</f>
        <v>#N/A</v>
      </c>
      <c r="BS158" s="60" t="e">
        <f>BS$5-AP158</f>
        <v>#N/A</v>
      </c>
      <c r="BT158" s="60" t="e">
        <f>BT$5-AQ158</f>
        <v>#N/A</v>
      </c>
      <c r="BV158" s="60" cm="1">
        <f t="array" aca="1" ref="BV158" ca="1">SQRT(SUMSQ(_xlfn._xlws.FILTER(AV158:BT158,ISNUMBER(AV158:BT158)))/COUNT(_xlfn._xlws.FILTER(AV158:BT158,ISNUMBER(AV158:BT158))))</f>
        <v>7.7800892281461316</v>
      </c>
    </row>
    <row r="159" spans="3:74" x14ac:dyDescent="0.2">
      <c r="C159" s="60" t="s">
        <v>445</v>
      </c>
      <c r="D159" s="60">
        <v>0</v>
      </c>
      <c r="E159" s="60">
        <v>2</v>
      </c>
      <c r="F159" s="60">
        <v>4</v>
      </c>
      <c r="G159" s="60">
        <v>0</v>
      </c>
      <c r="H159" s="60">
        <v>-4</v>
      </c>
      <c r="I159" s="60">
        <v>-2</v>
      </c>
      <c r="J159" s="60">
        <v>0</v>
      </c>
      <c r="K159" s="60">
        <v>-4</v>
      </c>
      <c r="L159" s="60">
        <v>-8</v>
      </c>
      <c r="M159" s="60">
        <v>0</v>
      </c>
      <c r="N159" s="60">
        <v>2</v>
      </c>
      <c r="O159" s="60">
        <v>4</v>
      </c>
      <c r="P159" s="60">
        <v>0</v>
      </c>
      <c r="R159" s="61">
        <f>(ROW(R159)-ROW($C$6))</f>
        <v>153</v>
      </c>
      <c r="S159" s="60">
        <f ca="1">100+HLOOKUP(S$4,$D$7:$P$336,$R159,FALSE)-HLOOKUP(S$3,$D$7:$P$336,$R159,FALSE)</f>
        <v>96</v>
      </c>
      <c r="T159" s="60">
        <f ca="1">100+HLOOKUP(T$4,$D$7:$P$336,$R159,FALSE)-HLOOKUP(T$3,$D$7:$P$336,$R159,FALSE)</f>
        <v>96</v>
      </c>
      <c r="U159" s="60">
        <f ca="1">100+HLOOKUP(U$4,$D$7:$P$336,$R159,FALSE)-HLOOKUP(U$3,$D$7:$P$336,$R159,FALSE)</f>
        <v>90</v>
      </c>
      <c r="V159" s="60">
        <f ca="1">100+HLOOKUP(V$4,$D$7:$P$336,$R159,FALSE)-HLOOKUP(V$3,$D$7:$P$336,$R159,FALSE)</f>
        <v>96</v>
      </c>
      <c r="W159" s="60">
        <f ca="1">100+HLOOKUP(W$4,$D$7:$P$336,$R159,FALSE)-HLOOKUP(W$3,$D$7:$P$336,$R159,FALSE)</f>
        <v>96</v>
      </c>
      <c r="X159" s="60">
        <f ca="1">100+HLOOKUP(X$4,$D$7:$P$336,$R159,FALSE)-HLOOKUP(X$3,$D$7:$P$336,$R159,FALSE)</f>
        <v>96</v>
      </c>
      <c r="Y159" s="60">
        <f ca="1">100+HLOOKUP(Y$4,$D$7:$P$336,$R159,FALSE)-HLOOKUP(Y$3,$D$7:$P$336,$R159,FALSE)</f>
        <v>96</v>
      </c>
      <c r="Z159" s="60">
        <f ca="1">100+HLOOKUP(Z$4,$D$7:$P$336,$R159,FALSE)-HLOOKUP(Z$3,$D$7:$P$336,$R159,FALSE)</f>
        <v>90</v>
      </c>
      <c r="AA159" s="60">
        <f ca="1">100+HLOOKUP(AA$4,$D$7:$P$336,$R159,FALSE)-HLOOKUP(AA$3,$D$7:$P$336,$R159,FALSE)</f>
        <v>96</v>
      </c>
      <c r="AB159" s="60">
        <f ca="1">100+HLOOKUP(AB$4,$D$7:$P$336,$R159,FALSE)-HLOOKUP(AB$3,$D$7:$P$336,$R159,FALSE)</f>
        <v>96</v>
      </c>
      <c r="AC159" s="60">
        <f ca="1">100+HLOOKUP(AC$4,$D$7:$P$336,$R159,FALSE)-HLOOKUP(AC$3,$D$7:$P$336,$R159,FALSE)</f>
        <v>96</v>
      </c>
      <c r="AD159" s="60">
        <f ca="1">100+HLOOKUP(AD$4,$D$7:$P$336,$R159,FALSE)-HLOOKUP(AD$3,$D$7:$P$336,$R159,FALSE)</f>
        <v>108</v>
      </c>
      <c r="AE159" s="60">
        <f ca="1">100+HLOOKUP(AE$4,$D$7:$P$336,$R159,FALSE)-HLOOKUP(AE$3,$D$7:$P$336,$R159,FALSE)</f>
        <v>102</v>
      </c>
      <c r="AF159" s="60">
        <f ca="1">100+HLOOKUP(AF$4,$D$7:$P$336,$R159,FALSE)-HLOOKUP(AF$3,$D$7:$P$336,$R159,FALSE)</f>
        <v>108</v>
      </c>
      <c r="AG159" s="60">
        <f ca="1">100+HLOOKUP(AG$4,$D$7:$P$336,$R159,FALSE)-HLOOKUP(AG$3,$D$7:$P$336,$R159,FALSE)</f>
        <v>96</v>
      </c>
      <c r="AH159" s="60" t="e">
        <f>100+HLOOKUP(AH$4,$D$7:$P$336,$R159,FALSE)-HLOOKUP(AH$3,$D$7:$P$336,$R159,FALSE)</f>
        <v>#N/A</v>
      </c>
      <c r="AI159" s="60" t="e">
        <f>100+HLOOKUP(AI$4,$D$7:$P$336,$R159,FALSE)-HLOOKUP(AI$3,$D$7:$P$336,$R159,FALSE)</f>
        <v>#N/A</v>
      </c>
      <c r="AJ159" s="60" t="e">
        <f>100+HLOOKUP(AJ$4,$D$7:$P$336,$R159,FALSE)-HLOOKUP(AJ$3,$D$7:$P$336,$R159,FALSE)</f>
        <v>#N/A</v>
      </c>
      <c r="AK159" s="60" t="e">
        <f>100+HLOOKUP(AK$4,$D$7:$P$336,$R159,FALSE)-HLOOKUP(AK$3,$D$7:$P$336,$R159,FALSE)</f>
        <v>#N/A</v>
      </c>
      <c r="AL159" s="60" t="e">
        <f>100+HLOOKUP(AL$4,$D$7:$P$336,$R159,FALSE)-HLOOKUP(AL$3,$D$7:$P$336,$R159,FALSE)</f>
        <v>#N/A</v>
      </c>
      <c r="AM159" s="60" t="e">
        <f>100+HLOOKUP(AM$4,$D$7:$P$336,$R159,FALSE)-HLOOKUP(AM$3,$D$7:$P$336,$R159,FALSE)</f>
        <v>#N/A</v>
      </c>
      <c r="AN159" s="60" t="e">
        <f>100+HLOOKUP(AN$4,$D$7:$P$336,$R159,FALSE)-HLOOKUP(AN$3,$D$7:$P$336,$R159,FALSE)</f>
        <v>#N/A</v>
      </c>
      <c r="AO159" s="60" t="e">
        <f>100+HLOOKUP(AO$4,$D$7:$P$336,$R159,FALSE)-HLOOKUP(AO$3,$D$7:$P$336,$R159,FALSE)</f>
        <v>#N/A</v>
      </c>
      <c r="AP159" s="60" t="e">
        <f>100+HLOOKUP(AP$4,$D$7:$P$336,$R159,FALSE)-HLOOKUP(AP$3,$D$7:$P$336,$R159,FALSE)</f>
        <v>#N/A</v>
      </c>
      <c r="AQ159" s="60" t="e">
        <f>100+HLOOKUP(AQ$4,$D$7:$P$336,$R159,FALSE)-HLOOKUP(AQ$3,$D$7:$P$336,$R159,FALSE)</f>
        <v>#N/A</v>
      </c>
      <c r="AV159" s="60">
        <f ca="1">AV$5-S159</f>
        <v>7.1903994267964322</v>
      </c>
      <c r="AW159" s="60">
        <f ca="1">AW$5-T159</f>
        <v>-1.7793494702422521</v>
      </c>
      <c r="AX159" s="60">
        <f ca="1">AX$5-U159</f>
        <v>11.775915403668051</v>
      </c>
      <c r="AY159" s="60">
        <f ca="1">AY$5-V159</f>
        <v>-2.3969855984721988</v>
      </c>
      <c r="AZ159" s="60">
        <f ca="1">AZ$5-W159</f>
        <v>1.4544821725960304</v>
      </c>
      <c r="BA159" s="60">
        <f ca="1">BA$5-X159</f>
        <v>2.4650590589827033</v>
      </c>
      <c r="BB159" s="60">
        <f ca="1">BB$5-Y159</f>
        <v>-2.6494072726188733</v>
      </c>
      <c r="BC159" s="60">
        <f ca="1">BC$5-Z159</f>
        <v>17.437465909882164</v>
      </c>
      <c r="BD159" s="60">
        <f ca="1">BD$5-AA159</f>
        <v>1.936518664382362</v>
      </c>
      <c r="BE159" s="60">
        <f ca="1">BE$5-AB159</f>
        <v>-4.170609408007806</v>
      </c>
      <c r="BF159" s="60">
        <f ca="1">BF$5-AC159</f>
        <v>5.0173043164770803</v>
      </c>
      <c r="BG159" s="60">
        <f ca="1">BG$5-AD159</f>
        <v>-4.0147412949814907</v>
      </c>
      <c r="BH159" s="60">
        <f ca="1">BH$5-AE159</f>
        <v>-3.0454077696324333</v>
      </c>
      <c r="BI159" s="60">
        <f ca="1">BI$5-AF159</f>
        <v>-17.391494488745195</v>
      </c>
      <c r="BJ159" s="60">
        <f ca="1">BJ$5-AG159</f>
        <v>-4.56044894232123</v>
      </c>
      <c r="BK159" s="60" t="e">
        <f>BK$5-AH159</f>
        <v>#N/A</v>
      </c>
      <c r="BL159" s="60" t="e">
        <f>BL$5-AI159</f>
        <v>#N/A</v>
      </c>
      <c r="BM159" s="60" t="e">
        <f>BM$5-AJ159</f>
        <v>#N/A</v>
      </c>
      <c r="BN159" s="60" t="e">
        <f>BN$5-AK159</f>
        <v>#N/A</v>
      </c>
      <c r="BO159" s="60" t="e">
        <f>BO$5-AL159</f>
        <v>#N/A</v>
      </c>
      <c r="BP159" s="60" t="e">
        <f>BP$5-AM159</f>
        <v>#N/A</v>
      </c>
      <c r="BQ159" s="60" t="e">
        <f>BQ$5-AN159</f>
        <v>#N/A</v>
      </c>
      <c r="BR159" s="60" t="e">
        <f>BR$5-AO159</f>
        <v>#N/A</v>
      </c>
      <c r="BS159" s="60" t="e">
        <f>BS$5-AP159</f>
        <v>#N/A</v>
      </c>
      <c r="BT159" s="60" t="e">
        <f>BT$5-AQ159</f>
        <v>#N/A</v>
      </c>
      <c r="BV159" s="60" cm="1">
        <f t="array" aca="1" ref="BV159" ca="1">SQRT(SUMSQ(_xlfn._xlws.FILTER(AV159:BT159,ISNUMBER(AV159:BT159)))/COUNT(_xlfn._xlws.FILTER(AV159:BT159,ISNUMBER(AV159:BT159))))</f>
        <v>7.8039909621051402</v>
      </c>
    </row>
    <row r="160" spans="3:74" x14ac:dyDescent="0.2">
      <c r="C160" s="60" t="s">
        <v>463</v>
      </c>
      <c r="D160" s="60">
        <v>0</v>
      </c>
      <c r="E160" s="60">
        <v>0</v>
      </c>
      <c r="F160" s="60">
        <v>-5</v>
      </c>
      <c r="G160" s="60">
        <v>-10</v>
      </c>
      <c r="H160" s="60">
        <v>-14</v>
      </c>
      <c r="I160" s="60">
        <v>-14</v>
      </c>
      <c r="J160" s="60">
        <v>-12</v>
      </c>
      <c r="K160" s="60">
        <v>-10</v>
      </c>
      <c r="L160" s="60">
        <v>-8</v>
      </c>
      <c r="M160" s="60">
        <v>-6</v>
      </c>
      <c r="N160" s="60">
        <v>-4</v>
      </c>
      <c r="O160" s="60">
        <v>-2</v>
      </c>
      <c r="P160" s="60">
        <v>0</v>
      </c>
      <c r="R160" s="61">
        <f>(ROW(R160)-ROW($C$6))</f>
        <v>154</v>
      </c>
      <c r="S160" s="60">
        <f ca="1">100+HLOOKUP(S$4,$D$7:$P$336,$R160,FALSE)-HLOOKUP(S$3,$D$7:$P$336,$R160,FALSE)</f>
        <v>92</v>
      </c>
      <c r="T160" s="60">
        <f ca="1">100+HLOOKUP(T$4,$D$7:$P$336,$R160,FALSE)-HLOOKUP(T$3,$D$7:$P$336,$R160,FALSE)</f>
        <v>90</v>
      </c>
      <c r="U160" s="60">
        <f ca="1">100+HLOOKUP(U$4,$D$7:$P$336,$R160,FALSE)-HLOOKUP(U$3,$D$7:$P$336,$R160,FALSE)</f>
        <v>92</v>
      </c>
      <c r="V160" s="60">
        <f ca="1">100+HLOOKUP(V$4,$D$7:$P$336,$R160,FALSE)-HLOOKUP(V$3,$D$7:$P$336,$R160,FALSE)</f>
        <v>90</v>
      </c>
      <c r="W160" s="60">
        <f ca="1">100+HLOOKUP(W$4,$D$7:$P$336,$R160,FALSE)-HLOOKUP(W$3,$D$7:$P$336,$R160,FALSE)</f>
        <v>90</v>
      </c>
      <c r="X160" s="60">
        <f ca="1">100+HLOOKUP(X$4,$D$7:$P$336,$R160,FALSE)-HLOOKUP(X$3,$D$7:$P$336,$R160,FALSE)</f>
        <v>92</v>
      </c>
      <c r="Y160" s="60">
        <f ca="1">100+HLOOKUP(Y$4,$D$7:$P$336,$R160,FALSE)-HLOOKUP(Y$3,$D$7:$P$336,$R160,FALSE)</f>
        <v>90</v>
      </c>
      <c r="Z160" s="60">
        <f ca="1">100+HLOOKUP(Z$4,$D$7:$P$336,$R160,FALSE)-HLOOKUP(Z$3,$D$7:$P$336,$R160,FALSE)</f>
        <v>92</v>
      </c>
      <c r="AA160" s="60">
        <f ca="1">100+HLOOKUP(AA$4,$D$7:$P$336,$R160,FALSE)-HLOOKUP(AA$3,$D$7:$P$336,$R160,FALSE)</f>
        <v>90</v>
      </c>
      <c r="AB160" s="60">
        <f ca="1">100+HLOOKUP(AB$4,$D$7:$P$336,$R160,FALSE)-HLOOKUP(AB$3,$D$7:$P$336,$R160,FALSE)</f>
        <v>90</v>
      </c>
      <c r="AC160" s="60">
        <f ca="1">100+HLOOKUP(AC$4,$D$7:$P$336,$R160,FALSE)-HLOOKUP(AC$3,$D$7:$P$336,$R160,FALSE)</f>
        <v>99</v>
      </c>
      <c r="AD160" s="60">
        <f ca="1">100+HLOOKUP(AD$4,$D$7:$P$336,$R160,FALSE)-HLOOKUP(AD$3,$D$7:$P$336,$R160,FALSE)</f>
        <v>112</v>
      </c>
      <c r="AE160" s="60">
        <f ca="1">100+HLOOKUP(AE$4,$D$7:$P$336,$R160,FALSE)-HLOOKUP(AE$3,$D$7:$P$336,$R160,FALSE)</f>
        <v>112</v>
      </c>
      <c r="AF160" s="60">
        <f ca="1">100+HLOOKUP(AF$4,$D$7:$P$336,$R160,FALSE)-HLOOKUP(AF$3,$D$7:$P$336,$R160,FALSE)</f>
        <v>98</v>
      </c>
      <c r="AG160" s="60">
        <f ca="1">100+HLOOKUP(AG$4,$D$7:$P$336,$R160,FALSE)-HLOOKUP(AG$3,$D$7:$P$336,$R160,FALSE)</f>
        <v>90</v>
      </c>
      <c r="AH160" s="60" t="e">
        <f>100+HLOOKUP(AH$4,$D$7:$P$336,$R160,FALSE)-HLOOKUP(AH$3,$D$7:$P$336,$R160,FALSE)</f>
        <v>#N/A</v>
      </c>
      <c r="AI160" s="60" t="e">
        <f>100+HLOOKUP(AI$4,$D$7:$P$336,$R160,FALSE)-HLOOKUP(AI$3,$D$7:$P$336,$R160,FALSE)</f>
        <v>#N/A</v>
      </c>
      <c r="AJ160" s="60" t="e">
        <f>100+HLOOKUP(AJ$4,$D$7:$P$336,$R160,FALSE)-HLOOKUP(AJ$3,$D$7:$P$336,$R160,FALSE)</f>
        <v>#N/A</v>
      </c>
      <c r="AK160" s="60" t="e">
        <f>100+HLOOKUP(AK$4,$D$7:$P$336,$R160,FALSE)-HLOOKUP(AK$3,$D$7:$P$336,$R160,FALSE)</f>
        <v>#N/A</v>
      </c>
      <c r="AL160" s="60" t="e">
        <f>100+HLOOKUP(AL$4,$D$7:$P$336,$R160,FALSE)-HLOOKUP(AL$3,$D$7:$P$336,$R160,FALSE)</f>
        <v>#N/A</v>
      </c>
      <c r="AM160" s="60" t="e">
        <f>100+HLOOKUP(AM$4,$D$7:$P$336,$R160,FALSE)-HLOOKUP(AM$3,$D$7:$P$336,$R160,FALSE)</f>
        <v>#N/A</v>
      </c>
      <c r="AN160" s="60" t="e">
        <f>100+HLOOKUP(AN$4,$D$7:$P$336,$R160,FALSE)-HLOOKUP(AN$3,$D$7:$P$336,$R160,FALSE)</f>
        <v>#N/A</v>
      </c>
      <c r="AO160" s="60" t="e">
        <f>100+HLOOKUP(AO$4,$D$7:$P$336,$R160,FALSE)-HLOOKUP(AO$3,$D$7:$P$336,$R160,FALSE)</f>
        <v>#N/A</v>
      </c>
      <c r="AP160" s="60" t="e">
        <f>100+HLOOKUP(AP$4,$D$7:$P$336,$R160,FALSE)-HLOOKUP(AP$3,$D$7:$P$336,$R160,FALSE)</f>
        <v>#N/A</v>
      </c>
      <c r="AQ160" s="60" t="e">
        <f>100+HLOOKUP(AQ$4,$D$7:$P$336,$R160,FALSE)-HLOOKUP(AQ$3,$D$7:$P$336,$R160,FALSE)</f>
        <v>#N/A</v>
      </c>
      <c r="AV160" s="60">
        <f ca="1">AV$5-S160</f>
        <v>11.190399426796432</v>
      </c>
      <c r="AW160" s="60">
        <f ca="1">AW$5-T160</f>
        <v>4.2206505297577479</v>
      </c>
      <c r="AX160" s="60">
        <f ca="1">AX$5-U160</f>
        <v>9.7759154036680513</v>
      </c>
      <c r="AY160" s="60">
        <f ca="1">AY$5-V160</f>
        <v>3.6030144015278012</v>
      </c>
      <c r="AZ160" s="60">
        <f ca="1">AZ$5-W160</f>
        <v>7.4544821725960304</v>
      </c>
      <c r="BA160" s="60">
        <f ca="1">BA$5-X160</f>
        <v>6.4650590589827033</v>
      </c>
      <c r="BB160" s="60">
        <f ca="1">BB$5-Y160</f>
        <v>3.3505927273811267</v>
      </c>
      <c r="BC160" s="60">
        <f ca="1">BC$5-Z160</f>
        <v>15.437465909882164</v>
      </c>
      <c r="BD160" s="60">
        <f ca="1">BD$5-AA160</f>
        <v>7.936518664382362</v>
      </c>
      <c r="BE160" s="60">
        <f ca="1">BE$5-AB160</f>
        <v>1.829390591992194</v>
      </c>
      <c r="BF160" s="60">
        <f ca="1">BF$5-AC160</f>
        <v>2.0173043164770803</v>
      </c>
      <c r="BG160" s="60">
        <f ca="1">BG$5-AD160</f>
        <v>-8.0147412949814907</v>
      </c>
      <c r="BH160" s="60">
        <f ca="1">BH$5-AE160</f>
        <v>-13.045407769632433</v>
      </c>
      <c r="BI160" s="60">
        <f ca="1">BI$5-AF160</f>
        <v>-7.3914944887451952</v>
      </c>
      <c r="BJ160" s="60">
        <f ca="1">BJ$5-AG160</f>
        <v>1.43955105767877</v>
      </c>
      <c r="BK160" s="60" t="e">
        <f>BK$5-AH160</f>
        <v>#N/A</v>
      </c>
      <c r="BL160" s="60" t="e">
        <f>BL$5-AI160</f>
        <v>#N/A</v>
      </c>
      <c r="BM160" s="60" t="e">
        <f>BM$5-AJ160</f>
        <v>#N/A</v>
      </c>
      <c r="BN160" s="60" t="e">
        <f>BN$5-AK160</f>
        <v>#N/A</v>
      </c>
      <c r="BO160" s="60" t="e">
        <f>BO$5-AL160</f>
        <v>#N/A</v>
      </c>
      <c r="BP160" s="60" t="e">
        <f>BP$5-AM160</f>
        <v>#N/A</v>
      </c>
      <c r="BQ160" s="60" t="e">
        <f>BQ$5-AN160</f>
        <v>#N/A</v>
      </c>
      <c r="BR160" s="60" t="e">
        <f>BR$5-AO160</f>
        <v>#N/A</v>
      </c>
      <c r="BS160" s="60" t="e">
        <f>BS$5-AP160</f>
        <v>#N/A</v>
      </c>
      <c r="BT160" s="60" t="e">
        <f>BT$5-AQ160</f>
        <v>#N/A</v>
      </c>
      <c r="BV160" s="60" cm="1">
        <f t="array" aca="1" ref="BV160" ca="1">SQRT(SUMSQ(_xlfn._xlws.FILTER(AV160:BT160,ISNUMBER(AV160:BT160)))/COUNT(_xlfn._xlws.FILTER(AV160:BT160,ISNUMBER(AV160:BT160))))</f>
        <v>8.0001126596394023</v>
      </c>
    </row>
    <row r="161" spans="3:74" x14ac:dyDescent="0.2">
      <c r="C161" s="60" t="s">
        <v>198</v>
      </c>
      <c r="D161" s="60">
        <v>0</v>
      </c>
      <c r="E161" s="60">
        <v>1.978</v>
      </c>
      <c r="F161" s="60">
        <v>0.29899999999999999</v>
      </c>
      <c r="G161" s="60">
        <v>2.2770000000000001</v>
      </c>
      <c r="H161" s="60">
        <v>0.62</v>
      </c>
      <c r="I161" s="60">
        <v>2.5979999999999999</v>
      </c>
      <c r="J161" s="60">
        <v>-1.49</v>
      </c>
      <c r="K161" s="60">
        <v>0.48799999999999999</v>
      </c>
      <c r="L161" s="60">
        <v>2.4660000000000002</v>
      </c>
      <c r="M161" s="60">
        <v>-5.88</v>
      </c>
      <c r="N161" s="60">
        <v>-3.9020000000000001</v>
      </c>
      <c r="O161" s="60">
        <v>-1.978</v>
      </c>
      <c r="P161" s="60">
        <v>0</v>
      </c>
      <c r="R161" s="61">
        <f>(ROW(R161)-ROW($C$6))</f>
        <v>155</v>
      </c>
      <c r="S161" s="60">
        <f ca="1">100+HLOOKUP(S$4,$D$7:$P$336,$R161,FALSE)-HLOOKUP(S$3,$D$7:$P$336,$R161,FALSE)</f>
        <v>106.5</v>
      </c>
      <c r="T161" s="60">
        <f ca="1">100+HLOOKUP(T$4,$D$7:$P$336,$R161,FALSE)-HLOOKUP(T$3,$D$7:$P$336,$R161,FALSE)</f>
        <v>100.488</v>
      </c>
      <c r="U161" s="60">
        <f ca="1">100+HLOOKUP(U$4,$D$7:$P$336,$R161,FALSE)-HLOOKUP(U$3,$D$7:$P$336,$R161,FALSE)</f>
        <v>100.488</v>
      </c>
      <c r="V161" s="60">
        <f ca="1">100+HLOOKUP(V$4,$D$7:$P$336,$R161,FALSE)-HLOOKUP(V$3,$D$7:$P$336,$R161,FALSE)</f>
        <v>106.5</v>
      </c>
      <c r="W161" s="60">
        <f ca="1">100+HLOOKUP(W$4,$D$7:$P$336,$R161,FALSE)-HLOOKUP(W$3,$D$7:$P$336,$R161,FALSE)</f>
        <v>100.488</v>
      </c>
      <c r="X161" s="60">
        <f ca="1">100+HLOOKUP(X$4,$D$7:$P$336,$R161,FALSE)-HLOOKUP(X$3,$D$7:$P$336,$R161,FALSE)</f>
        <v>106.5</v>
      </c>
      <c r="Y161" s="60">
        <f ca="1">100+HLOOKUP(Y$4,$D$7:$P$336,$R161,FALSE)-HLOOKUP(Y$3,$D$7:$P$336,$R161,FALSE)</f>
        <v>100.488</v>
      </c>
      <c r="Z161" s="60">
        <f ca="1">100+HLOOKUP(Z$4,$D$7:$P$336,$R161,FALSE)-HLOOKUP(Z$3,$D$7:$P$336,$R161,FALSE)</f>
        <v>100.488</v>
      </c>
      <c r="AA161" s="60">
        <f ca="1">100+HLOOKUP(AA$4,$D$7:$P$336,$R161,FALSE)-HLOOKUP(AA$3,$D$7:$P$336,$R161,FALSE)</f>
        <v>106.5</v>
      </c>
      <c r="AB161" s="60">
        <f ca="1">100+HLOOKUP(AB$4,$D$7:$P$336,$R161,FALSE)-HLOOKUP(AB$3,$D$7:$P$336,$R161,FALSE)</f>
        <v>100.488</v>
      </c>
      <c r="AC161" s="60">
        <f ca="1">100+HLOOKUP(AC$4,$D$7:$P$336,$R161,FALSE)-HLOOKUP(AC$3,$D$7:$P$336,$R161,FALSE)</f>
        <v>93.820999999999998</v>
      </c>
      <c r="AD161" s="60">
        <f ca="1">100+HLOOKUP(AD$4,$D$7:$P$336,$R161,FALSE)-HLOOKUP(AD$3,$D$7:$P$336,$R161,FALSE)</f>
        <v>97.402000000000001</v>
      </c>
      <c r="AE161" s="60">
        <f ca="1">100+HLOOKUP(AE$4,$D$7:$P$336,$R161,FALSE)-HLOOKUP(AE$3,$D$7:$P$336,$R161,FALSE)</f>
        <v>103.46799999999999</v>
      </c>
      <c r="AF161" s="60">
        <f ca="1">100+HLOOKUP(AF$4,$D$7:$P$336,$R161,FALSE)-HLOOKUP(AF$3,$D$7:$P$336,$R161,FALSE)</f>
        <v>99.811000000000007</v>
      </c>
      <c r="AG161" s="60">
        <f ca="1">100+HLOOKUP(AG$4,$D$7:$P$336,$R161,FALSE)-HLOOKUP(AG$3,$D$7:$P$336,$R161,FALSE)</f>
        <v>106.5</v>
      </c>
      <c r="AH161" s="60" t="e">
        <f>100+HLOOKUP(AH$4,$D$7:$P$336,$R161,FALSE)-HLOOKUP(AH$3,$D$7:$P$336,$R161,FALSE)</f>
        <v>#N/A</v>
      </c>
      <c r="AI161" s="60" t="e">
        <f>100+HLOOKUP(AI$4,$D$7:$P$336,$R161,FALSE)-HLOOKUP(AI$3,$D$7:$P$336,$R161,FALSE)</f>
        <v>#N/A</v>
      </c>
      <c r="AJ161" s="60" t="e">
        <f>100+HLOOKUP(AJ$4,$D$7:$P$336,$R161,FALSE)-HLOOKUP(AJ$3,$D$7:$P$336,$R161,FALSE)</f>
        <v>#N/A</v>
      </c>
      <c r="AK161" s="60" t="e">
        <f>100+HLOOKUP(AK$4,$D$7:$P$336,$R161,FALSE)-HLOOKUP(AK$3,$D$7:$P$336,$R161,FALSE)</f>
        <v>#N/A</v>
      </c>
      <c r="AL161" s="60" t="e">
        <f>100+HLOOKUP(AL$4,$D$7:$P$336,$R161,FALSE)-HLOOKUP(AL$3,$D$7:$P$336,$R161,FALSE)</f>
        <v>#N/A</v>
      </c>
      <c r="AM161" s="60" t="e">
        <f>100+HLOOKUP(AM$4,$D$7:$P$336,$R161,FALSE)-HLOOKUP(AM$3,$D$7:$P$336,$R161,FALSE)</f>
        <v>#N/A</v>
      </c>
      <c r="AN161" s="60" t="e">
        <f>100+HLOOKUP(AN$4,$D$7:$P$336,$R161,FALSE)-HLOOKUP(AN$3,$D$7:$P$336,$R161,FALSE)</f>
        <v>#N/A</v>
      </c>
      <c r="AO161" s="60" t="e">
        <f>100+HLOOKUP(AO$4,$D$7:$P$336,$R161,FALSE)-HLOOKUP(AO$3,$D$7:$P$336,$R161,FALSE)</f>
        <v>#N/A</v>
      </c>
      <c r="AP161" s="60" t="e">
        <f>100+HLOOKUP(AP$4,$D$7:$P$336,$R161,FALSE)-HLOOKUP(AP$3,$D$7:$P$336,$R161,FALSE)</f>
        <v>#N/A</v>
      </c>
      <c r="AQ161" s="60" t="e">
        <f>100+HLOOKUP(AQ$4,$D$7:$P$336,$R161,FALSE)-HLOOKUP(AQ$3,$D$7:$P$336,$R161,FALSE)</f>
        <v>#N/A</v>
      </c>
      <c r="AV161" s="60">
        <f ca="1">AV$5-S161</f>
        <v>-3.3096005732035678</v>
      </c>
      <c r="AW161" s="60">
        <f ca="1">AW$5-T161</f>
        <v>-6.2673494702422516</v>
      </c>
      <c r="AX161" s="60">
        <f ca="1">AX$5-U161</f>
        <v>1.2879154036680518</v>
      </c>
      <c r="AY161" s="60">
        <f ca="1">AY$5-V161</f>
        <v>-12.896985598472199</v>
      </c>
      <c r="AZ161" s="60">
        <f ca="1">AZ$5-W161</f>
        <v>-3.0335178274039691</v>
      </c>
      <c r="BA161" s="60">
        <f ca="1">BA$5-X161</f>
        <v>-8.0349409410172967</v>
      </c>
      <c r="BB161" s="60">
        <f ca="1">BB$5-Y161</f>
        <v>-7.1374072726188729</v>
      </c>
      <c r="BC161" s="60">
        <f ca="1">BC$5-Z161</f>
        <v>6.9494659098821643</v>
      </c>
      <c r="BD161" s="60">
        <f ca="1">BD$5-AA161</f>
        <v>-8.563481335617638</v>
      </c>
      <c r="BE161" s="60">
        <f ca="1">BE$5-AB161</f>
        <v>-8.6586094080078055</v>
      </c>
      <c r="BF161" s="60">
        <f ca="1">BF$5-AC161</f>
        <v>7.1963043164770824</v>
      </c>
      <c r="BG161" s="60">
        <f ca="1">BG$5-AD161</f>
        <v>6.5832587050185083</v>
      </c>
      <c r="BH161" s="60">
        <f ca="1">BH$5-AE161</f>
        <v>-4.5134077696324226</v>
      </c>
      <c r="BI161" s="60">
        <f ca="1">BI$5-AF161</f>
        <v>-9.2024944887452023</v>
      </c>
      <c r="BJ161" s="60">
        <f ca="1">BJ$5-AG161</f>
        <v>-15.06044894232123</v>
      </c>
      <c r="BK161" s="60" t="e">
        <f>BK$5-AH161</f>
        <v>#N/A</v>
      </c>
      <c r="BL161" s="60" t="e">
        <f>BL$5-AI161</f>
        <v>#N/A</v>
      </c>
      <c r="BM161" s="60" t="e">
        <f>BM$5-AJ161</f>
        <v>#N/A</v>
      </c>
      <c r="BN161" s="60" t="e">
        <f>BN$5-AK161</f>
        <v>#N/A</v>
      </c>
      <c r="BO161" s="60" t="e">
        <f>BO$5-AL161</f>
        <v>#N/A</v>
      </c>
      <c r="BP161" s="60" t="e">
        <f>BP$5-AM161</f>
        <v>#N/A</v>
      </c>
      <c r="BQ161" s="60" t="e">
        <f>BQ$5-AN161</f>
        <v>#N/A</v>
      </c>
      <c r="BR161" s="60" t="e">
        <f>BR$5-AO161</f>
        <v>#N/A</v>
      </c>
      <c r="BS161" s="60" t="e">
        <f>BS$5-AP161</f>
        <v>#N/A</v>
      </c>
      <c r="BT161" s="60" t="e">
        <f>BT$5-AQ161</f>
        <v>#N/A</v>
      </c>
      <c r="BV161" s="60" cm="1">
        <f t="array" aca="1" ref="BV161" ca="1">SQRT(SUMSQ(_xlfn._xlws.FILTER(AV161:BT161,ISNUMBER(AV161:BT161)))/COUNT(_xlfn._xlws.FILTER(AV161:BT161,ISNUMBER(AV161:BT161))))</f>
        <v>8.0271578681633464</v>
      </c>
    </row>
    <row r="162" spans="3:74" x14ac:dyDescent="0.2">
      <c r="C162" s="60" t="s">
        <v>510</v>
      </c>
      <c r="D162" s="60">
        <v>0</v>
      </c>
      <c r="E162" s="60">
        <v>0</v>
      </c>
      <c r="F162" s="60">
        <v>0</v>
      </c>
      <c r="G162" s="60">
        <v>-6</v>
      </c>
      <c r="H162" s="60">
        <v>-12</v>
      </c>
      <c r="I162" s="60">
        <v>-12</v>
      </c>
      <c r="J162" s="60">
        <v>-6</v>
      </c>
      <c r="K162" s="60">
        <v>-12</v>
      </c>
      <c r="L162" s="60">
        <v>-9</v>
      </c>
      <c r="M162" s="60">
        <v>-6</v>
      </c>
      <c r="N162" s="60">
        <v>-3</v>
      </c>
      <c r="O162" s="60">
        <v>0</v>
      </c>
      <c r="P162" s="60">
        <v>0</v>
      </c>
      <c r="R162" s="61">
        <f>(ROW(R162)-ROW($C$6))</f>
        <v>156</v>
      </c>
      <c r="S162" s="60">
        <f ca="1">100+HLOOKUP(S$4,$D$7:$P$336,$R162,FALSE)-HLOOKUP(S$3,$D$7:$P$336,$R162,FALSE)</f>
        <v>94</v>
      </c>
      <c r="T162" s="60">
        <f ca="1">100+HLOOKUP(T$4,$D$7:$P$336,$R162,FALSE)-HLOOKUP(T$3,$D$7:$P$336,$R162,FALSE)</f>
        <v>94</v>
      </c>
      <c r="U162" s="60">
        <f ca="1">100+HLOOKUP(U$4,$D$7:$P$336,$R162,FALSE)-HLOOKUP(U$3,$D$7:$P$336,$R162,FALSE)</f>
        <v>91</v>
      </c>
      <c r="V162" s="60">
        <f ca="1">100+HLOOKUP(V$4,$D$7:$P$336,$R162,FALSE)-HLOOKUP(V$3,$D$7:$P$336,$R162,FALSE)</f>
        <v>91</v>
      </c>
      <c r="W162" s="60">
        <f ca="1">100+HLOOKUP(W$4,$D$7:$P$336,$R162,FALSE)-HLOOKUP(W$3,$D$7:$P$336,$R162,FALSE)</f>
        <v>88</v>
      </c>
      <c r="X162" s="60">
        <f ca="1">100+HLOOKUP(X$4,$D$7:$P$336,$R162,FALSE)-HLOOKUP(X$3,$D$7:$P$336,$R162,FALSE)</f>
        <v>94</v>
      </c>
      <c r="Y162" s="60">
        <f ca="1">100+HLOOKUP(Y$4,$D$7:$P$336,$R162,FALSE)-HLOOKUP(Y$3,$D$7:$P$336,$R162,FALSE)</f>
        <v>94</v>
      </c>
      <c r="Z162" s="60">
        <f ca="1">100+HLOOKUP(Z$4,$D$7:$P$336,$R162,FALSE)-HLOOKUP(Z$3,$D$7:$P$336,$R162,FALSE)</f>
        <v>91</v>
      </c>
      <c r="AA162" s="60">
        <f ca="1">100+HLOOKUP(AA$4,$D$7:$P$336,$R162,FALSE)-HLOOKUP(AA$3,$D$7:$P$336,$R162,FALSE)</f>
        <v>91</v>
      </c>
      <c r="AB162" s="60">
        <f ca="1">100+HLOOKUP(AB$4,$D$7:$P$336,$R162,FALSE)-HLOOKUP(AB$3,$D$7:$P$336,$R162,FALSE)</f>
        <v>88</v>
      </c>
      <c r="AC162" s="60">
        <f ca="1">100+HLOOKUP(AC$4,$D$7:$P$336,$R162,FALSE)-HLOOKUP(AC$3,$D$7:$P$336,$R162,FALSE)</f>
        <v>94</v>
      </c>
      <c r="AD162" s="60">
        <f ca="1">100+HLOOKUP(AD$4,$D$7:$P$336,$R162,FALSE)-HLOOKUP(AD$3,$D$7:$P$336,$R162,FALSE)</f>
        <v>112</v>
      </c>
      <c r="AE162" s="60">
        <f ca="1">100+HLOOKUP(AE$4,$D$7:$P$336,$R162,FALSE)-HLOOKUP(AE$3,$D$7:$P$336,$R162,FALSE)</f>
        <v>106</v>
      </c>
      <c r="AF162" s="60">
        <f ca="1">100+HLOOKUP(AF$4,$D$7:$P$336,$R162,FALSE)-HLOOKUP(AF$3,$D$7:$P$336,$R162,FALSE)</f>
        <v>103</v>
      </c>
      <c r="AG162" s="60">
        <f ca="1">100+HLOOKUP(AG$4,$D$7:$P$336,$R162,FALSE)-HLOOKUP(AG$3,$D$7:$P$336,$R162,FALSE)</f>
        <v>91</v>
      </c>
      <c r="AH162" s="60" t="e">
        <f>100+HLOOKUP(AH$4,$D$7:$P$336,$R162,FALSE)-HLOOKUP(AH$3,$D$7:$P$336,$R162,FALSE)</f>
        <v>#N/A</v>
      </c>
      <c r="AI162" s="60" t="e">
        <f>100+HLOOKUP(AI$4,$D$7:$P$336,$R162,FALSE)-HLOOKUP(AI$3,$D$7:$P$336,$R162,FALSE)</f>
        <v>#N/A</v>
      </c>
      <c r="AJ162" s="60" t="e">
        <f>100+HLOOKUP(AJ$4,$D$7:$P$336,$R162,FALSE)-HLOOKUP(AJ$3,$D$7:$P$336,$R162,FALSE)</f>
        <v>#N/A</v>
      </c>
      <c r="AK162" s="60" t="e">
        <f>100+HLOOKUP(AK$4,$D$7:$P$336,$R162,FALSE)-HLOOKUP(AK$3,$D$7:$P$336,$R162,FALSE)</f>
        <v>#N/A</v>
      </c>
      <c r="AL162" s="60" t="e">
        <f>100+HLOOKUP(AL$4,$D$7:$P$336,$R162,FALSE)-HLOOKUP(AL$3,$D$7:$P$336,$R162,FALSE)</f>
        <v>#N/A</v>
      </c>
      <c r="AM162" s="60" t="e">
        <f>100+HLOOKUP(AM$4,$D$7:$P$336,$R162,FALSE)-HLOOKUP(AM$3,$D$7:$P$336,$R162,FALSE)</f>
        <v>#N/A</v>
      </c>
      <c r="AN162" s="60" t="e">
        <f>100+HLOOKUP(AN$4,$D$7:$P$336,$R162,FALSE)-HLOOKUP(AN$3,$D$7:$P$336,$R162,FALSE)</f>
        <v>#N/A</v>
      </c>
      <c r="AO162" s="60" t="e">
        <f>100+HLOOKUP(AO$4,$D$7:$P$336,$R162,FALSE)-HLOOKUP(AO$3,$D$7:$P$336,$R162,FALSE)</f>
        <v>#N/A</v>
      </c>
      <c r="AP162" s="60" t="e">
        <f>100+HLOOKUP(AP$4,$D$7:$P$336,$R162,FALSE)-HLOOKUP(AP$3,$D$7:$P$336,$R162,FALSE)</f>
        <v>#N/A</v>
      </c>
      <c r="AQ162" s="60" t="e">
        <f>100+HLOOKUP(AQ$4,$D$7:$P$336,$R162,FALSE)-HLOOKUP(AQ$3,$D$7:$P$336,$R162,FALSE)</f>
        <v>#N/A</v>
      </c>
      <c r="AV162" s="60">
        <f ca="1">AV$5-S162</f>
        <v>9.1903994267964322</v>
      </c>
      <c r="AW162" s="60">
        <f ca="1">AW$5-T162</f>
        <v>0.2206505297577479</v>
      </c>
      <c r="AX162" s="60">
        <f ca="1">AX$5-U162</f>
        <v>10.775915403668051</v>
      </c>
      <c r="AY162" s="60">
        <f ca="1">AY$5-V162</f>
        <v>2.6030144015278012</v>
      </c>
      <c r="AZ162" s="60">
        <f ca="1">AZ$5-W162</f>
        <v>9.4544821725960304</v>
      </c>
      <c r="BA162" s="60">
        <f ca="1">BA$5-X162</f>
        <v>4.4650590589827033</v>
      </c>
      <c r="BB162" s="60">
        <f ca="1">BB$5-Y162</f>
        <v>-0.64940727261887332</v>
      </c>
      <c r="BC162" s="60">
        <f ca="1">BC$5-Z162</f>
        <v>16.437465909882164</v>
      </c>
      <c r="BD162" s="60">
        <f ca="1">BD$5-AA162</f>
        <v>6.936518664382362</v>
      </c>
      <c r="BE162" s="60">
        <f ca="1">BE$5-AB162</f>
        <v>3.829390591992194</v>
      </c>
      <c r="BF162" s="60">
        <f ca="1">BF$5-AC162</f>
        <v>7.0173043164770803</v>
      </c>
      <c r="BG162" s="60">
        <f ca="1">BG$5-AD162</f>
        <v>-8.0147412949814907</v>
      </c>
      <c r="BH162" s="60">
        <f ca="1">BH$5-AE162</f>
        <v>-7.0454077696324333</v>
      </c>
      <c r="BI162" s="60">
        <f ca="1">BI$5-AF162</f>
        <v>-12.391494488745195</v>
      </c>
      <c r="BJ162" s="60">
        <f ca="1">BJ$5-AG162</f>
        <v>0.43955105767877001</v>
      </c>
      <c r="BK162" s="60" t="e">
        <f>BK$5-AH162</f>
        <v>#N/A</v>
      </c>
      <c r="BL162" s="60" t="e">
        <f>BL$5-AI162</f>
        <v>#N/A</v>
      </c>
      <c r="BM162" s="60" t="e">
        <f>BM$5-AJ162</f>
        <v>#N/A</v>
      </c>
      <c r="BN162" s="60" t="e">
        <f>BN$5-AK162</f>
        <v>#N/A</v>
      </c>
      <c r="BO162" s="60" t="e">
        <f>BO$5-AL162</f>
        <v>#N/A</v>
      </c>
      <c r="BP162" s="60" t="e">
        <f>BP$5-AM162</f>
        <v>#N/A</v>
      </c>
      <c r="BQ162" s="60" t="e">
        <f>BQ$5-AN162</f>
        <v>#N/A</v>
      </c>
      <c r="BR162" s="60" t="e">
        <f>BR$5-AO162</f>
        <v>#N/A</v>
      </c>
      <c r="BS162" s="60" t="e">
        <f>BS$5-AP162</f>
        <v>#N/A</v>
      </c>
      <c r="BT162" s="60" t="e">
        <f>BT$5-AQ162</f>
        <v>#N/A</v>
      </c>
      <c r="BV162" s="60" cm="1">
        <f t="array" aca="1" ref="BV162" ca="1">SQRT(SUMSQ(_xlfn._xlws.FILTER(AV162:BT162,ISNUMBER(AV162:BT162)))/COUNT(_xlfn._xlws.FILTER(AV162:BT162,ISNUMBER(AV162:BT162))))</f>
        <v>8.0290407843798342</v>
      </c>
    </row>
    <row r="163" spans="3:74" x14ac:dyDescent="0.2">
      <c r="C163" s="60" t="s">
        <v>412</v>
      </c>
      <c r="D163" s="60">
        <v>0</v>
      </c>
      <c r="E163" s="60">
        <v>2</v>
      </c>
      <c r="F163" s="60">
        <v>4</v>
      </c>
      <c r="G163" s="60">
        <v>-16</v>
      </c>
      <c r="H163" s="60">
        <v>-14</v>
      </c>
      <c r="I163" s="60">
        <v>-12</v>
      </c>
      <c r="J163" s="60">
        <v>-10</v>
      </c>
      <c r="K163" s="60">
        <v>-8</v>
      </c>
      <c r="L163" s="60">
        <v>-6</v>
      </c>
      <c r="M163" s="60">
        <v>-4</v>
      </c>
      <c r="N163" s="60">
        <v>-4</v>
      </c>
      <c r="O163" s="60">
        <v>-2</v>
      </c>
      <c r="P163" s="60">
        <v>0</v>
      </c>
      <c r="R163" s="61">
        <f>(ROW(R163)-ROW($C$6))</f>
        <v>157</v>
      </c>
      <c r="S163" s="60">
        <f ca="1">100+HLOOKUP(S$4,$D$7:$P$336,$R163,FALSE)-HLOOKUP(S$3,$D$7:$P$336,$R163,FALSE)</f>
        <v>90</v>
      </c>
      <c r="T163" s="60">
        <f ca="1">100+HLOOKUP(T$4,$D$7:$P$336,$R163,FALSE)-HLOOKUP(T$3,$D$7:$P$336,$R163,FALSE)</f>
        <v>92</v>
      </c>
      <c r="U163" s="60">
        <f ca="1">100+HLOOKUP(U$4,$D$7:$P$336,$R163,FALSE)-HLOOKUP(U$3,$D$7:$P$336,$R163,FALSE)</f>
        <v>92</v>
      </c>
      <c r="V163" s="60">
        <f ca="1">100+HLOOKUP(V$4,$D$7:$P$336,$R163,FALSE)-HLOOKUP(V$3,$D$7:$P$336,$R163,FALSE)</f>
        <v>92</v>
      </c>
      <c r="W163" s="60">
        <f ca="1">100+HLOOKUP(W$4,$D$7:$P$336,$R163,FALSE)-HLOOKUP(W$3,$D$7:$P$336,$R163,FALSE)</f>
        <v>92</v>
      </c>
      <c r="X163" s="60">
        <f ca="1">100+HLOOKUP(X$4,$D$7:$P$336,$R163,FALSE)-HLOOKUP(X$3,$D$7:$P$336,$R163,FALSE)</f>
        <v>90</v>
      </c>
      <c r="Y163" s="60">
        <f ca="1">100+HLOOKUP(Y$4,$D$7:$P$336,$R163,FALSE)-HLOOKUP(Y$3,$D$7:$P$336,$R163,FALSE)</f>
        <v>92</v>
      </c>
      <c r="Z163" s="60">
        <f ca="1">100+HLOOKUP(Z$4,$D$7:$P$336,$R163,FALSE)-HLOOKUP(Z$3,$D$7:$P$336,$R163,FALSE)</f>
        <v>92</v>
      </c>
      <c r="AA163" s="60">
        <f ca="1">100+HLOOKUP(AA$4,$D$7:$P$336,$R163,FALSE)-HLOOKUP(AA$3,$D$7:$P$336,$R163,FALSE)</f>
        <v>92</v>
      </c>
      <c r="AB163" s="60">
        <f ca="1">100+HLOOKUP(AB$4,$D$7:$P$336,$R163,FALSE)-HLOOKUP(AB$3,$D$7:$P$336,$R163,FALSE)</f>
        <v>92</v>
      </c>
      <c r="AC163" s="60">
        <f ca="1">100+HLOOKUP(AC$4,$D$7:$P$336,$R163,FALSE)-HLOOKUP(AC$3,$D$7:$P$336,$R163,FALSE)</f>
        <v>92</v>
      </c>
      <c r="AD163" s="60">
        <f ca="1">100+HLOOKUP(AD$4,$D$7:$P$336,$R163,FALSE)-HLOOKUP(AD$3,$D$7:$P$336,$R163,FALSE)</f>
        <v>112</v>
      </c>
      <c r="AE163" s="60">
        <f ca="1">100+HLOOKUP(AE$4,$D$7:$P$336,$R163,FALSE)-HLOOKUP(AE$3,$D$7:$P$336,$R163,FALSE)</f>
        <v>112</v>
      </c>
      <c r="AF163" s="60">
        <f ca="1">100+HLOOKUP(AF$4,$D$7:$P$336,$R163,FALSE)-HLOOKUP(AF$3,$D$7:$P$336,$R163,FALSE)</f>
        <v>90</v>
      </c>
      <c r="AG163" s="60">
        <f ca="1">100+HLOOKUP(AG$4,$D$7:$P$336,$R163,FALSE)-HLOOKUP(AG$3,$D$7:$P$336,$R163,FALSE)</f>
        <v>92</v>
      </c>
      <c r="AH163" s="60" t="e">
        <f>100+HLOOKUP(AH$4,$D$7:$P$336,$R163,FALSE)-HLOOKUP(AH$3,$D$7:$P$336,$R163,FALSE)</f>
        <v>#N/A</v>
      </c>
      <c r="AI163" s="60" t="e">
        <f>100+HLOOKUP(AI$4,$D$7:$P$336,$R163,FALSE)-HLOOKUP(AI$3,$D$7:$P$336,$R163,FALSE)</f>
        <v>#N/A</v>
      </c>
      <c r="AJ163" s="60" t="e">
        <f>100+HLOOKUP(AJ$4,$D$7:$P$336,$R163,FALSE)-HLOOKUP(AJ$3,$D$7:$P$336,$R163,FALSE)</f>
        <v>#N/A</v>
      </c>
      <c r="AK163" s="60" t="e">
        <f>100+HLOOKUP(AK$4,$D$7:$P$336,$R163,FALSE)-HLOOKUP(AK$3,$D$7:$P$336,$R163,FALSE)</f>
        <v>#N/A</v>
      </c>
      <c r="AL163" s="60" t="e">
        <f>100+HLOOKUP(AL$4,$D$7:$P$336,$R163,FALSE)-HLOOKUP(AL$3,$D$7:$P$336,$R163,FALSE)</f>
        <v>#N/A</v>
      </c>
      <c r="AM163" s="60" t="e">
        <f>100+HLOOKUP(AM$4,$D$7:$P$336,$R163,FALSE)-HLOOKUP(AM$3,$D$7:$P$336,$R163,FALSE)</f>
        <v>#N/A</v>
      </c>
      <c r="AN163" s="60" t="e">
        <f>100+HLOOKUP(AN$4,$D$7:$P$336,$R163,FALSE)-HLOOKUP(AN$3,$D$7:$P$336,$R163,FALSE)</f>
        <v>#N/A</v>
      </c>
      <c r="AO163" s="60" t="e">
        <f>100+HLOOKUP(AO$4,$D$7:$P$336,$R163,FALSE)-HLOOKUP(AO$3,$D$7:$P$336,$R163,FALSE)</f>
        <v>#N/A</v>
      </c>
      <c r="AP163" s="60" t="e">
        <f>100+HLOOKUP(AP$4,$D$7:$P$336,$R163,FALSE)-HLOOKUP(AP$3,$D$7:$P$336,$R163,FALSE)</f>
        <v>#N/A</v>
      </c>
      <c r="AQ163" s="60" t="e">
        <f>100+HLOOKUP(AQ$4,$D$7:$P$336,$R163,FALSE)-HLOOKUP(AQ$3,$D$7:$P$336,$R163,FALSE)</f>
        <v>#N/A</v>
      </c>
      <c r="AV163" s="60">
        <f ca="1">AV$5-S163</f>
        <v>13.190399426796432</v>
      </c>
      <c r="AW163" s="60">
        <f ca="1">AW$5-T163</f>
        <v>2.2206505297577479</v>
      </c>
      <c r="AX163" s="60">
        <f ca="1">AX$5-U163</f>
        <v>9.7759154036680513</v>
      </c>
      <c r="AY163" s="60">
        <f ca="1">AY$5-V163</f>
        <v>1.6030144015278012</v>
      </c>
      <c r="AZ163" s="60">
        <f ca="1">AZ$5-W163</f>
        <v>5.4544821725960304</v>
      </c>
      <c r="BA163" s="60">
        <f ca="1">BA$5-X163</f>
        <v>8.4650590589827033</v>
      </c>
      <c r="BB163" s="60">
        <f ca="1">BB$5-Y163</f>
        <v>1.3505927273811267</v>
      </c>
      <c r="BC163" s="60">
        <f ca="1">BC$5-Z163</f>
        <v>15.437465909882164</v>
      </c>
      <c r="BD163" s="60">
        <f ca="1">BD$5-AA163</f>
        <v>5.936518664382362</v>
      </c>
      <c r="BE163" s="60">
        <f ca="1">BE$5-AB163</f>
        <v>-0.170609408007806</v>
      </c>
      <c r="BF163" s="60">
        <f ca="1">BF$5-AC163</f>
        <v>9.0173043164770803</v>
      </c>
      <c r="BG163" s="60">
        <f ca="1">BG$5-AD163</f>
        <v>-8.0147412949814907</v>
      </c>
      <c r="BH163" s="60">
        <f ca="1">BH$5-AE163</f>
        <v>-13.045407769632433</v>
      </c>
      <c r="BI163" s="60">
        <f ca="1">BI$5-AF163</f>
        <v>0.60850551125480479</v>
      </c>
      <c r="BJ163" s="60">
        <f ca="1">BJ$5-AG163</f>
        <v>-0.56044894232122999</v>
      </c>
      <c r="BK163" s="60" t="e">
        <f>BK$5-AH163</f>
        <v>#N/A</v>
      </c>
      <c r="BL163" s="60" t="e">
        <f>BL$5-AI163</f>
        <v>#N/A</v>
      </c>
      <c r="BM163" s="60" t="e">
        <f>BM$5-AJ163</f>
        <v>#N/A</v>
      </c>
      <c r="BN163" s="60" t="e">
        <f>BN$5-AK163</f>
        <v>#N/A</v>
      </c>
      <c r="BO163" s="60" t="e">
        <f>BO$5-AL163</f>
        <v>#N/A</v>
      </c>
      <c r="BP163" s="60" t="e">
        <f>BP$5-AM163</f>
        <v>#N/A</v>
      </c>
      <c r="BQ163" s="60" t="e">
        <f>BQ$5-AN163</f>
        <v>#N/A</v>
      </c>
      <c r="BR163" s="60" t="e">
        <f>BR$5-AO163</f>
        <v>#N/A</v>
      </c>
      <c r="BS163" s="60" t="e">
        <f>BS$5-AP163</f>
        <v>#N/A</v>
      </c>
      <c r="BT163" s="60" t="e">
        <f>BT$5-AQ163</f>
        <v>#N/A</v>
      </c>
      <c r="BV163" s="60" cm="1">
        <f t="array" aca="1" ref="BV163" ca="1">SQRT(SUMSQ(_xlfn._xlws.FILTER(AV163:BT163,ISNUMBER(AV163:BT163)))/COUNT(_xlfn._xlws.FILTER(AV163:BT163,ISNUMBER(AV163:BT163))))</f>
        <v>8.0427624627215728</v>
      </c>
    </row>
    <row r="164" spans="3:74" x14ac:dyDescent="0.2">
      <c r="C164" s="60" t="s">
        <v>461</v>
      </c>
      <c r="D164" s="60">
        <v>0</v>
      </c>
      <c r="E164" s="60">
        <v>0</v>
      </c>
      <c r="F164" s="60">
        <v>-5</v>
      </c>
      <c r="G164" s="60">
        <v>-9</v>
      </c>
      <c r="H164" s="60">
        <v>-14</v>
      </c>
      <c r="I164" s="60">
        <v>-14</v>
      </c>
      <c r="J164" s="60">
        <v>-12</v>
      </c>
      <c r="K164" s="60">
        <v>-10</v>
      </c>
      <c r="L164" s="60">
        <v>-8</v>
      </c>
      <c r="M164" s="60">
        <v>-6</v>
      </c>
      <c r="N164" s="60">
        <v>-4</v>
      </c>
      <c r="O164" s="60">
        <v>-2</v>
      </c>
      <c r="P164" s="60">
        <v>0</v>
      </c>
      <c r="R164" s="61">
        <f>(ROW(R164)-ROW($C$6))</f>
        <v>158</v>
      </c>
      <c r="S164" s="60">
        <f ca="1">100+HLOOKUP(S$4,$D$7:$P$336,$R164,FALSE)-HLOOKUP(S$3,$D$7:$P$336,$R164,FALSE)</f>
        <v>92</v>
      </c>
      <c r="T164" s="60">
        <f ca="1">100+HLOOKUP(T$4,$D$7:$P$336,$R164,FALSE)-HLOOKUP(T$3,$D$7:$P$336,$R164,FALSE)</f>
        <v>90</v>
      </c>
      <c r="U164" s="60">
        <f ca="1">100+HLOOKUP(U$4,$D$7:$P$336,$R164,FALSE)-HLOOKUP(U$3,$D$7:$P$336,$R164,FALSE)</f>
        <v>92</v>
      </c>
      <c r="V164" s="60">
        <f ca="1">100+HLOOKUP(V$4,$D$7:$P$336,$R164,FALSE)-HLOOKUP(V$3,$D$7:$P$336,$R164,FALSE)</f>
        <v>90</v>
      </c>
      <c r="W164" s="60">
        <f ca="1">100+HLOOKUP(W$4,$D$7:$P$336,$R164,FALSE)-HLOOKUP(W$3,$D$7:$P$336,$R164,FALSE)</f>
        <v>90</v>
      </c>
      <c r="X164" s="60">
        <f ca="1">100+HLOOKUP(X$4,$D$7:$P$336,$R164,FALSE)-HLOOKUP(X$3,$D$7:$P$336,$R164,FALSE)</f>
        <v>92</v>
      </c>
      <c r="Y164" s="60">
        <f ca="1">100+HLOOKUP(Y$4,$D$7:$P$336,$R164,FALSE)-HLOOKUP(Y$3,$D$7:$P$336,$R164,FALSE)</f>
        <v>90</v>
      </c>
      <c r="Z164" s="60">
        <f ca="1">100+HLOOKUP(Z$4,$D$7:$P$336,$R164,FALSE)-HLOOKUP(Z$3,$D$7:$P$336,$R164,FALSE)</f>
        <v>92</v>
      </c>
      <c r="AA164" s="60">
        <f ca="1">100+HLOOKUP(AA$4,$D$7:$P$336,$R164,FALSE)-HLOOKUP(AA$3,$D$7:$P$336,$R164,FALSE)</f>
        <v>90</v>
      </c>
      <c r="AB164" s="60">
        <f ca="1">100+HLOOKUP(AB$4,$D$7:$P$336,$R164,FALSE)-HLOOKUP(AB$3,$D$7:$P$336,$R164,FALSE)</f>
        <v>90</v>
      </c>
      <c r="AC164" s="60">
        <f ca="1">100+HLOOKUP(AC$4,$D$7:$P$336,$R164,FALSE)-HLOOKUP(AC$3,$D$7:$P$336,$R164,FALSE)</f>
        <v>99</v>
      </c>
      <c r="AD164" s="60">
        <f ca="1">100+HLOOKUP(AD$4,$D$7:$P$336,$R164,FALSE)-HLOOKUP(AD$3,$D$7:$P$336,$R164,FALSE)</f>
        <v>112</v>
      </c>
      <c r="AE164" s="60">
        <f ca="1">100+HLOOKUP(AE$4,$D$7:$P$336,$R164,FALSE)-HLOOKUP(AE$3,$D$7:$P$336,$R164,FALSE)</f>
        <v>112</v>
      </c>
      <c r="AF164" s="60">
        <f ca="1">100+HLOOKUP(AF$4,$D$7:$P$336,$R164,FALSE)-HLOOKUP(AF$3,$D$7:$P$336,$R164,FALSE)</f>
        <v>99</v>
      </c>
      <c r="AG164" s="60">
        <f ca="1">100+HLOOKUP(AG$4,$D$7:$P$336,$R164,FALSE)-HLOOKUP(AG$3,$D$7:$P$336,$R164,FALSE)</f>
        <v>90</v>
      </c>
      <c r="AH164" s="60" t="e">
        <f>100+HLOOKUP(AH$4,$D$7:$P$336,$R164,FALSE)-HLOOKUP(AH$3,$D$7:$P$336,$R164,FALSE)</f>
        <v>#N/A</v>
      </c>
      <c r="AI164" s="60" t="e">
        <f>100+HLOOKUP(AI$4,$D$7:$P$336,$R164,FALSE)-HLOOKUP(AI$3,$D$7:$P$336,$R164,FALSE)</f>
        <v>#N/A</v>
      </c>
      <c r="AJ164" s="60" t="e">
        <f>100+HLOOKUP(AJ$4,$D$7:$P$336,$R164,FALSE)-HLOOKUP(AJ$3,$D$7:$P$336,$R164,FALSE)</f>
        <v>#N/A</v>
      </c>
      <c r="AK164" s="60" t="e">
        <f>100+HLOOKUP(AK$4,$D$7:$P$336,$R164,FALSE)-HLOOKUP(AK$3,$D$7:$P$336,$R164,FALSE)</f>
        <v>#N/A</v>
      </c>
      <c r="AL164" s="60" t="e">
        <f>100+HLOOKUP(AL$4,$D$7:$P$336,$R164,FALSE)-HLOOKUP(AL$3,$D$7:$P$336,$R164,FALSE)</f>
        <v>#N/A</v>
      </c>
      <c r="AM164" s="60" t="e">
        <f>100+HLOOKUP(AM$4,$D$7:$P$336,$R164,FALSE)-HLOOKUP(AM$3,$D$7:$P$336,$R164,FALSE)</f>
        <v>#N/A</v>
      </c>
      <c r="AN164" s="60" t="e">
        <f>100+HLOOKUP(AN$4,$D$7:$P$336,$R164,FALSE)-HLOOKUP(AN$3,$D$7:$P$336,$R164,FALSE)</f>
        <v>#N/A</v>
      </c>
      <c r="AO164" s="60" t="e">
        <f>100+HLOOKUP(AO$4,$D$7:$P$336,$R164,FALSE)-HLOOKUP(AO$3,$D$7:$P$336,$R164,FALSE)</f>
        <v>#N/A</v>
      </c>
      <c r="AP164" s="60" t="e">
        <f>100+HLOOKUP(AP$4,$D$7:$P$336,$R164,FALSE)-HLOOKUP(AP$3,$D$7:$P$336,$R164,FALSE)</f>
        <v>#N/A</v>
      </c>
      <c r="AQ164" s="60" t="e">
        <f>100+HLOOKUP(AQ$4,$D$7:$P$336,$R164,FALSE)-HLOOKUP(AQ$3,$D$7:$P$336,$R164,FALSE)</f>
        <v>#N/A</v>
      </c>
      <c r="AV164" s="60">
        <f ca="1">AV$5-S164</f>
        <v>11.190399426796432</v>
      </c>
      <c r="AW164" s="60">
        <f ca="1">AW$5-T164</f>
        <v>4.2206505297577479</v>
      </c>
      <c r="AX164" s="60">
        <f ca="1">AX$5-U164</f>
        <v>9.7759154036680513</v>
      </c>
      <c r="AY164" s="60">
        <f ca="1">AY$5-V164</f>
        <v>3.6030144015278012</v>
      </c>
      <c r="AZ164" s="60">
        <f ca="1">AZ$5-W164</f>
        <v>7.4544821725960304</v>
      </c>
      <c r="BA164" s="60">
        <f ca="1">BA$5-X164</f>
        <v>6.4650590589827033</v>
      </c>
      <c r="BB164" s="60">
        <f ca="1">BB$5-Y164</f>
        <v>3.3505927273811267</v>
      </c>
      <c r="BC164" s="60">
        <f ca="1">BC$5-Z164</f>
        <v>15.437465909882164</v>
      </c>
      <c r="BD164" s="60">
        <f ca="1">BD$5-AA164</f>
        <v>7.936518664382362</v>
      </c>
      <c r="BE164" s="60">
        <f ca="1">BE$5-AB164</f>
        <v>1.829390591992194</v>
      </c>
      <c r="BF164" s="60">
        <f ca="1">BF$5-AC164</f>
        <v>2.0173043164770803</v>
      </c>
      <c r="BG164" s="60">
        <f ca="1">BG$5-AD164</f>
        <v>-8.0147412949814907</v>
      </c>
      <c r="BH164" s="60">
        <f ca="1">BH$5-AE164</f>
        <v>-13.045407769632433</v>
      </c>
      <c r="BI164" s="60">
        <f ca="1">BI$5-AF164</f>
        <v>-8.3914944887451952</v>
      </c>
      <c r="BJ164" s="60">
        <f ca="1">BJ$5-AG164</f>
        <v>1.43955105767877</v>
      </c>
      <c r="BK164" s="60" t="e">
        <f>BK$5-AH164</f>
        <v>#N/A</v>
      </c>
      <c r="BL164" s="60" t="e">
        <f>BL$5-AI164</f>
        <v>#N/A</v>
      </c>
      <c r="BM164" s="60" t="e">
        <f>BM$5-AJ164</f>
        <v>#N/A</v>
      </c>
      <c r="BN164" s="60" t="e">
        <f>BN$5-AK164</f>
        <v>#N/A</v>
      </c>
      <c r="BO164" s="60" t="e">
        <f>BO$5-AL164</f>
        <v>#N/A</v>
      </c>
      <c r="BP164" s="60" t="e">
        <f>BP$5-AM164</f>
        <v>#N/A</v>
      </c>
      <c r="BQ164" s="60" t="e">
        <f>BQ$5-AN164</f>
        <v>#N/A</v>
      </c>
      <c r="BR164" s="60" t="e">
        <f>BR$5-AO164</f>
        <v>#N/A</v>
      </c>
      <c r="BS164" s="60" t="e">
        <f>BS$5-AP164</f>
        <v>#N/A</v>
      </c>
      <c r="BT164" s="60" t="e">
        <f>BT$5-AQ164</f>
        <v>#N/A</v>
      </c>
      <c r="BV164" s="60" cm="1">
        <f t="array" aca="1" ref="BV164" ca="1">SQRT(SUMSQ(_xlfn._xlws.FILTER(AV164:BT164,ISNUMBER(AV164:BT164)))/COUNT(_xlfn._xlws.FILTER(AV164:BT164,ISNUMBER(AV164:BT164))))</f>
        <v>8.0656061044467489</v>
      </c>
    </row>
    <row r="165" spans="3:74" x14ac:dyDescent="0.2">
      <c r="C165" s="60" t="s">
        <v>325</v>
      </c>
      <c r="D165" s="60">
        <v>0</v>
      </c>
      <c r="E165" s="60">
        <v>-2</v>
      </c>
      <c r="F165" s="60">
        <v>-4</v>
      </c>
      <c r="G165" s="60">
        <v>-5</v>
      </c>
      <c r="H165" s="60">
        <v>-7</v>
      </c>
      <c r="I165" s="60">
        <v>-9</v>
      </c>
      <c r="J165" s="60">
        <v>-9</v>
      </c>
      <c r="K165" s="60">
        <v>-9</v>
      </c>
      <c r="L165" s="60">
        <v>-9</v>
      </c>
      <c r="M165" s="60">
        <v>2</v>
      </c>
      <c r="N165" s="60">
        <v>2</v>
      </c>
      <c r="O165" s="60">
        <v>2</v>
      </c>
      <c r="P165" s="60">
        <v>0</v>
      </c>
      <c r="R165" s="61">
        <f>(ROW(R165)-ROW($C$6))</f>
        <v>159</v>
      </c>
      <c r="S165" s="60">
        <f ca="1">100+HLOOKUP(S$4,$D$7:$P$336,$R165,FALSE)-HLOOKUP(S$3,$D$7:$P$336,$R165,FALSE)</f>
        <v>91</v>
      </c>
      <c r="T165" s="60">
        <f ca="1">100+HLOOKUP(T$4,$D$7:$P$336,$R165,FALSE)-HLOOKUP(T$3,$D$7:$P$336,$R165,FALSE)</f>
        <v>89</v>
      </c>
      <c r="U165" s="60">
        <f ca="1">100+HLOOKUP(U$4,$D$7:$P$336,$R165,FALSE)-HLOOKUP(U$3,$D$7:$P$336,$R165,FALSE)</f>
        <v>93</v>
      </c>
      <c r="V165" s="60">
        <f ca="1">100+HLOOKUP(V$4,$D$7:$P$336,$R165,FALSE)-HLOOKUP(V$3,$D$7:$P$336,$R165,FALSE)</f>
        <v>89</v>
      </c>
      <c r="W165" s="60">
        <f ca="1">100+HLOOKUP(W$4,$D$7:$P$336,$R165,FALSE)-HLOOKUP(W$3,$D$7:$P$336,$R165,FALSE)</f>
        <v>91</v>
      </c>
      <c r="X165" s="60">
        <f ca="1">100+HLOOKUP(X$4,$D$7:$P$336,$R165,FALSE)-HLOOKUP(X$3,$D$7:$P$336,$R165,FALSE)</f>
        <v>91</v>
      </c>
      <c r="Y165" s="60">
        <f ca="1">100+HLOOKUP(Y$4,$D$7:$P$336,$R165,FALSE)-HLOOKUP(Y$3,$D$7:$P$336,$R165,FALSE)</f>
        <v>89</v>
      </c>
      <c r="Z165" s="60">
        <f ca="1">100+HLOOKUP(Z$4,$D$7:$P$336,$R165,FALSE)-HLOOKUP(Z$3,$D$7:$P$336,$R165,FALSE)</f>
        <v>93</v>
      </c>
      <c r="AA165" s="60">
        <f ca="1">100+HLOOKUP(AA$4,$D$7:$P$336,$R165,FALSE)-HLOOKUP(AA$3,$D$7:$P$336,$R165,FALSE)</f>
        <v>89</v>
      </c>
      <c r="AB165" s="60">
        <f ca="1">100+HLOOKUP(AB$4,$D$7:$P$336,$R165,FALSE)-HLOOKUP(AB$3,$D$7:$P$336,$R165,FALSE)</f>
        <v>91</v>
      </c>
      <c r="AC165" s="60">
        <f ca="1">100+HLOOKUP(AC$4,$D$7:$P$336,$R165,FALSE)-HLOOKUP(AC$3,$D$7:$P$336,$R165,FALSE)</f>
        <v>106</v>
      </c>
      <c r="AD165" s="60">
        <f ca="1">100+HLOOKUP(AD$4,$D$7:$P$336,$R165,FALSE)-HLOOKUP(AD$3,$D$7:$P$336,$R165,FALSE)</f>
        <v>109</v>
      </c>
      <c r="AE165" s="60">
        <f ca="1">100+HLOOKUP(AE$4,$D$7:$P$336,$R165,FALSE)-HLOOKUP(AE$3,$D$7:$P$336,$R165,FALSE)</f>
        <v>107</v>
      </c>
      <c r="AF165" s="60">
        <f ca="1">100+HLOOKUP(AF$4,$D$7:$P$336,$R165,FALSE)-HLOOKUP(AF$3,$D$7:$P$336,$R165,FALSE)</f>
        <v>104</v>
      </c>
      <c r="AG165" s="60">
        <f ca="1">100+HLOOKUP(AG$4,$D$7:$P$336,$R165,FALSE)-HLOOKUP(AG$3,$D$7:$P$336,$R165,FALSE)</f>
        <v>89</v>
      </c>
      <c r="AH165" s="60" t="e">
        <f>100+HLOOKUP(AH$4,$D$7:$P$336,$R165,FALSE)-HLOOKUP(AH$3,$D$7:$P$336,$R165,FALSE)</f>
        <v>#N/A</v>
      </c>
      <c r="AI165" s="60" t="e">
        <f>100+HLOOKUP(AI$4,$D$7:$P$336,$R165,FALSE)-HLOOKUP(AI$3,$D$7:$P$336,$R165,FALSE)</f>
        <v>#N/A</v>
      </c>
      <c r="AJ165" s="60" t="e">
        <f>100+HLOOKUP(AJ$4,$D$7:$P$336,$R165,FALSE)-HLOOKUP(AJ$3,$D$7:$P$336,$R165,FALSE)</f>
        <v>#N/A</v>
      </c>
      <c r="AK165" s="60" t="e">
        <f>100+HLOOKUP(AK$4,$D$7:$P$336,$R165,FALSE)-HLOOKUP(AK$3,$D$7:$P$336,$R165,FALSE)</f>
        <v>#N/A</v>
      </c>
      <c r="AL165" s="60" t="e">
        <f>100+HLOOKUP(AL$4,$D$7:$P$336,$R165,FALSE)-HLOOKUP(AL$3,$D$7:$P$336,$R165,FALSE)</f>
        <v>#N/A</v>
      </c>
      <c r="AM165" s="60" t="e">
        <f>100+HLOOKUP(AM$4,$D$7:$P$336,$R165,FALSE)-HLOOKUP(AM$3,$D$7:$P$336,$R165,FALSE)</f>
        <v>#N/A</v>
      </c>
      <c r="AN165" s="60" t="e">
        <f>100+HLOOKUP(AN$4,$D$7:$P$336,$R165,FALSE)-HLOOKUP(AN$3,$D$7:$P$336,$R165,FALSE)</f>
        <v>#N/A</v>
      </c>
      <c r="AO165" s="60" t="e">
        <f>100+HLOOKUP(AO$4,$D$7:$P$336,$R165,FALSE)-HLOOKUP(AO$3,$D$7:$P$336,$R165,FALSE)</f>
        <v>#N/A</v>
      </c>
      <c r="AP165" s="60" t="e">
        <f>100+HLOOKUP(AP$4,$D$7:$P$336,$R165,FALSE)-HLOOKUP(AP$3,$D$7:$P$336,$R165,FALSE)</f>
        <v>#N/A</v>
      </c>
      <c r="AQ165" s="60" t="e">
        <f>100+HLOOKUP(AQ$4,$D$7:$P$336,$R165,FALSE)-HLOOKUP(AQ$3,$D$7:$P$336,$R165,FALSE)</f>
        <v>#N/A</v>
      </c>
      <c r="AV165" s="60">
        <f ca="1">AV$5-S165</f>
        <v>12.190399426796432</v>
      </c>
      <c r="AW165" s="60">
        <f ca="1">AW$5-T165</f>
        <v>5.2206505297577479</v>
      </c>
      <c r="AX165" s="60">
        <f ca="1">AX$5-U165</f>
        <v>8.7759154036680513</v>
      </c>
      <c r="AY165" s="60">
        <f ca="1">AY$5-V165</f>
        <v>4.6030144015278012</v>
      </c>
      <c r="AZ165" s="60">
        <f ca="1">AZ$5-W165</f>
        <v>6.4544821725960304</v>
      </c>
      <c r="BA165" s="60">
        <f ca="1">BA$5-X165</f>
        <v>7.4650590589827033</v>
      </c>
      <c r="BB165" s="60">
        <f ca="1">BB$5-Y165</f>
        <v>4.3505927273811267</v>
      </c>
      <c r="BC165" s="60">
        <f ca="1">BC$5-Z165</f>
        <v>14.437465909882164</v>
      </c>
      <c r="BD165" s="60">
        <f ca="1">BD$5-AA165</f>
        <v>8.936518664382362</v>
      </c>
      <c r="BE165" s="60">
        <f ca="1">BE$5-AB165</f>
        <v>0.829390591992194</v>
      </c>
      <c r="BF165" s="60">
        <f ca="1">BF$5-AC165</f>
        <v>-4.9826956835229197</v>
      </c>
      <c r="BG165" s="60">
        <f ca="1">BG$5-AD165</f>
        <v>-5.0147412949814907</v>
      </c>
      <c r="BH165" s="60">
        <f ca="1">BH$5-AE165</f>
        <v>-8.0454077696324333</v>
      </c>
      <c r="BI165" s="60">
        <f ca="1">BI$5-AF165</f>
        <v>-13.391494488745195</v>
      </c>
      <c r="BJ165" s="60">
        <f ca="1">BJ$5-AG165</f>
        <v>2.43955105767877</v>
      </c>
      <c r="BK165" s="60" t="e">
        <f>BK$5-AH165</f>
        <v>#N/A</v>
      </c>
      <c r="BL165" s="60" t="e">
        <f>BL$5-AI165</f>
        <v>#N/A</v>
      </c>
      <c r="BM165" s="60" t="e">
        <f>BM$5-AJ165</f>
        <v>#N/A</v>
      </c>
      <c r="BN165" s="60" t="e">
        <f>BN$5-AK165</f>
        <v>#N/A</v>
      </c>
      <c r="BO165" s="60" t="e">
        <f>BO$5-AL165</f>
        <v>#N/A</v>
      </c>
      <c r="BP165" s="60" t="e">
        <f>BP$5-AM165</f>
        <v>#N/A</v>
      </c>
      <c r="BQ165" s="60" t="e">
        <f>BQ$5-AN165</f>
        <v>#N/A</v>
      </c>
      <c r="BR165" s="60" t="e">
        <f>BR$5-AO165</f>
        <v>#N/A</v>
      </c>
      <c r="BS165" s="60" t="e">
        <f>BS$5-AP165</f>
        <v>#N/A</v>
      </c>
      <c r="BT165" s="60" t="e">
        <f>BT$5-AQ165</f>
        <v>#N/A</v>
      </c>
      <c r="BV165" s="60" cm="1">
        <f t="array" aca="1" ref="BV165" ca="1">SQRT(SUMSQ(_xlfn._xlws.FILTER(AV165:BT165,ISNUMBER(AV165:BT165)))/COUNT(_xlfn._xlws.FILTER(AV165:BT165,ISNUMBER(AV165:BT165))))</f>
        <v>8.0802526777678878</v>
      </c>
    </row>
    <row r="166" spans="3:74" x14ac:dyDescent="0.2">
      <c r="C166" s="60" t="s">
        <v>242</v>
      </c>
      <c r="D166" s="60">
        <v>0</v>
      </c>
      <c r="E166" s="60">
        <v>2</v>
      </c>
      <c r="F166" s="60">
        <v>4</v>
      </c>
      <c r="G166" s="60">
        <v>-16</v>
      </c>
      <c r="H166" s="60">
        <v>-14</v>
      </c>
      <c r="I166" s="60">
        <v>-12</v>
      </c>
      <c r="J166" s="60">
        <v>-10</v>
      </c>
      <c r="K166" s="60">
        <v>-8</v>
      </c>
      <c r="L166" s="60">
        <v>-6</v>
      </c>
      <c r="M166" s="60">
        <v>-4</v>
      </c>
      <c r="N166" s="60">
        <v>-3</v>
      </c>
      <c r="O166" s="60">
        <v>-2</v>
      </c>
      <c r="P166" s="60">
        <v>0</v>
      </c>
      <c r="R166" s="61">
        <f>(ROW(R166)-ROW($C$6))</f>
        <v>160</v>
      </c>
      <c r="S166" s="60">
        <f ca="1">100+HLOOKUP(S$4,$D$7:$P$336,$R166,FALSE)-HLOOKUP(S$3,$D$7:$P$336,$R166,FALSE)</f>
        <v>90</v>
      </c>
      <c r="T166" s="60">
        <f ca="1">100+HLOOKUP(T$4,$D$7:$P$336,$R166,FALSE)-HLOOKUP(T$3,$D$7:$P$336,$R166,FALSE)</f>
        <v>92</v>
      </c>
      <c r="U166" s="60">
        <f ca="1">100+HLOOKUP(U$4,$D$7:$P$336,$R166,FALSE)-HLOOKUP(U$3,$D$7:$P$336,$R166,FALSE)</f>
        <v>92</v>
      </c>
      <c r="V166" s="60">
        <f ca="1">100+HLOOKUP(V$4,$D$7:$P$336,$R166,FALSE)-HLOOKUP(V$3,$D$7:$P$336,$R166,FALSE)</f>
        <v>91</v>
      </c>
      <c r="W166" s="60">
        <f ca="1">100+HLOOKUP(W$4,$D$7:$P$336,$R166,FALSE)-HLOOKUP(W$3,$D$7:$P$336,$R166,FALSE)</f>
        <v>92</v>
      </c>
      <c r="X166" s="60">
        <f ca="1">100+HLOOKUP(X$4,$D$7:$P$336,$R166,FALSE)-HLOOKUP(X$3,$D$7:$P$336,$R166,FALSE)</f>
        <v>90</v>
      </c>
      <c r="Y166" s="60">
        <f ca="1">100+HLOOKUP(Y$4,$D$7:$P$336,$R166,FALSE)-HLOOKUP(Y$3,$D$7:$P$336,$R166,FALSE)</f>
        <v>92</v>
      </c>
      <c r="Z166" s="60">
        <f ca="1">100+HLOOKUP(Z$4,$D$7:$P$336,$R166,FALSE)-HLOOKUP(Z$3,$D$7:$P$336,$R166,FALSE)</f>
        <v>92</v>
      </c>
      <c r="AA166" s="60">
        <f ca="1">100+HLOOKUP(AA$4,$D$7:$P$336,$R166,FALSE)-HLOOKUP(AA$3,$D$7:$P$336,$R166,FALSE)</f>
        <v>91</v>
      </c>
      <c r="AB166" s="60">
        <f ca="1">100+HLOOKUP(AB$4,$D$7:$P$336,$R166,FALSE)-HLOOKUP(AB$3,$D$7:$P$336,$R166,FALSE)</f>
        <v>92</v>
      </c>
      <c r="AC166" s="60">
        <f ca="1">100+HLOOKUP(AC$4,$D$7:$P$336,$R166,FALSE)-HLOOKUP(AC$3,$D$7:$P$336,$R166,FALSE)</f>
        <v>92</v>
      </c>
      <c r="AD166" s="60">
        <f ca="1">100+HLOOKUP(AD$4,$D$7:$P$336,$R166,FALSE)-HLOOKUP(AD$3,$D$7:$P$336,$R166,FALSE)</f>
        <v>112</v>
      </c>
      <c r="AE166" s="60">
        <f ca="1">100+HLOOKUP(AE$4,$D$7:$P$336,$R166,FALSE)-HLOOKUP(AE$3,$D$7:$P$336,$R166,FALSE)</f>
        <v>112</v>
      </c>
      <c r="AF166" s="60">
        <f ca="1">100+HLOOKUP(AF$4,$D$7:$P$336,$R166,FALSE)-HLOOKUP(AF$3,$D$7:$P$336,$R166,FALSE)</f>
        <v>90</v>
      </c>
      <c r="AG166" s="60">
        <f ca="1">100+HLOOKUP(AG$4,$D$7:$P$336,$R166,FALSE)-HLOOKUP(AG$3,$D$7:$P$336,$R166,FALSE)</f>
        <v>91</v>
      </c>
      <c r="AH166" s="60" t="e">
        <f>100+HLOOKUP(AH$4,$D$7:$P$336,$R166,FALSE)-HLOOKUP(AH$3,$D$7:$P$336,$R166,FALSE)</f>
        <v>#N/A</v>
      </c>
      <c r="AI166" s="60" t="e">
        <f>100+HLOOKUP(AI$4,$D$7:$P$336,$R166,FALSE)-HLOOKUP(AI$3,$D$7:$P$336,$R166,FALSE)</f>
        <v>#N/A</v>
      </c>
      <c r="AJ166" s="60" t="e">
        <f>100+HLOOKUP(AJ$4,$D$7:$P$336,$R166,FALSE)-HLOOKUP(AJ$3,$D$7:$P$336,$R166,FALSE)</f>
        <v>#N/A</v>
      </c>
      <c r="AK166" s="60" t="e">
        <f>100+HLOOKUP(AK$4,$D$7:$P$336,$R166,FALSE)-HLOOKUP(AK$3,$D$7:$P$336,$R166,FALSE)</f>
        <v>#N/A</v>
      </c>
      <c r="AL166" s="60" t="e">
        <f>100+HLOOKUP(AL$4,$D$7:$P$336,$R166,FALSE)-HLOOKUP(AL$3,$D$7:$P$336,$R166,FALSE)</f>
        <v>#N/A</v>
      </c>
      <c r="AM166" s="60" t="e">
        <f>100+HLOOKUP(AM$4,$D$7:$P$336,$R166,FALSE)-HLOOKUP(AM$3,$D$7:$P$336,$R166,FALSE)</f>
        <v>#N/A</v>
      </c>
      <c r="AN166" s="60" t="e">
        <f>100+HLOOKUP(AN$4,$D$7:$P$336,$R166,FALSE)-HLOOKUP(AN$3,$D$7:$P$336,$R166,FALSE)</f>
        <v>#N/A</v>
      </c>
      <c r="AO166" s="60" t="e">
        <f>100+HLOOKUP(AO$4,$D$7:$P$336,$R166,FALSE)-HLOOKUP(AO$3,$D$7:$P$336,$R166,FALSE)</f>
        <v>#N/A</v>
      </c>
      <c r="AP166" s="60" t="e">
        <f>100+HLOOKUP(AP$4,$D$7:$P$336,$R166,FALSE)-HLOOKUP(AP$3,$D$7:$P$336,$R166,FALSE)</f>
        <v>#N/A</v>
      </c>
      <c r="AQ166" s="60" t="e">
        <f>100+HLOOKUP(AQ$4,$D$7:$P$336,$R166,FALSE)-HLOOKUP(AQ$3,$D$7:$P$336,$R166,FALSE)</f>
        <v>#N/A</v>
      </c>
      <c r="AV166" s="60">
        <f ca="1">AV$5-S166</f>
        <v>13.190399426796432</v>
      </c>
      <c r="AW166" s="60">
        <f ca="1">AW$5-T166</f>
        <v>2.2206505297577479</v>
      </c>
      <c r="AX166" s="60">
        <f ca="1">AX$5-U166</f>
        <v>9.7759154036680513</v>
      </c>
      <c r="AY166" s="60">
        <f ca="1">AY$5-V166</f>
        <v>2.6030144015278012</v>
      </c>
      <c r="AZ166" s="60">
        <f ca="1">AZ$5-W166</f>
        <v>5.4544821725960304</v>
      </c>
      <c r="BA166" s="60">
        <f ca="1">BA$5-X166</f>
        <v>8.4650590589827033</v>
      </c>
      <c r="BB166" s="60">
        <f ca="1">BB$5-Y166</f>
        <v>1.3505927273811267</v>
      </c>
      <c r="BC166" s="60">
        <f ca="1">BC$5-Z166</f>
        <v>15.437465909882164</v>
      </c>
      <c r="BD166" s="60">
        <f ca="1">BD$5-AA166</f>
        <v>6.936518664382362</v>
      </c>
      <c r="BE166" s="60">
        <f ca="1">BE$5-AB166</f>
        <v>-0.170609408007806</v>
      </c>
      <c r="BF166" s="60">
        <f ca="1">BF$5-AC166</f>
        <v>9.0173043164770803</v>
      </c>
      <c r="BG166" s="60">
        <f ca="1">BG$5-AD166</f>
        <v>-8.0147412949814907</v>
      </c>
      <c r="BH166" s="60">
        <f ca="1">BH$5-AE166</f>
        <v>-13.045407769632433</v>
      </c>
      <c r="BI166" s="60">
        <f ca="1">BI$5-AF166</f>
        <v>0.60850551125480479</v>
      </c>
      <c r="BJ166" s="60">
        <f ca="1">BJ$5-AG166</f>
        <v>0.43955105767877001</v>
      </c>
      <c r="BK166" s="60" t="e">
        <f>BK$5-AH166</f>
        <v>#N/A</v>
      </c>
      <c r="BL166" s="60" t="e">
        <f>BL$5-AI166</f>
        <v>#N/A</v>
      </c>
      <c r="BM166" s="60" t="e">
        <f>BM$5-AJ166</f>
        <v>#N/A</v>
      </c>
      <c r="BN166" s="60" t="e">
        <f>BN$5-AK166</f>
        <v>#N/A</v>
      </c>
      <c r="BO166" s="60" t="e">
        <f>BO$5-AL166</f>
        <v>#N/A</v>
      </c>
      <c r="BP166" s="60" t="e">
        <f>BP$5-AM166</f>
        <v>#N/A</v>
      </c>
      <c r="BQ166" s="60" t="e">
        <f>BQ$5-AN166</f>
        <v>#N/A</v>
      </c>
      <c r="BR166" s="60" t="e">
        <f>BR$5-AO166</f>
        <v>#N/A</v>
      </c>
      <c r="BS166" s="60" t="e">
        <f>BS$5-AP166</f>
        <v>#N/A</v>
      </c>
      <c r="BT166" s="60" t="e">
        <f>BT$5-AQ166</f>
        <v>#N/A</v>
      </c>
      <c r="BV166" s="60" cm="1">
        <f t="array" aca="1" ref="BV166" ca="1">SQRT(SUMSQ(_xlfn._xlws.FILTER(AV166:BT166,ISNUMBER(AV166:BT166)))/COUNT(_xlfn._xlws.FILTER(AV166:BT166,ISNUMBER(AV166:BT166))))</f>
        <v>8.1127413727774567</v>
      </c>
    </row>
    <row r="167" spans="3:74" x14ac:dyDescent="0.2">
      <c r="C167" s="60" t="s">
        <v>316</v>
      </c>
      <c r="D167" s="60">
        <v>0</v>
      </c>
      <c r="E167" s="60">
        <v>1.9550000000000001</v>
      </c>
      <c r="F167" s="60">
        <v>-17.596</v>
      </c>
      <c r="G167" s="60">
        <v>-15.641</v>
      </c>
      <c r="H167" s="60">
        <v>-13.686</v>
      </c>
      <c r="I167" s="60">
        <v>-11.731</v>
      </c>
      <c r="J167" s="60">
        <v>-9.7759999999999998</v>
      </c>
      <c r="K167" s="60">
        <v>-7.8209999999999997</v>
      </c>
      <c r="L167" s="60">
        <v>-7.82</v>
      </c>
      <c r="M167" s="60">
        <v>-5.8650000000000002</v>
      </c>
      <c r="N167" s="60">
        <v>-3.91</v>
      </c>
      <c r="O167" s="60">
        <v>-1.9550000000000001</v>
      </c>
      <c r="P167" s="60">
        <v>0</v>
      </c>
      <c r="R167" s="61">
        <f>(ROW(R167)-ROW($C$6))</f>
        <v>161</v>
      </c>
      <c r="S167" s="60">
        <f ca="1">100+HLOOKUP(S$4,$D$7:$P$336,$R167,FALSE)-HLOOKUP(S$3,$D$7:$P$336,$R167,FALSE)</f>
        <v>92.178999999999988</v>
      </c>
      <c r="T167" s="60">
        <f ca="1">100+HLOOKUP(T$4,$D$7:$P$336,$R167,FALSE)-HLOOKUP(T$3,$D$7:$P$336,$R167,FALSE)</f>
        <v>92.179000000000002</v>
      </c>
      <c r="U167" s="60">
        <f ca="1">100+HLOOKUP(U$4,$D$7:$P$336,$R167,FALSE)-HLOOKUP(U$3,$D$7:$P$336,$R167,FALSE)</f>
        <v>90.225000000000009</v>
      </c>
      <c r="V167" s="60">
        <f ca="1">100+HLOOKUP(V$4,$D$7:$P$336,$R167,FALSE)-HLOOKUP(V$3,$D$7:$P$336,$R167,FALSE)</f>
        <v>92.179000000000002</v>
      </c>
      <c r="W167" s="60">
        <f ca="1">100+HLOOKUP(W$4,$D$7:$P$336,$R167,FALSE)-HLOOKUP(W$3,$D$7:$P$336,$R167,FALSE)</f>
        <v>92.179000000000002</v>
      </c>
      <c r="X167" s="60">
        <f ca="1">100+HLOOKUP(X$4,$D$7:$P$336,$R167,FALSE)-HLOOKUP(X$3,$D$7:$P$336,$R167,FALSE)</f>
        <v>92.178999999999988</v>
      </c>
      <c r="Y167" s="60">
        <f ca="1">100+HLOOKUP(Y$4,$D$7:$P$336,$R167,FALSE)-HLOOKUP(Y$3,$D$7:$P$336,$R167,FALSE)</f>
        <v>92.179000000000002</v>
      </c>
      <c r="Z167" s="60">
        <f ca="1">100+HLOOKUP(Z$4,$D$7:$P$336,$R167,FALSE)-HLOOKUP(Z$3,$D$7:$P$336,$R167,FALSE)</f>
        <v>90.225000000000009</v>
      </c>
      <c r="AA167" s="60">
        <f ca="1">100+HLOOKUP(AA$4,$D$7:$P$336,$R167,FALSE)-HLOOKUP(AA$3,$D$7:$P$336,$R167,FALSE)</f>
        <v>92.179000000000002</v>
      </c>
      <c r="AB167" s="60">
        <f ca="1">100+HLOOKUP(AB$4,$D$7:$P$336,$R167,FALSE)-HLOOKUP(AB$3,$D$7:$P$336,$R167,FALSE)</f>
        <v>92.179000000000002</v>
      </c>
      <c r="AC167" s="60">
        <f ca="1">100+HLOOKUP(AC$4,$D$7:$P$336,$R167,FALSE)-HLOOKUP(AC$3,$D$7:$P$336,$R167,FALSE)</f>
        <v>111.73100000000001</v>
      </c>
      <c r="AD167" s="60">
        <f ca="1">100+HLOOKUP(AD$4,$D$7:$P$336,$R167,FALSE)-HLOOKUP(AD$3,$D$7:$P$336,$R167,FALSE)</f>
        <v>111.73099999999999</v>
      </c>
      <c r="AE167" s="60">
        <f ca="1">100+HLOOKUP(AE$4,$D$7:$P$336,$R167,FALSE)-HLOOKUP(AE$3,$D$7:$P$336,$R167,FALSE)</f>
        <v>111.73099999999999</v>
      </c>
      <c r="AF167" s="60">
        <f ca="1">100+HLOOKUP(AF$4,$D$7:$P$336,$R167,FALSE)-HLOOKUP(AF$3,$D$7:$P$336,$R167,FALSE)</f>
        <v>92.179000000000002</v>
      </c>
      <c r="AG167" s="60">
        <f ca="1">100+HLOOKUP(AG$4,$D$7:$P$336,$R167,FALSE)-HLOOKUP(AG$3,$D$7:$P$336,$R167,FALSE)</f>
        <v>92.179000000000002</v>
      </c>
      <c r="AH167" s="60" t="e">
        <f>100+HLOOKUP(AH$4,$D$7:$P$336,$R167,FALSE)-HLOOKUP(AH$3,$D$7:$P$336,$R167,FALSE)</f>
        <v>#N/A</v>
      </c>
      <c r="AI167" s="60" t="e">
        <f>100+HLOOKUP(AI$4,$D$7:$P$336,$R167,FALSE)-HLOOKUP(AI$3,$D$7:$P$336,$R167,FALSE)</f>
        <v>#N/A</v>
      </c>
      <c r="AJ167" s="60" t="e">
        <f>100+HLOOKUP(AJ$4,$D$7:$P$336,$R167,FALSE)-HLOOKUP(AJ$3,$D$7:$P$336,$R167,FALSE)</f>
        <v>#N/A</v>
      </c>
      <c r="AK167" s="60" t="e">
        <f>100+HLOOKUP(AK$4,$D$7:$P$336,$R167,FALSE)-HLOOKUP(AK$3,$D$7:$P$336,$R167,FALSE)</f>
        <v>#N/A</v>
      </c>
      <c r="AL167" s="60" t="e">
        <f>100+HLOOKUP(AL$4,$D$7:$P$336,$R167,FALSE)-HLOOKUP(AL$3,$D$7:$P$336,$R167,FALSE)</f>
        <v>#N/A</v>
      </c>
      <c r="AM167" s="60" t="e">
        <f>100+HLOOKUP(AM$4,$D$7:$P$336,$R167,FALSE)-HLOOKUP(AM$3,$D$7:$P$336,$R167,FALSE)</f>
        <v>#N/A</v>
      </c>
      <c r="AN167" s="60" t="e">
        <f>100+HLOOKUP(AN$4,$D$7:$P$336,$R167,FALSE)-HLOOKUP(AN$3,$D$7:$P$336,$R167,FALSE)</f>
        <v>#N/A</v>
      </c>
      <c r="AO167" s="60" t="e">
        <f>100+HLOOKUP(AO$4,$D$7:$P$336,$R167,FALSE)-HLOOKUP(AO$3,$D$7:$P$336,$R167,FALSE)</f>
        <v>#N/A</v>
      </c>
      <c r="AP167" s="60" t="e">
        <f>100+HLOOKUP(AP$4,$D$7:$P$336,$R167,FALSE)-HLOOKUP(AP$3,$D$7:$P$336,$R167,FALSE)</f>
        <v>#N/A</v>
      </c>
      <c r="AQ167" s="60" t="e">
        <f>100+HLOOKUP(AQ$4,$D$7:$P$336,$R167,FALSE)-HLOOKUP(AQ$3,$D$7:$P$336,$R167,FALSE)</f>
        <v>#N/A</v>
      </c>
      <c r="AV167" s="60">
        <f ca="1">AV$5-S167</f>
        <v>11.011399426796444</v>
      </c>
      <c r="AW167" s="60">
        <f ca="1">AW$5-T167</f>
        <v>2.0416505297577459</v>
      </c>
      <c r="AX167" s="60">
        <f ca="1">AX$5-U167</f>
        <v>11.550915403668043</v>
      </c>
      <c r="AY167" s="60">
        <f ca="1">AY$5-V167</f>
        <v>1.4240144015277991</v>
      </c>
      <c r="AZ167" s="60">
        <f ca="1">AZ$5-W167</f>
        <v>5.2754821725960284</v>
      </c>
      <c r="BA167" s="60">
        <f ca="1">BA$5-X167</f>
        <v>6.2860590589827154</v>
      </c>
      <c r="BB167" s="60">
        <f ca="1">BB$5-Y167</f>
        <v>1.1715927273811246</v>
      </c>
      <c r="BC167" s="60">
        <f ca="1">BC$5-Z167</f>
        <v>17.212465909882155</v>
      </c>
      <c r="BD167" s="60">
        <f ca="1">BD$5-AA167</f>
        <v>5.7575186643823599</v>
      </c>
      <c r="BE167" s="60">
        <f ca="1">BE$5-AB167</f>
        <v>-0.34960940800780804</v>
      </c>
      <c r="BF167" s="60">
        <f ca="1">BF$5-AC167</f>
        <v>-10.713695683522928</v>
      </c>
      <c r="BG167" s="60">
        <f ca="1">BG$5-AD167</f>
        <v>-7.7457412949814852</v>
      </c>
      <c r="BH167" s="60">
        <f ca="1">BH$5-AE167</f>
        <v>-12.776407769632428</v>
      </c>
      <c r="BI167" s="60">
        <f ca="1">BI$5-AF167</f>
        <v>-1.5704944887451973</v>
      </c>
      <c r="BJ167" s="60">
        <f ca="1">BJ$5-AG167</f>
        <v>-0.73944894232123204</v>
      </c>
      <c r="BK167" s="60" t="e">
        <f>BK$5-AH167</f>
        <v>#N/A</v>
      </c>
      <c r="BL167" s="60" t="e">
        <f>BL$5-AI167</f>
        <v>#N/A</v>
      </c>
      <c r="BM167" s="60" t="e">
        <f>BM$5-AJ167</f>
        <v>#N/A</v>
      </c>
      <c r="BN167" s="60" t="e">
        <f>BN$5-AK167</f>
        <v>#N/A</v>
      </c>
      <c r="BO167" s="60" t="e">
        <f>BO$5-AL167</f>
        <v>#N/A</v>
      </c>
      <c r="BP167" s="60" t="e">
        <f>BP$5-AM167</f>
        <v>#N/A</v>
      </c>
      <c r="BQ167" s="60" t="e">
        <f>BQ$5-AN167</f>
        <v>#N/A</v>
      </c>
      <c r="BR167" s="60" t="e">
        <f>BR$5-AO167</f>
        <v>#N/A</v>
      </c>
      <c r="BS167" s="60" t="e">
        <f>BS$5-AP167</f>
        <v>#N/A</v>
      </c>
      <c r="BT167" s="60" t="e">
        <f>BT$5-AQ167</f>
        <v>#N/A</v>
      </c>
      <c r="BV167" s="60" cm="1">
        <f t="array" aca="1" ref="BV167" ca="1">SQRT(SUMSQ(_xlfn._xlws.FILTER(AV167:BT167,ISNUMBER(AV167:BT167)))/COUNT(_xlfn._xlws.FILTER(AV167:BT167,ISNUMBER(AV167:BT167))))</f>
        <v>8.1656126337010502</v>
      </c>
    </row>
    <row r="168" spans="3:74" x14ac:dyDescent="0.2">
      <c r="C168" s="60" t="s">
        <v>410</v>
      </c>
      <c r="D168" s="60">
        <v>0</v>
      </c>
      <c r="E168" s="60">
        <v>2</v>
      </c>
      <c r="F168" s="60">
        <v>-3</v>
      </c>
      <c r="G168" s="60">
        <v>-8</v>
      </c>
      <c r="H168" s="60">
        <v>-14</v>
      </c>
      <c r="I168" s="60">
        <v>-12</v>
      </c>
      <c r="J168" s="60">
        <v>-11</v>
      </c>
      <c r="K168" s="60">
        <v>-9</v>
      </c>
      <c r="L168" s="60">
        <v>-7</v>
      </c>
      <c r="M168" s="60">
        <v>-5</v>
      </c>
      <c r="N168" s="60">
        <v>-4</v>
      </c>
      <c r="O168" s="60">
        <v>-2</v>
      </c>
      <c r="P168" s="60">
        <v>0</v>
      </c>
      <c r="R168" s="61">
        <f>(ROW(R168)-ROW($C$6))</f>
        <v>162</v>
      </c>
      <c r="S168" s="60">
        <f ca="1">100+HLOOKUP(S$4,$D$7:$P$336,$R168,FALSE)-HLOOKUP(S$3,$D$7:$P$336,$R168,FALSE)</f>
        <v>91</v>
      </c>
      <c r="T168" s="60">
        <f ca="1">100+HLOOKUP(T$4,$D$7:$P$336,$R168,FALSE)-HLOOKUP(T$3,$D$7:$P$336,$R168,FALSE)</f>
        <v>91</v>
      </c>
      <c r="U168" s="60">
        <f ca="1">100+HLOOKUP(U$4,$D$7:$P$336,$R168,FALSE)-HLOOKUP(U$3,$D$7:$P$336,$R168,FALSE)</f>
        <v>91</v>
      </c>
      <c r="V168" s="60">
        <f ca="1">100+HLOOKUP(V$4,$D$7:$P$336,$R168,FALSE)-HLOOKUP(V$3,$D$7:$P$336,$R168,FALSE)</f>
        <v>92</v>
      </c>
      <c r="W168" s="60">
        <f ca="1">100+HLOOKUP(W$4,$D$7:$P$336,$R168,FALSE)-HLOOKUP(W$3,$D$7:$P$336,$R168,FALSE)</f>
        <v>91</v>
      </c>
      <c r="X168" s="60">
        <f ca="1">100+HLOOKUP(X$4,$D$7:$P$336,$R168,FALSE)-HLOOKUP(X$3,$D$7:$P$336,$R168,FALSE)</f>
        <v>91</v>
      </c>
      <c r="Y168" s="60">
        <f ca="1">100+HLOOKUP(Y$4,$D$7:$P$336,$R168,FALSE)-HLOOKUP(Y$3,$D$7:$P$336,$R168,FALSE)</f>
        <v>91</v>
      </c>
      <c r="Z168" s="60">
        <f ca="1">100+HLOOKUP(Z$4,$D$7:$P$336,$R168,FALSE)-HLOOKUP(Z$3,$D$7:$P$336,$R168,FALSE)</f>
        <v>91</v>
      </c>
      <c r="AA168" s="60">
        <f ca="1">100+HLOOKUP(AA$4,$D$7:$P$336,$R168,FALSE)-HLOOKUP(AA$3,$D$7:$P$336,$R168,FALSE)</f>
        <v>92</v>
      </c>
      <c r="AB168" s="60">
        <f ca="1">100+HLOOKUP(AB$4,$D$7:$P$336,$R168,FALSE)-HLOOKUP(AB$3,$D$7:$P$336,$R168,FALSE)</f>
        <v>91</v>
      </c>
      <c r="AC168" s="60">
        <f ca="1">100+HLOOKUP(AC$4,$D$7:$P$336,$R168,FALSE)-HLOOKUP(AC$3,$D$7:$P$336,$R168,FALSE)</f>
        <v>98</v>
      </c>
      <c r="AD168" s="60">
        <f ca="1">100+HLOOKUP(AD$4,$D$7:$P$336,$R168,FALSE)-HLOOKUP(AD$3,$D$7:$P$336,$R168,FALSE)</f>
        <v>112</v>
      </c>
      <c r="AE168" s="60">
        <f ca="1">100+HLOOKUP(AE$4,$D$7:$P$336,$R168,FALSE)-HLOOKUP(AE$3,$D$7:$P$336,$R168,FALSE)</f>
        <v>113</v>
      </c>
      <c r="AF168" s="60">
        <f ca="1">100+HLOOKUP(AF$4,$D$7:$P$336,$R168,FALSE)-HLOOKUP(AF$3,$D$7:$P$336,$R168,FALSE)</f>
        <v>99</v>
      </c>
      <c r="AG168" s="60">
        <f ca="1">100+HLOOKUP(AG$4,$D$7:$P$336,$R168,FALSE)-HLOOKUP(AG$3,$D$7:$P$336,$R168,FALSE)</f>
        <v>92</v>
      </c>
      <c r="AH168" s="60" t="e">
        <f>100+HLOOKUP(AH$4,$D$7:$P$336,$R168,FALSE)-HLOOKUP(AH$3,$D$7:$P$336,$R168,FALSE)</f>
        <v>#N/A</v>
      </c>
      <c r="AI168" s="60" t="e">
        <f>100+HLOOKUP(AI$4,$D$7:$P$336,$R168,FALSE)-HLOOKUP(AI$3,$D$7:$P$336,$R168,FALSE)</f>
        <v>#N/A</v>
      </c>
      <c r="AJ168" s="60" t="e">
        <f>100+HLOOKUP(AJ$4,$D$7:$P$336,$R168,FALSE)-HLOOKUP(AJ$3,$D$7:$P$336,$R168,FALSE)</f>
        <v>#N/A</v>
      </c>
      <c r="AK168" s="60" t="e">
        <f>100+HLOOKUP(AK$4,$D$7:$P$336,$R168,FALSE)-HLOOKUP(AK$3,$D$7:$P$336,$R168,FALSE)</f>
        <v>#N/A</v>
      </c>
      <c r="AL168" s="60" t="e">
        <f>100+HLOOKUP(AL$4,$D$7:$P$336,$R168,FALSE)-HLOOKUP(AL$3,$D$7:$P$336,$R168,FALSE)</f>
        <v>#N/A</v>
      </c>
      <c r="AM168" s="60" t="e">
        <f>100+HLOOKUP(AM$4,$D$7:$P$336,$R168,FALSE)-HLOOKUP(AM$3,$D$7:$P$336,$R168,FALSE)</f>
        <v>#N/A</v>
      </c>
      <c r="AN168" s="60" t="e">
        <f>100+HLOOKUP(AN$4,$D$7:$P$336,$R168,FALSE)-HLOOKUP(AN$3,$D$7:$P$336,$R168,FALSE)</f>
        <v>#N/A</v>
      </c>
      <c r="AO168" s="60" t="e">
        <f>100+HLOOKUP(AO$4,$D$7:$P$336,$R168,FALSE)-HLOOKUP(AO$3,$D$7:$P$336,$R168,FALSE)</f>
        <v>#N/A</v>
      </c>
      <c r="AP168" s="60" t="e">
        <f>100+HLOOKUP(AP$4,$D$7:$P$336,$R168,FALSE)-HLOOKUP(AP$3,$D$7:$P$336,$R168,FALSE)</f>
        <v>#N/A</v>
      </c>
      <c r="AQ168" s="60" t="e">
        <f>100+HLOOKUP(AQ$4,$D$7:$P$336,$R168,FALSE)-HLOOKUP(AQ$3,$D$7:$P$336,$R168,FALSE)</f>
        <v>#N/A</v>
      </c>
      <c r="AV168" s="60">
        <f ca="1">AV$5-S168</f>
        <v>12.190399426796432</v>
      </c>
      <c r="AW168" s="60">
        <f ca="1">AW$5-T168</f>
        <v>3.2206505297577479</v>
      </c>
      <c r="AX168" s="60">
        <f ca="1">AX$5-U168</f>
        <v>10.775915403668051</v>
      </c>
      <c r="AY168" s="60">
        <f ca="1">AY$5-V168</f>
        <v>1.6030144015278012</v>
      </c>
      <c r="AZ168" s="60">
        <f ca="1">AZ$5-W168</f>
        <v>6.4544821725960304</v>
      </c>
      <c r="BA168" s="60">
        <f ca="1">BA$5-X168</f>
        <v>7.4650590589827033</v>
      </c>
      <c r="BB168" s="60">
        <f ca="1">BB$5-Y168</f>
        <v>2.3505927273811267</v>
      </c>
      <c r="BC168" s="60">
        <f ca="1">BC$5-Z168</f>
        <v>16.437465909882164</v>
      </c>
      <c r="BD168" s="60">
        <f ca="1">BD$5-AA168</f>
        <v>5.936518664382362</v>
      </c>
      <c r="BE168" s="60">
        <f ca="1">BE$5-AB168</f>
        <v>0.829390591992194</v>
      </c>
      <c r="BF168" s="60">
        <f ca="1">BF$5-AC168</f>
        <v>3.0173043164770803</v>
      </c>
      <c r="BG168" s="60">
        <f ca="1">BG$5-AD168</f>
        <v>-8.0147412949814907</v>
      </c>
      <c r="BH168" s="60">
        <f ca="1">BH$5-AE168</f>
        <v>-14.045407769632433</v>
      </c>
      <c r="BI168" s="60">
        <f ca="1">BI$5-AF168</f>
        <v>-8.3914944887451952</v>
      </c>
      <c r="BJ168" s="60">
        <f ca="1">BJ$5-AG168</f>
        <v>-0.56044894232122999</v>
      </c>
      <c r="BK168" s="60" t="e">
        <f>BK$5-AH168</f>
        <v>#N/A</v>
      </c>
      <c r="BL168" s="60" t="e">
        <f>BL$5-AI168</f>
        <v>#N/A</v>
      </c>
      <c r="BM168" s="60" t="e">
        <f>BM$5-AJ168</f>
        <v>#N/A</v>
      </c>
      <c r="BN168" s="60" t="e">
        <f>BN$5-AK168</f>
        <v>#N/A</v>
      </c>
      <c r="BO168" s="60" t="e">
        <f>BO$5-AL168</f>
        <v>#N/A</v>
      </c>
      <c r="BP168" s="60" t="e">
        <f>BP$5-AM168</f>
        <v>#N/A</v>
      </c>
      <c r="BQ168" s="60" t="e">
        <f>BQ$5-AN168</f>
        <v>#N/A</v>
      </c>
      <c r="BR168" s="60" t="e">
        <f>BR$5-AO168</f>
        <v>#N/A</v>
      </c>
      <c r="BS168" s="60" t="e">
        <f>BS$5-AP168</f>
        <v>#N/A</v>
      </c>
      <c r="BT168" s="60" t="e">
        <f>BT$5-AQ168</f>
        <v>#N/A</v>
      </c>
      <c r="BV168" s="60" cm="1">
        <f t="array" aca="1" ref="BV168" ca="1">SQRT(SUMSQ(_xlfn._xlws.FILTER(AV168:BT168,ISNUMBER(AV168:BT168)))/COUNT(_xlfn._xlws.FILTER(AV168:BT168,ISNUMBER(AV168:BT168))))</f>
        <v>8.2786736567093389</v>
      </c>
    </row>
    <row r="169" spans="3:74" x14ac:dyDescent="0.2">
      <c r="C169" s="60" t="s">
        <v>197</v>
      </c>
      <c r="D169" s="60">
        <v>0</v>
      </c>
      <c r="E169" s="60">
        <v>2</v>
      </c>
      <c r="F169" s="60">
        <v>0</v>
      </c>
      <c r="G169" s="60">
        <v>2</v>
      </c>
      <c r="H169" s="60">
        <v>1</v>
      </c>
      <c r="I169" s="60">
        <v>3</v>
      </c>
      <c r="J169" s="60">
        <v>-1</v>
      </c>
      <c r="K169" s="60">
        <v>0</v>
      </c>
      <c r="L169" s="60">
        <v>2</v>
      </c>
      <c r="M169" s="60">
        <v>-6</v>
      </c>
      <c r="N169" s="60">
        <v>-4</v>
      </c>
      <c r="O169" s="60">
        <v>-2</v>
      </c>
      <c r="P169" s="60">
        <v>0</v>
      </c>
      <c r="R169" s="61">
        <f>(ROW(R169)-ROW($C$6))</f>
        <v>163</v>
      </c>
      <c r="S169" s="60">
        <f ca="1">100+HLOOKUP(S$4,$D$7:$P$336,$R169,FALSE)-HLOOKUP(S$3,$D$7:$P$336,$R169,FALSE)</f>
        <v>107</v>
      </c>
      <c r="T169" s="60">
        <f ca="1">100+HLOOKUP(T$4,$D$7:$P$336,$R169,FALSE)-HLOOKUP(T$3,$D$7:$P$336,$R169,FALSE)</f>
        <v>101</v>
      </c>
      <c r="U169" s="60">
        <f ca="1">100+HLOOKUP(U$4,$D$7:$P$336,$R169,FALSE)-HLOOKUP(U$3,$D$7:$P$336,$R169,FALSE)</f>
        <v>100</v>
      </c>
      <c r="V169" s="60">
        <f ca="1">100+HLOOKUP(V$4,$D$7:$P$336,$R169,FALSE)-HLOOKUP(V$3,$D$7:$P$336,$R169,FALSE)</f>
        <v>107</v>
      </c>
      <c r="W169" s="60">
        <f ca="1">100+HLOOKUP(W$4,$D$7:$P$336,$R169,FALSE)-HLOOKUP(W$3,$D$7:$P$336,$R169,FALSE)</f>
        <v>100</v>
      </c>
      <c r="X169" s="60">
        <f ca="1">100+HLOOKUP(X$4,$D$7:$P$336,$R169,FALSE)-HLOOKUP(X$3,$D$7:$P$336,$R169,FALSE)</f>
        <v>107</v>
      </c>
      <c r="Y169" s="60">
        <f ca="1">100+HLOOKUP(Y$4,$D$7:$P$336,$R169,FALSE)-HLOOKUP(Y$3,$D$7:$P$336,$R169,FALSE)</f>
        <v>101</v>
      </c>
      <c r="Z169" s="60">
        <f ca="1">100+HLOOKUP(Z$4,$D$7:$P$336,$R169,FALSE)-HLOOKUP(Z$3,$D$7:$P$336,$R169,FALSE)</f>
        <v>100</v>
      </c>
      <c r="AA169" s="60">
        <f ca="1">100+HLOOKUP(AA$4,$D$7:$P$336,$R169,FALSE)-HLOOKUP(AA$3,$D$7:$P$336,$R169,FALSE)</f>
        <v>107</v>
      </c>
      <c r="AB169" s="60">
        <f ca="1">100+HLOOKUP(AB$4,$D$7:$P$336,$R169,FALSE)-HLOOKUP(AB$3,$D$7:$P$336,$R169,FALSE)</f>
        <v>100</v>
      </c>
      <c r="AC169" s="60">
        <f ca="1">100+HLOOKUP(AC$4,$D$7:$P$336,$R169,FALSE)-HLOOKUP(AC$3,$D$7:$P$336,$R169,FALSE)</f>
        <v>94</v>
      </c>
      <c r="AD169" s="60">
        <f ca="1">100+HLOOKUP(AD$4,$D$7:$P$336,$R169,FALSE)-HLOOKUP(AD$3,$D$7:$P$336,$R169,FALSE)</f>
        <v>97</v>
      </c>
      <c r="AE169" s="60">
        <f ca="1">100+HLOOKUP(AE$4,$D$7:$P$336,$R169,FALSE)-HLOOKUP(AE$3,$D$7:$P$336,$R169,FALSE)</f>
        <v>103</v>
      </c>
      <c r="AF169" s="60">
        <f ca="1">100+HLOOKUP(AF$4,$D$7:$P$336,$R169,FALSE)-HLOOKUP(AF$3,$D$7:$P$336,$R169,FALSE)</f>
        <v>100</v>
      </c>
      <c r="AG169" s="60">
        <f ca="1">100+HLOOKUP(AG$4,$D$7:$P$336,$R169,FALSE)-HLOOKUP(AG$3,$D$7:$P$336,$R169,FALSE)</f>
        <v>107</v>
      </c>
      <c r="AH169" s="60" t="e">
        <f>100+HLOOKUP(AH$4,$D$7:$P$336,$R169,FALSE)-HLOOKUP(AH$3,$D$7:$P$336,$R169,FALSE)</f>
        <v>#N/A</v>
      </c>
      <c r="AI169" s="60" t="e">
        <f>100+HLOOKUP(AI$4,$D$7:$P$336,$R169,FALSE)-HLOOKUP(AI$3,$D$7:$P$336,$R169,FALSE)</f>
        <v>#N/A</v>
      </c>
      <c r="AJ169" s="60" t="e">
        <f>100+HLOOKUP(AJ$4,$D$7:$P$336,$R169,FALSE)-HLOOKUP(AJ$3,$D$7:$P$336,$R169,FALSE)</f>
        <v>#N/A</v>
      </c>
      <c r="AK169" s="60" t="e">
        <f>100+HLOOKUP(AK$4,$D$7:$P$336,$R169,FALSE)-HLOOKUP(AK$3,$D$7:$P$336,$R169,FALSE)</f>
        <v>#N/A</v>
      </c>
      <c r="AL169" s="60" t="e">
        <f>100+HLOOKUP(AL$4,$D$7:$P$336,$R169,FALSE)-HLOOKUP(AL$3,$D$7:$P$336,$R169,FALSE)</f>
        <v>#N/A</v>
      </c>
      <c r="AM169" s="60" t="e">
        <f>100+HLOOKUP(AM$4,$D$7:$P$336,$R169,FALSE)-HLOOKUP(AM$3,$D$7:$P$336,$R169,FALSE)</f>
        <v>#N/A</v>
      </c>
      <c r="AN169" s="60" t="e">
        <f>100+HLOOKUP(AN$4,$D$7:$P$336,$R169,FALSE)-HLOOKUP(AN$3,$D$7:$P$336,$R169,FALSE)</f>
        <v>#N/A</v>
      </c>
      <c r="AO169" s="60" t="e">
        <f>100+HLOOKUP(AO$4,$D$7:$P$336,$R169,FALSE)-HLOOKUP(AO$3,$D$7:$P$336,$R169,FALSE)</f>
        <v>#N/A</v>
      </c>
      <c r="AP169" s="60" t="e">
        <f>100+HLOOKUP(AP$4,$D$7:$P$336,$R169,FALSE)-HLOOKUP(AP$3,$D$7:$P$336,$R169,FALSE)</f>
        <v>#N/A</v>
      </c>
      <c r="AQ169" s="60" t="e">
        <f>100+HLOOKUP(AQ$4,$D$7:$P$336,$R169,FALSE)-HLOOKUP(AQ$3,$D$7:$P$336,$R169,FALSE)</f>
        <v>#N/A</v>
      </c>
      <c r="AV169" s="60">
        <f ca="1">AV$5-S169</f>
        <v>-3.8096005732035678</v>
      </c>
      <c r="AW169" s="60">
        <f ca="1">AW$5-T169</f>
        <v>-6.7793494702422521</v>
      </c>
      <c r="AX169" s="60">
        <f ca="1">AX$5-U169</f>
        <v>1.7759154036680513</v>
      </c>
      <c r="AY169" s="60">
        <f ca="1">AY$5-V169</f>
        <v>-13.396985598472199</v>
      </c>
      <c r="AZ169" s="60">
        <f ca="1">AZ$5-W169</f>
        <v>-2.5455178274039696</v>
      </c>
      <c r="BA169" s="60">
        <f ca="1">BA$5-X169</f>
        <v>-8.5349409410172967</v>
      </c>
      <c r="BB169" s="60">
        <f ca="1">BB$5-Y169</f>
        <v>-7.6494072726188733</v>
      </c>
      <c r="BC169" s="60">
        <f ca="1">BC$5-Z169</f>
        <v>7.4374659098821638</v>
      </c>
      <c r="BD169" s="60">
        <f ca="1">BD$5-AA169</f>
        <v>-9.063481335617638</v>
      </c>
      <c r="BE169" s="60">
        <f ca="1">BE$5-AB169</f>
        <v>-8.170609408007806</v>
      </c>
      <c r="BF169" s="60">
        <f ca="1">BF$5-AC169</f>
        <v>7.0173043164770803</v>
      </c>
      <c r="BG169" s="60">
        <f ca="1">BG$5-AD169</f>
        <v>6.9852587050185093</v>
      </c>
      <c r="BH169" s="60">
        <f ca="1">BH$5-AE169</f>
        <v>-4.0454077696324333</v>
      </c>
      <c r="BI169" s="60">
        <f ca="1">BI$5-AF169</f>
        <v>-9.3914944887451952</v>
      </c>
      <c r="BJ169" s="60">
        <f ca="1">BJ$5-AG169</f>
        <v>-15.56044894232123</v>
      </c>
      <c r="BK169" s="60" t="e">
        <f>BK$5-AH169</f>
        <v>#N/A</v>
      </c>
      <c r="BL169" s="60" t="e">
        <f>BL$5-AI169</f>
        <v>#N/A</v>
      </c>
      <c r="BM169" s="60" t="e">
        <f>BM$5-AJ169</f>
        <v>#N/A</v>
      </c>
      <c r="BN169" s="60" t="e">
        <f>BN$5-AK169</f>
        <v>#N/A</v>
      </c>
      <c r="BO169" s="60" t="e">
        <f>BO$5-AL169</f>
        <v>#N/A</v>
      </c>
      <c r="BP169" s="60" t="e">
        <f>BP$5-AM169</f>
        <v>#N/A</v>
      </c>
      <c r="BQ169" s="60" t="e">
        <f>BQ$5-AN169</f>
        <v>#N/A</v>
      </c>
      <c r="BR169" s="60" t="e">
        <f>BR$5-AO169</f>
        <v>#N/A</v>
      </c>
      <c r="BS169" s="60" t="e">
        <f>BS$5-AP169</f>
        <v>#N/A</v>
      </c>
      <c r="BT169" s="60" t="e">
        <f>BT$5-AQ169</f>
        <v>#N/A</v>
      </c>
      <c r="BV169" s="60" cm="1">
        <f t="array" aca="1" ref="BV169" ca="1">SQRT(SUMSQ(_xlfn._xlws.FILTER(AV169:BT169,ISNUMBER(AV169:BT169)))/COUNT(_xlfn._xlws.FILTER(AV169:BT169,ISNUMBER(AV169:BT169))))</f>
        <v>8.2861127121618043</v>
      </c>
    </row>
    <row r="170" spans="3:74" x14ac:dyDescent="0.2">
      <c r="C170" s="60" t="s">
        <v>367</v>
      </c>
      <c r="D170" s="60">
        <v>0</v>
      </c>
      <c r="E170" s="60">
        <v>-2</v>
      </c>
      <c r="F170" s="60">
        <v>-4</v>
      </c>
      <c r="G170" s="60">
        <v>-6</v>
      </c>
      <c r="H170" s="60">
        <v>-8</v>
      </c>
      <c r="I170" s="60">
        <v>-10</v>
      </c>
      <c r="J170" s="60">
        <v>-12</v>
      </c>
      <c r="K170" s="60">
        <v>-14</v>
      </c>
      <c r="L170" s="60">
        <v>-10</v>
      </c>
      <c r="M170" s="60">
        <v>-6</v>
      </c>
      <c r="N170" s="60">
        <v>-2</v>
      </c>
      <c r="O170" s="60">
        <v>2</v>
      </c>
      <c r="P170" s="60">
        <v>0</v>
      </c>
      <c r="R170" s="61">
        <f>(ROW(R170)-ROW($C$6))</f>
        <v>164</v>
      </c>
      <c r="S170" s="60">
        <f ca="1">100+HLOOKUP(S$4,$D$7:$P$336,$R170,FALSE)-HLOOKUP(S$3,$D$7:$P$336,$R170,FALSE)</f>
        <v>98</v>
      </c>
      <c r="T170" s="60">
        <f ca="1">100+HLOOKUP(T$4,$D$7:$P$336,$R170,FALSE)-HLOOKUP(T$3,$D$7:$P$336,$R170,FALSE)</f>
        <v>86</v>
      </c>
      <c r="U170" s="60">
        <f ca="1">100+HLOOKUP(U$4,$D$7:$P$336,$R170,FALSE)-HLOOKUP(U$3,$D$7:$P$336,$R170,FALSE)</f>
        <v>92</v>
      </c>
      <c r="V170" s="60">
        <f ca="1">100+HLOOKUP(V$4,$D$7:$P$336,$R170,FALSE)-HLOOKUP(V$3,$D$7:$P$336,$R170,FALSE)</f>
        <v>92</v>
      </c>
      <c r="W170" s="60">
        <f ca="1">100+HLOOKUP(W$4,$D$7:$P$336,$R170,FALSE)-HLOOKUP(W$3,$D$7:$P$336,$R170,FALSE)</f>
        <v>86</v>
      </c>
      <c r="X170" s="60">
        <f ca="1">100+HLOOKUP(X$4,$D$7:$P$336,$R170,FALSE)-HLOOKUP(X$3,$D$7:$P$336,$R170,FALSE)</f>
        <v>98</v>
      </c>
      <c r="Y170" s="60">
        <f ca="1">100+HLOOKUP(Y$4,$D$7:$P$336,$R170,FALSE)-HLOOKUP(Y$3,$D$7:$P$336,$R170,FALSE)</f>
        <v>86</v>
      </c>
      <c r="Z170" s="60">
        <f ca="1">100+HLOOKUP(Z$4,$D$7:$P$336,$R170,FALSE)-HLOOKUP(Z$3,$D$7:$P$336,$R170,FALSE)</f>
        <v>92</v>
      </c>
      <c r="AA170" s="60">
        <f ca="1">100+HLOOKUP(AA$4,$D$7:$P$336,$R170,FALSE)-HLOOKUP(AA$3,$D$7:$P$336,$R170,FALSE)</f>
        <v>92</v>
      </c>
      <c r="AB170" s="60">
        <f ca="1">100+HLOOKUP(AB$4,$D$7:$P$336,$R170,FALSE)-HLOOKUP(AB$3,$D$7:$P$336,$R170,FALSE)</f>
        <v>86</v>
      </c>
      <c r="AC170" s="60">
        <f ca="1">100+HLOOKUP(AC$4,$D$7:$P$336,$R170,FALSE)-HLOOKUP(AC$3,$D$7:$P$336,$R170,FALSE)</f>
        <v>98</v>
      </c>
      <c r="AD170" s="60">
        <f ca="1">100+HLOOKUP(AD$4,$D$7:$P$336,$R170,FALSE)-HLOOKUP(AD$3,$D$7:$P$336,$R170,FALSE)</f>
        <v>110</v>
      </c>
      <c r="AE170" s="60">
        <f ca="1">100+HLOOKUP(AE$4,$D$7:$P$336,$R170,FALSE)-HLOOKUP(AE$3,$D$7:$P$336,$R170,FALSE)</f>
        <v>110</v>
      </c>
      <c r="AF170" s="60">
        <f ca="1">100+HLOOKUP(AF$4,$D$7:$P$336,$R170,FALSE)-HLOOKUP(AF$3,$D$7:$P$336,$R170,FALSE)</f>
        <v>104</v>
      </c>
      <c r="AG170" s="60">
        <f ca="1">100+HLOOKUP(AG$4,$D$7:$P$336,$R170,FALSE)-HLOOKUP(AG$3,$D$7:$P$336,$R170,FALSE)</f>
        <v>92</v>
      </c>
      <c r="AH170" s="60" t="e">
        <f>100+HLOOKUP(AH$4,$D$7:$P$336,$R170,FALSE)-HLOOKUP(AH$3,$D$7:$P$336,$R170,FALSE)</f>
        <v>#N/A</v>
      </c>
      <c r="AI170" s="60" t="e">
        <f>100+HLOOKUP(AI$4,$D$7:$P$336,$R170,FALSE)-HLOOKUP(AI$3,$D$7:$P$336,$R170,FALSE)</f>
        <v>#N/A</v>
      </c>
      <c r="AJ170" s="60" t="e">
        <f>100+HLOOKUP(AJ$4,$D$7:$P$336,$R170,FALSE)-HLOOKUP(AJ$3,$D$7:$P$336,$R170,FALSE)</f>
        <v>#N/A</v>
      </c>
      <c r="AK170" s="60" t="e">
        <f>100+HLOOKUP(AK$4,$D$7:$P$336,$R170,FALSE)-HLOOKUP(AK$3,$D$7:$P$336,$R170,FALSE)</f>
        <v>#N/A</v>
      </c>
      <c r="AL170" s="60" t="e">
        <f>100+HLOOKUP(AL$4,$D$7:$P$336,$R170,FALSE)-HLOOKUP(AL$3,$D$7:$P$336,$R170,FALSE)</f>
        <v>#N/A</v>
      </c>
      <c r="AM170" s="60" t="e">
        <f>100+HLOOKUP(AM$4,$D$7:$P$336,$R170,FALSE)-HLOOKUP(AM$3,$D$7:$P$336,$R170,FALSE)</f>
        <v>#N/A</v>
      </c>
      <c r="AN170" s="60" t="e">
        <f>100+HLOOKUP(AN$4,$D$7:$P$336,$R170,FALSE)-HLOOKUP(AN$3,$D$7:$P$336,$R170,FALSE)</f>
        <v>#N/A</v>
      </c>
      <c r="AO170" s="60" t="e">
        <f>100+HLOOKUP(AO$4,$D$7:$P$336,$R170,FALSE)-HLOOKUP(AO$3,$D$7:$P$336,$R170,FALSE)</f>
        <v>#N/A</v>
      </c>
      <c r="AP170" s="60" t="e">
        <f>100+HLOOKUP(AP$4,$D$7:$P$336,$R170,FALSE)-HLOOKUP(AP$3,$D$7:$P$336,$R170,FALSE)</f>
        <v>#N/A</v>
      </c>
      <c r="AQ170" s="60" t="e">
        <f>100+HLOOKUP(AQ$4,$D$7:$P$336,$R170,FALSE)-HLOOKUP(AQ$3,$D$7:$P$336,$R170,FALSE)</f>
        <v>#N/A</v>
      </c>
      <c r="AV170" s="60">
        <f ca="1">AV$5-S170</f>
        <v>5.1903994267964322</v>
      </c>
      <c r="AW170" s="60">
        <f ca="1">AW$5-T170</f>
        <v>8.2206505297577479</v>
      </c>
      <c r="AX170" s="60">
        <f ca="1">AX$5-U170</f>
        <v>9.7759154036680513</v>
      </c>
      <c r="AY170" s="60">
        <f ca="1">AY$5-V170</f>
        <v>1.6030144015278012</v>
      </c>
      <c r="AZ170" s="60">
        <f ca="1">AZ$5-W170</f>
        <v>11.45448217259603</v>
      </c>
      <c r="BA170" s="60">
        <f ca="1">BA$5-X170</f>
        <v>0.46505905898270328</v>
      </c>
      <c r="BB170" s="60">
        <f ca="1">BB$5-Y170</f>
        <v>7.3505927273811267</v>
      </c>
      <c r="BC170" s="60">
        <f ca="1">BC$5-Z170</f>
        <v>15.437465909882164</v>
      </c>
      <c r="BD170" s="60">
        <f ca="1">BD$5-AA170</f>
        <v>5.936518664382362</v>
      </c>
      <c r="BE170" s="60">
        <f ca="1">BE$5-AB170</f>
        <v>5.829390591992194</v>
      </c>
      <c r="BF170" s="60">
        <f ca="1">BF$5-AC170</f>
        <v>3.0173043164770803</v>
      </c>
      <c r="BG170" s="60">
        <f ca="1">BG$5-AD170</f>
        <v>-6.0147412949814907</v>
      </c>
      <c r="BH170" s="60">
        <f ca="1">BH$5-AE170</f>
        <v>-11.045407769632433</v>
      </c>
      <c r="BI170" s="60">
        <f ca="1">BI$5-AF170</f>
        <v>-13.391494488745195</v>
      </c>
      <c r="BJ170" s="60">
        <f ca="1">BJ$5-AG170</f>
        <v>-0.56044894232122999</v>
      </c>
      <c r="BK170" s="60" t="e">
        <f>BK$5-AH170</f>
        <v>#N/A</v>
      </c>
      <c r="BL170" s="60" t="e">
        <f>BL$5-AI170</f>
        <v>#N/A</v>
      </c>
      <c r="BM170" s="60" t="e">
        <f>BM$5-AJ170</f>
        <v>#N/A</v>
      </c>
      <c r="BN170" s="60" t="e">
        <f>BN$5-AK170</f>
        <v>#N/A</v>
      </c>
      <c r="BO170" s="60" t="e">
        <f>BO$5-AL170</f>
        <v>#N/A</v>
      </c>
      <c r="BP170" s="60" t="e">
        <f>BP$5-AM170</f>
        <v>#N/A</v>
      </c>
      <c r="BQ170" s="60" t="e">
        <f>BQ$5-AN170</f>
        <v>#N/A</v>
      </c>
      <c r="BR170" s="60" t="e">
        <f>BR$5-AO170</f>
        <v>#N/A</v>
      </c>
      <c r="BS170" s="60" t="e">
        <f>BS$5-AP170</f>
        <v>#N/A</v>
      </c>
      <c r="BT170" s="60" t="e">
        <f>BT$5-AQ170</f>
        <v>#N/A</v>
      </c>
      <c r="BV170" s="60" cm="1">
        <f t="array" aca="1" ref="BV170" ca="1">SQRT(SUMSQ(_xlfn._xlws.FILTER(AV170:BT170,ISNUMBER(AV170:BT170)))/COUNT(_xlfn._xlws.FILTER(AV170:BT170,ISNUMBER(AV170:BT170))))</f>
        <v>8.2968993187953135</v>
      </c>
    </row>
    <row r="171" spans="3:74" x14ac:dyDescent="0.2">
      <c r="C171" s="60" t="s">
        <v>315</v>
      </c>
      <c r="D171" s="60">
        <v>0</v>
      </c>
      <c r="E171" s="60">
        <v>2</v>
      </c>
      <c r="F171" s="60">
        <v>-18</v>
      </c>
      <c r="G171" s="60">
        <v>-16</v>
      </c>
      <c r="H171" s="60">
        <v>-14</v>
      </c>
      <c r="I171" s="60">
        <v>-12</v>
      </c>
      <c r="J171" s="60">
        <v>-10</v>
      </c>
      <c r="K171" s="60">
        <v>-8</v>
      </c>
      <c r="L171" s="60">
        <v>-8</v>
      </c>
      <c r="M171" s="60">
        <v>-6</v>
      </c>
      <c r="N171" s="60">
        <v>-4</v>
      </c>
      <c r="O171" s="60">
        <v>-2</v>
      </c>
      <c r="P171" s="60">
        <v>0</v>
      </c>
      <c r="R171" s="61">
        <f>(ROW(R171)-ROW($C$6))</f>
        <v>165</v>
      </c>
      <c r="S171" s="60">
        <f ca="1">100+HLOOKUP(S$4,$D$7:$P$336,$R171,FALSE)-HLOOKUP(S$3,$D$7:$P$336,$R171,FALSE)</f>
        <v>92</v>
      </c>
      <c r="T171" s="60">
        <f ca="1">100+HLOOKUP(T$4,$D$7:$P$336,$R171,FALSE)-HLOOKUP(T$3,$D$7:$P$336,$R171,FALSE)</f>
        <v>92</v>
      </c>
      <c r="U171" s="60">
        <f ca="1">100+HLOOKUP(U$4,$D$7:$P$336,$R171,FALSE)-HLOOKUP(U$3,$D$7:$P$336,$R171,FALSE)</f>
        <v>90</v>
      </c>
      <c r="V171" s="60">
        <f ca="1">100+HLOOKUP(V$4,$D$7:$P$336,$R171,FALSE)-HLOOKUP(V$3,$D$7:$P$336,$R171,FALSE)</f>
        <v>92</v>
      </c>
      <c r="W171" s="60">
        <f ca="1">100+HLOOKUP(W$4,$D$7:$P$336,$R171,FALSE)-HLOOKUP(W$3,$D$7:$P$336,$R171,FALSE)</f>
        <v>92</v>
      </c>
      <c r="X171" s="60">
        <f ca="1">100+HLOOKUP(X$4,$D$7:$P$336,$R171,FALSE)-HLOOKUP(X$3,$D$7:$P$336,$R171,FALSE)</f>
        <v>92</v>
      </c>
      <c r="Y171" s="60">
        <f ca="1">100+HLOOKUP(Y$4,$D$7:$P$336,$R171,FALSE)-HLOOKUP(Y$3,$D$7:$P$336,$R171,FALSE)</f>
        <v>92</v>
      </c>
      <c r="Z171" s="60">
        <f ca="1">100+HLOOKUP(Z$4,$D$7:$P$336,$R171,FALSE)-HLOOKUP(Z$3,$D$7:$P$336,$R171,FALSE)</f>
        <v>90</v>
      </c>
      <c r="AA171" s="60">
        <f ca="1">100+HLOOKUP(AA$4,$D$7:$P$336,$R171,FALSE)-HLOOKUP(AA$3,$D$7:$P$336,$R171,FALSE)</f>
        <v>92</v>
      </c>
      <c r="AB171" s="60">
        <f ca="1">100+HLOOKUP(AB$4,$D$7:$P$336,$R171,FALSE)-HLOOKUP(AB$3,$D$7:$P$336,$R171,FALSE)</f>
        <v>92</v>
      </c>
      <c r="AC171" s="60">
        <f ca="1">100+HLOOKUP(AC$4,$D$7:$P$336,$R171,FALSE)-HLOOKUP(AC$3,$D$7:$P$336,$R171,FALSE)</f>
        <v>112</v>
      </c>
      <c r="AD171" s="60">
        <f ca="1">100+HLOOKUP(AD$4,$D$7:$P$336,$R171,FALSE)-HLOOKUP(AD$3,$D$7:$P$336,$R171,FALSE)</f>
        <v>112</v>
      </c>
      <c r="AE171" s="60">
        <f ca="1">100+HLOOKUP(AE$4,$D$7:$P$336,$R171,FALSE)-HLOOKUP(AE$3,$D$7:$P$336,$R171,FALSE)</f>
        <v>112</v>
      </c>
      <c r="AF171" s="60">
        <f ca="1">100+HLOOKUP(AF$4,$D$7:$P$336,$R171,FALSE)-HLOOKUP(AF$3,$D$7:$P$336,$R171,FALSE)</f>
        <v>92</v>
      </c>
      <c r="AG171" s="60">
        <f ca="1">100+HLOOKUP(AG$4,$D$7:$P$336,$R171,FALSE)-HLOOKUP(AG$3,$D$7:$P$336,$R171,FALSE)</f>
        <v>92</v>
      </c>
      <c r="AH171" s="60" t="e">
        <f>100+HLOOKUP(AH$4,$D$7:$P$336,$R171,FALSE)-HLOOKUP(AH$3,$D$7:$P$336,$R171,FALSE)</f>
        <v>#N/A</v>
      </c>
      <c r="AI171" s="60" t="e">
        <f>100+HLOOKUP(AI$4,$D$7:$P$336,$R171,FALSE)-HLOOKUP(AI$3,$D$7:$P$336,$R171,FALSE)</f>
        <v>#N/A</v>
      </c>
      <c r="AJ171" s="60" t="e">
        <f>100+HLOOKUP(AJ$4,$D$7:$P$336,$R171,FALSE)-HLOOKUP(AJ$3,$D$7:$P$336,$R171,FALSE)</f>
        <v>#N/A</v>
      </c>
      <c r="AK171" s="60" t="e">
        <f>100+HLOOKUP(AK$4,$D$7:$P$336,$R171,FALSE)-HLOOKUP(AK$3,$D$7:$P$336,$R171,FALSE)</f>
        <v>#N/A</v>
      </c>
      <c r="AL171" s="60" t="e">
        <f>100+HLOOKUP(AL$4,$D$7:$P$336,$R171,FALSE)-HLOOKUP(AL$3,$D$7:$P$336,$R171,FALSE)</f>
        <v>#N/A</v>
      </c>
      <c r="AM171" s="60" t="e">
        <f>100+HLOOKUP(AM$4,$D$7:$P$336,$R171,FALSE)-HLOOKUP(AM$3,$D$7:$P$336,$R171,FALSE)</f>
        <v>#N/A</v>
      </c>
      <c r="AN171" s="60" t="e">
        <f>100+HLOOKUP(AN$4,$D$7:$P$336,$R171,FALSE)-HLOOKUP(AN$3,$D$7:$P$336,$R171,FALSE)</f>
        <v>#N/A</v>
      </c>
      <c r="AO171" s="60" t="e">
        <f>100+HLOOKUP(AO$4,$D$7:$P$336,$R171,FALSE)-HLOOKUP(AO$3,$D$7:$P$336,$R171,FALSE)</f>
        <v>#N/A</v>
      </c>
      <c r="AP171" s="60" t="e">
        <f>100+HLOOKUP(AP$4,$D$7:$P$336,$R171,FALSE)-HLOOKUP(AP$3,$D$7:$P$336,$R171,FALSE)</f>
        <v>#N/A</v>
      </c>
      <c r="AQ171" s="60" t="e">
        <f>100+HLOOKUP(AQ$4,$D$7:$P$336,$R171,FALSE)-HLOOKUP(AQ$3,$D$7:$P$336,$R171,FALSE)</f>
        <v>#N/A</v>
      </c>
      <c r="AV171" s="60">
        <f ca="1">AV$5-S171</f>
        <v>11.190399426796432</v>
      </c>
      <c r="AW171" s="60">
        <f ca="1">AW$5-T171</f>
        <v>2.2206505297577479</v>
      </c>
      <c r="AX171" s="60">
        <f ca="1">AX$5-U171</f>
        <v>11.775915403668051</v>
      </c>
      <c r="AY171" s="60">
        <f ca="1">AY$5-V171</f>
        <v>1.6030144015278012</v>
      </c>
      <c r="AZ171" s="60">
        <f ca="1">AZ$5-W171</f>
        <v>5.4544821725960304</v>
      </c>
      <c r="BA171" s="60">
        <f ca="1">BA$5-X171</f>
        <v>6.4650590589827033</v>
      </c>
      <c r="BB171" s="60">
        <f ca="1">BB$5-Y171</f>
        <v>1.3505927273811267</v>
      </c>
      <c r="BC171" s="60">
        <f ca="1">BC$5-Z171</f>
        <v>17.437465909882164</v>
      </c>
      <c r="BD171" s="60">
        <f ca="1">BD$5-AA171</f>
        <v>5.936518664382362</v>
      </c>
      <c r="BE171" s="60">
        <f ca="1">BE$5-AB171</f>
        <v>-0.170609408007806</v>
      </c>
      <c r="BF171" s="60">
        <f ca="1">BF$5-AC171</f>
        <v>-10.98269568352292</v>
      </c>
      <c r="BG171" s="60">
        <f ca="1">BG$5-AD171</f>
        <v>-8.0147412949814907</v>
      </c>
      <c r="BH171" s="60">
        <f ca="1">BH$5-AE171</f>
        <v>-13.045407769632433</v>
      </c>
      <c r="BI171" s="60">
        <f ca="1">BI$5-AF171</f>
        <v>-1.3914944887451952</v>
      </c>
      <c r="BJ171" s="60">
        <f ca="1">BJ$5-AG171</f>
        <v>-0.56044894232122999</v>
      </c>
      <c r="BK171" s="60" t="e">
        <f>BK$5-AH171</f>
        <v>#N/A</v>
      </c>
      <c r="BL171" s="60" t="e">
        <f>BL$5-AI171</f>
        <v>#N/A</v>
      </c>
      <c r="BM171" s="60" t="e">
        <f>BM$5-AJ171</f>
        <v>#N/A</v>
      </c>
      <c r="BN171" s="60" t="e">
        <f>BN$5-AK171</f>
        <v>#N/A</v>
      </c>
      <c r="BO171" s="60" t="e">
        <f>BO$5-AL171</f>
        <v>#N/A</v>
      </c>
      <c r="BP171" s="60" t="e">
        <f>BP$5-AM171</f>
        <v>#N/A</v>
      </c>
      <c r="BQ171" s="60" t="e">
        <f>BQ$5-AN171</f>
        <v>#N/A</v>
      </c>
      <c r="BR171" s="60" t="e">
        <f>BR$5-AO171</f>
        <v>#N/A</v>
      </c>
      <c r="BS171" s="60" t="e">
        <f>BS$5-AP171</f>
        <v>#N/A</v>
      </c>
      <c r="BT171" s="60" t="e">
        <f>BT$5-AQ171</f>
        <v>#N/A</v>
      </c>
      <c r="BV171" s="60" cm="1">
        <f t="array" aca="1" ref="BV171" ca="1">SQRT(SUMSQ(_xlfn._xlws.FILTER(AV171:BT171,ISNUMBER(AV171:BT171)))/COUNT(_xlfn._xlws.FILTER(AV171:BT171,ISNUMBER(AV171:BT171))))</f>
        <v>8.332250264618116</v>
      </c>
    </row>
    <row r="172" spans="3:74" x14ac:dyDescent="0.2">
      <c r="C172" s="60" t="s">
        <v>245</v>
      </c>
      <c r="D172" s="60">
        <v>0</v>
      </c>
      <c r="E172" s="60">
        <v>2</v>
      </c>
      <c r="F172" s="60">
        <v>4</v>
      </c>
      <c r="G172" s="60">
        <v>-16</v>
      </c>
      <c r="H172" s="60">
        <v>-14</v>
      </c>
      <c r="I172" s="60">
        <v>-12</v>
      </c>
      <c r="J172" s="60">
        <v>-10</v>
      </c>
      <c r="K172" s="60">
        <v>-10</v>
      </c>
      <c r="L172" s="60">
        <v>-8</v>
      </c>
      <c r="M172" s="60">
        <v>-6</v>
      </c>
      <c r="N172" s="60">
        <v>-4</v>
      </c>
      <c r="O172" s="60">
        <v>-2</v>
      </c>
      <c r="P172" s="60">
        <v>0</v>
      </c>
      <c r="R172" s="61">
        <f>(ROW(R172)-ROW($C$6))</f>
        <v>166</v>
      </c>
      <c r="S172" s="60">
        <f ca="1">100+HLOOKUP(S$4,$D$7:$P$336,$R172,FALSE)-HLOOKUP(S$3,$D$7:$P$336,$R172,FALSE)</f>
        <v>92</v>
      </c>
      <c r="T172" s="60">
        <f ca="1">100+HLOOKUP(T$4,$D$7:$P$336,$R172,FALSE)-HLOOKUP(T$3,$D$7:$P$336,$R172,FALSE)</f>
        <v>92</v>
      </c>
      <c r="U172" s="60">
        <f ca="1">100+HLOOKUP(U$4,$D$7:$P$336,$R172,FALSE)-HLOOKUP(U$3,$D$7:$P$336,$R172,FALSE)</f>
        <v>90</v>
      </c>
      <c r="V172" s="60">
        <f ca="1">100+HLOOKUP(V$4,$D$7:$P$336,$R172,FALSE)-HLOOKUP(V$3,$D$7:$P$336,$R172,FALSE)</f>
        <v>92</v>
      </c>
      <c r="W172" s="60">
        <f ca="1">100+HLOOKUP(W$4,$D$7:$P$336,$R172,FALSE)-HLOOKUP(W$3,$D$7:$P$336,$R172,FALSE)</f>
        <v>90</v>
      </c>
      <c r="X172" s="60">
        <f ca="1">100+HLOOKUP(X$4,$D$7:$P$336,$R172,FALSE)-HLOOKUP(X$3,$D$7:$P$336,$R172,FALSE)</f>
        <v>92</v>
      </c>
      <c r="Y172" s="60">
        <f ca="1">100+HLOOKUP(Y$4,$D$7:$P$336,$R172,FALSE)-HLOOKUP(Y$3,$D$7:$P$336,$R172,FALSE)</f>
        <v>92</v>
      </c>
      <c r="Z172" s="60">
        <f ca="1">100+HLOOKUP(Z$4,$D$7:$P$336,$R172,FALSE)-HLOOKUP(Z$3,$D$7:$P$336,$R172,FALSE)</f>
        <v>90</v>
      </c>
      <c r="AA172" s="60">
        <f ca="1">100+HLOOKUP(AA$4,$D$7:$P$336,$R172,FALSE)-HLOOKUP(AA$3,$D$7:$P$336,$R172,FALSE)</f>
        <v>92</v>
      </c>
      <c r="AB172" s="60">
        <f ca="1">100+HLOOKUP(AB$4,$D$7:$P$336,$R172,FALSE)-HLOOKUP(AB$3,$D$7:$P$336,$R172,FALSE)</f>
        <v>90</v>
      </c>
      <c r="AC172" s="60">
        <f ca="1">100+HLOOKUP(AC$4,$D$7:$P$336,$R172,FALSE)-HLOOKUP(AC$3,$D$7:$P$336,$R172,FALSE)</f>
        <v>90</v>
      </c>
      <c r="AD172" s="60">
        <f ca="1">100+HLOOKUP(AD$4,$D$7:$P$336,$R172,FALSE)-HLOOKUP(AD$3,$D$7:$P$336,$R172,FALSE)</f>
        <v>112</v>
      </c>
      <c r="AE172" s="60">
        <f ca="1">100+HLOOKUP(AE$4,$D$7:$P$336,$R172,FALSE)-HLOOKUP(AE$3,$D$7:$P$336,$R172,FALSE)</f>
        <v>112</v>
      </c>
      <c r="AF172" s="60">
        <f ca="1">100+HLOOKUP(AF$4,$D$7:$P$336,$R172,FALSE)-HLOOKUP(AF$3,$D$7:$P$336,$R172,FALSE)</f>
        <v>92</v>
      </c>
      <c r="AG172" s="60">
        <f ca="1">100+HLOOKUP(AG$4,$D$7:$P$336,$R172,FALSE)-HLOOKUP(AG$3,$D$7:$P$336,$R172,FALSE)</f>
        <v>92</v>
      </c>
      <c r="AH172" s="60" t="e">
        <f>100+HLOOKUP(AH$4,$D$7:$P$336,$R172,FALSE)-HLOOKUP(AH$3,$D$7:$P$336,$R172,FALSE)</f>
        <v>#N/A</v>
      </c>
      <c r="AI172" s="60" t="e">
        <f>100+HLOOKUP(AI$4,$D$7:$P$336,$R172,FALSE)-HLOOKUP(AI$3,$D$7:$P$336,$R172,FALSE)</f>
        <v>#N/A</v>
      </c>
      <c r="AJ172" s="60" t="e">
        <f>100+HLOOKUP(AJ$4,$D$7:$P$336,$R172,FALSE)-HLOOKUP(AJ$3,$D$7:$P$336,$R172,FALSE)</f>
        <v>#N/A</v>
      </c>
      <c r="AK172" s="60" t="e">
        <f>100+HLOOKUP(AK$4,$D$7:$P$336,$R172,FALSE)-HLOOKUP(AK$3,$D$7:$P$336,$R172,FALSE)</f>
        <v>#N/A</v>
      </c>
      <c r="AL172" s="60" t="e">
        <f>100+HLOOKUP(AL$4,$D$7:$P$336,$R172,FALSE)-HLOOKUP(AL$3,$D$7:$P$336,$R172,FALSE)</f>
        <v>#N/A</v>
      </c>
      <c r="AM172" s="60" t="e">
        <f>100+HLOOKUP(AM$4,$D$7:$P$336,$R172,FALSE)-HLOOKUP(AM$3,$D$7:$P$336,$R172,FALSE)</f>
        <v>#N/A</v>
      </c>
      <c r="AN172" s="60" t="e">
        <f>100+HLOOKUP(AN$4,$D$7:$P$336,$R172,FALSE)-HLOOKUP(AN$3,$D$7:$P$336,$R172,FALSE)</f>
        <v>#N/A</v>
      </c>
      <c r="AO172" s="60" t="e">
        <f>100+HLOOKUP(AO$4,$D$7:$P$336,$R172,FALSE)-HLOOKUP(AO$3,$D$7:$P$336,$R172,FALSE)</f>
        <v>#N/A</v>
      </c>
      <c r="AP172" s="60" t="e">
        <f>100+HLOOKUP(AP$4,$D$7:$P$336,$R172,FALSE)-HLOOKUP(AP$3,$D$7:$P$336,$R172,FALSE)</f>
        <v>#N/A</v>
      </c>
      <c r="AQ172" s="60" t="e">
        <f>100+HLOOKUP(AQ$4,$D$7:$P$336,$R172,FALSE)-HLOOKUP(AQ$3,$D$7:$P$336,$R172,FALSE)</f>
        <v>#N/A</v>
      </c>
      <c r="AV172" s="60">
        <f ca="1">AV$5-S172</f>
        <v>11.190399426796432</v>
      </c>
      <c r="AW172" s="60">
        <f ca="1">AW$5-T172</f>
        <v>2.2206505297577479</v>
      </c>
      <c r="AX172" s="60">
        <f ca="1">AX$5-U172</f>
        <v>11.775915403668051</v>
      </c>
      <c r="AY172" s="60">
        <f ca="1">AY$5-V172</f>
        <v>1.6030144015278012</v>
      </c>
      <c r="AZ172" s="60">
        <f ca="1">AZ$5-W172</f>
        <v>7.4544821725960304</v>
      </c>
      <c r="BA172" s="60">
        <f ca="1">BA$5-X172</f>
        <v>6.4650590589827033</v>
      </c>
      <c r="BB172" s="60">
        <f ca="1">BB$5-Y172</f>
        <v>1.3505927273811267</v>
      </c>
      <c r="BC172" s="60">
        <f ca="1">BC$5-Z172</f>
        <v>17.437465909882164</v>
      </c>
      <c r="BD172" s="60">
        <f ca="1">BD$5-AA172</f>
        <v>5.936518664382362</v>
      </c>
      <c r="BE172" s="60">
        <f ca="1">BE$5-AB172</f>
        <v>1.829390591992194</v>
      </c>
      <c r="BF172" s="60">
        <f ca="1">BF$5-AC172</f>
        <v>11.01730431647708</v>
      </c>
      <c r="BG172" s="60">
        <f ca="1">BG$5-AD172</f>
        <v>-8.0147412949814907</v>
      </c>
      <c r="BH172" s="60">
        <f ca="1">BH$5-AE172</f>
        <v>-13.045407769632433</v>
      </c>
      <c r="BI172" s="60">
        <f ca="1">BI$5-AF172</f>
        <v>-1.3914944887451952</v>
      </c>
      <c r="BJ172" s="60">
        <f ca="1">BJ$5-AG172</f>
        <v>-0.56044894232122999</v>
      </c>
      <c r="BK172" s="60" t="e">
        <f>BK$5-AH172</f>
        <v>#N/A</v>
      </c>
      <c r="BL172" s="60" t="e">
        <f>BL$5-AI172</f>
        <v>#N/A</v>
      </c>
      <c r="BM172" s="60" t="e">
        <f>BM$5-AJ172</f>
        <v>#N/A</v>
      </c>
      <c r="BN172" s="60" t="e">
        <f>BN$5-AK172</f>
        <v>#N/A</v>
      </c>
      <c r="BO172" s="60" t="e">
        <f>BO$5-AL172</f>
        <v>#N/A</v>
      </c>
      <c r="BP172" s="60" t="e">
        <f>BP$5-AM172</f>
        <v>#N/A</v>
      </c>
      <c r="BQ172" s="60" t="e">
        <f>BQ$5-AN172</f>
        <v>#N/A</v>
      </c>
      <c r="BR172" s="60" t="e">
        <f>BR$5-AO172</f>
        <v>#N/A</v>
      </c>
      <c r="BS172" s="60" t="e">
        <f>BS$5-AP172</f>
        <v>#N/A</v>
      </c>
      <c r="BT172" s="60" t="e">
        <f>BT$5-AQ172</f>
        <v>#N/A</v>
      </c>
      <c r="BV172" s="60" cm="1">
        <f t="array" aca="1" ref="BV172" ca="1">SQRT(SUMSQ(_xlfn._xlws.FILTER(AV172:BT172,ISNUMBER(AV172:BT172)))/COUNT(_xlfn._xlws.FILTER(AV172:BT172,ISNUMBER(AV172:BT172))))</f>
        <v>8.4510070329587528</v>
      </c>
    </row>
    <row r="173" spans="3:74" x14ac:dyDescent="0.2">
      <c r="C173" s="60" t="s">
        <v>432</v>
      </c>
      <c r="D173" s="60">
        <v>0</v>
      </c>
      <c r="E173" s="60">
        <v>2</v>
      </c>
      <c r="F173" s="60">
        <v>-8</v>
      </c>
      <c r="G173" s="60">
        <v>-6</v>
      </c>
      <c r="H173" s="60">
        <v>-4</v>
      </c>
      <c r="I173" s="60">
        <v>-2</v>
      </c>
      <c r="J173" s="60">
        <v>-12</v>
      </c>
      <c r="K173" s="60">
        <v>-10</v>
      </c>
      <c r="L173" s="60">
        <v>-8</v>
      </c>
      <c r="M173" s="60">
        <v>-6</v>
      </c>
      <c r="N173" s="60">
        <v>-4</v>
      </c>
      <c r="O173" s="60">
        <v>-2</v>
      </c>
      <c r="P173" s="60">
        <v>0</v>
      </c>
      <c r="R173" s="61">
        <f>(ROW(R173)-ROW($C$6))</f>
        <v>167</v>
      </c>
      <c r="S173" s="60">
        <f ca="1">100+HLOOKUP(S$4,$D$7:$P$336,$R173,FALSE)-HLOOKUP(S$3,$D$7:$P$336,$R173,FALSE)</f>
        <v>102</v>
      </c>
      <c r="T173" s="60">
        <f ca="1">100+HLOOKUP(T$4,$D$7:$P$336,$R173,FALSE)-HLOOKUP(T$3,$D$7:$P$336,$R173,FALSE)</f>
        <v>90</v>
      </c>
      <c r="U173" s="60">
        <f ca="1">100+HLOOKUP(U$4,$D$7:$P$336,$R173,FALSE)-HLOOKUP(U$3,$D$7:$P$336,$R173,FALSE)</f>
        <v>90</v>
      </c>
      <c r="V173" s="60">
        <f ca="1">100+HLOOKUP(V$4,$D$7:$P$336,$R173,FALSE)-HLOOKUP(V$3,$D$7:$P$336,$R173,FALSE)</f>
        <v>102</v>
      </c>
      <c r="W173" s="60">
        <f ca="1">100+HLOOKUP(W$4,$D$7:$P$336,$R173,FALSE)-HLOOKUP(W$3,$D$7:$P$336,$R173,FALSE)</f>
        <v>90</v>
      </c>
      <c r="X173" s="60">
        <f ca="1">100+HLOOKUP(X$4,$D$7:$P$336,$R173,FALSE)-HLOOKUP(X$3,$D$7:$P$336,$R173,FALSE)</f>
        <v>102</v>
      </c>
      <c r="Y173" s="60">
        <f ca="1">100+HLOOKUP(Y$4,$D$7:$P$336,$R173,FALSE)-HLOOKUP(Y$3,$D$7:$P$336,$R173,FALSE)</f>
        <v>90</v>
      </c>
      <c r="Z173" s="60">
        <f ca="1">100+HLOOKUP(Z$4,$D$7:$P$336,$R173,FALSE)-HLOOKUP(Z$3,$D$7:$P$336,$R173,FALSE)</f>
        <v>90</v>
      </c>
      <c r="AA173" s="60">
        <f ca="1">100+HLOOKUP(AA$4,$D$7:$P$336,$R173,FALSE)-HLOOKUP(AA$3,$D$7:$P$336,$R173,FALSE)</f>
        <v>102</v>
      </c>
      <c r="AB173" s="60">
        <f ca="1">100+HLOOKUP(AB$4,$D$7:$P$336,$R173,FALSE)-HLOOKUP(AB$3,$D$7:$P$336,$R173,FALSE)</f>
        <v>90</v>
      </c>
      <c r="AC173" s="60">
        <f ca="1">100+HLOOKUP(AC$4,$D$7:$P$336,$R173,FALSE)-HLOOKUP(AC$3,$D$7:$P$336,$R173,FALSE)</f>
        <v>102</v>
      </c>
      <c r="AD173" s="60">
        <f ca="1">100+HLOOKUP(AD$4,$D$7:$P$336,$R173,FALSE)-HLOOKUP(AD$3,$D$7:$P$336,$R173,FALSE)</f>
        <v>102</v>
      </c>
      <c r="AE173" s="60">
        <f ca="1">100+HLOOKUP(AE$4,$D$7:$P$336,$R173,FALSE)-HLOOKUP(AE$3,$D$7:$P$336,$R173,FALSE)</f>
        <v>114</v>
      </c>
      <c r="AF173" s="60">
        <f ca="1">100+HLOOKUP(AF$4,$D$7:$P$336,$R173,FALSE)-HLOOKUP(AF$3,$D$7:$P$336,$R173,FALSE)</f>
        <v>102</v>
      </c>
      <c r="AG173" s="60">
        <f ca="1">100+HLOOKUP(AG$4,$D$7:$P$336,$R173,FALSE)-HLOOKUP(AG$3,$D$7:$P$336,$R173,FALSE)</f>
        <v>102</v>
      </c>
      <c r="AH173" s="60" t="e">
        <f>100+HLOOKUP(AH$4,$D$7:$P$336,$R173,FALSE)-HLOOKUP(AH$3,$D$7:$P$336,$R173,FALSE)</f>
        <v>#N/A</v>
      </c>
      <c r="AI173" s="60" t="e">
        <f>100+HLOOKUP(AI$4,$D$7:$P$336,$R173,FALSE)-HLOOKUP(AI$3,$D$7:$P$336,$R173,FALSE)</f>
        <v>#N/A</v>
      </c>
      <c r="AJ173" s="60" t="e">
        <f>100+HLOOKUP(AJ$4,$D$7:$P$336,$R173,FALSE)-HLOOKUP(AJ$3,$D$7:$P$336,$R173,FALSE)</f>
        <v>#N/A</v>
      </c>
      <c r="AK173" s="60" t="e">
        <f>100+HLOOKUP(AK$4,$D$7:$P$336,$R173,FALSE)-HLOOKUP(AK$3,$D$7:$P$336,$R173,FALSE)</f>
        <v>#N/A</v>
      </c>
      <c r="AL173" s="60" t="e">
        <f>100+HLOOKUP(AL$4,$D$7:$P$336,$R173,FALSE)-HLOOKUP(AL$3,$D$7:$P$336,$R173,FALSE)</f>
        <v>#N/A</v>
      </c>
      <c r="AM173" s="60" t="e">
        <f>100+HLOOKUP(AM$4,$D$7:$P$336,$R173,FALSE)-HLOOKUP(AM$3,$D$7:$P$336,$R173,FALSE)</f>
        <v>#N/A</v>
      </c>
      <c r="AN173" s="60" t="e">
        <f>100+HLOOKUP(AN$4,$D$7:$P$336,$R173,FALSE)-HLOOKUP(AN$3,$D$7:$P$336,$R173,FALSE)</f>
        <v>#N/A</v>
      </c>
      <c r="AO173" s="60" t="e">
        <f>100+HLOOKUP(AO$4,$D$7:$P$336,$R173,FALSE)-HLOOKUP(AO$3,$D$7:$P$336,$R173,FALSE)</f>
        <v>#N/A</v>
      </c>
      <c r="AP173" s="60" t="e">
        <f>100+HLOOKUP(AP$4,$D$7:$P$336,$R173,FALSE)-HLOOKUP(AP$3,$D$7:$P$336,$R173,FALSE)</f>
        <v>#N/A</v>
      </c>
      <c r="AQ173" s="60" t="e">
        <f>100+HLOOKUP(AQ$4,$D$7:$P$336,$R173,FALSE)-HLOOKUP(AQ$3,$D$7:$P$336,$R173,FALSE)</f>
        <v>#N/A</v>
      </c>
      <c r="AV173" s="60">
        <f ca="1">AV$5-S173</f>
        <v>1.1903994267964322</v>
      </c>
      <c r="AW173" s="60">
        <f ca="1">AW$5-T173</f>
        <v>4.2206505297577479</v>
      </c>
      <c r="AX173" s="60">
        <f ca="1">AX$5-U173</f>
        <v>11.775915403668051</v>
      </c>
      <c r="AY173" s="60">
        <f ca="1">AY$5-V173</f>
        <v>-8.3969855984721988</v>
      </c>
      <c r="AZ173" s="60">
        <f ca="1">AZ$5-W173</f>
        <v>7.4544821725960304</v>
      </c>
      <c r="BA173" s="60">
        <f ca="1">BA$5-X173</f>
        <v>-3.5349409410172967</v>
      </c>
      <c r="BB173" s="60">
        <f ca="1">BB$5-Y173</f>
        <v>3.3505927273811267</v>
      </c>
      <c r="BC173" s="60">
        <f ca="1">BC$5-Z173</f>
        <v>17.437465909882164</v>
      </c>
      <c r="BD173" s="60">
        <f ca="1">BD$5-AA173</f>
        <v>-4.063481335617638</v>
      </c>
      <c r="BE173" s="60">
        <f ca="1">BE$5-AB173</f>
        <v>1.829390591992194</v>
      </c>
      <c r="BF173" s="60">
        <f ca="1">BF$5-AC173</f>
        <v>-0.98269568352291969</v>
      </c>
      <c r="BG173" s="60">
        <f ca="1">BG$5-AD173</f>
        <v>1.9852587050185093</v>
      </c>
      <c r="BH173" s="60">
        <f ca="1">BH$5-AE173</f>
        <v>-15.045407769632433</v>
      </c>
      <c r="BI173" s="60">
        <f ca="1">BI$5-AF173</f>
        <v>-11.391494488745195</v>
      </c>
      <c r="BJ173" s="60">
        <f ca="1">BJ$5-AG173</f>
        <v>-10.56044894232123</v>
      </c>
      <c r="BK173" s="60" t="e">
        <f>BK$5-AH173</f>
        <v>#N/A</v>
      </c>
      <c r="BL173" s="60" t="e">
        <f>BL$5-AI173</f>
        <v>#N/A</v>
      </c>
      <c r="BM173" s="60" t="e">
        <f>BM$5-AJ173</f>
        <v>#N/A</v>
      </c>
      <c r="BN173" s="60" t="e">
        <f>BN$5-AK173</f>
        <v>#N/A</v>
      </c>
      <c r="BO173" s="60" t="e">
        <f>BO$5-AL173</f>
        <v>#N/A</v>
      </c>
      <c r="BP173" s="60" t="e">
        <f>BP$5-AM173</f>
        <v>#N/A</v>
      </c>
      <c r="BQ173" s="60" t="e">
        <f>BQ$5-AN173</f>
        <v>#N/A</v>
      </c>
      <c r="BR173" s="60" t="e">
        <f>BR$5-AO173</f>
        <v>#N/A</v>
      </c>
      <c r="BS173" s="60" t="e">
        <f>BS$5-AP173</f>
        <v>#N/A</v>
      </c>
      <c r="BT173" s="60" t="e">
        <f>BT$5-AQ173</f>
        <v>#N/A</v>
      </c>
      <c r="BV173" s="60" cm="1">
        <f t="array" aca="1" ref="BV173" ca="1">SQRT(SUMSQ(_xlfn._xlws.FILTER(AV173:BT173,ISNUMBER(AV173:BT173)))/COUNT(_xlfn._xlws.FILTER(AV173:BT173,ISNUMBER(AV173:BT173))))</f>
        <v>8.579775872233192</v>
      </c>
    </row>
    <row r="174" spans="3:74" x14ac:dyDescent="0.2">
      <c r="C174" s="60" t="s">
        <v>243</v>
      </c>
      <c r="D174" s="60">
        <v>0</v>
      </c>
      <c r="E174" s="60">
        <v>2</v>
      </c>
      <c r="F174" s="60">
        <v>-18</v>
      </c>
      <c r="G174" s="60">
        <v>-16</v>
      </c>
      <c r="H174" s="60">
        <v>-14</v>
      </c>
      <c r="I174" s="60">
        <v>-12</v>
      </c>
      <c r="J174" s="60">
        <v>-11</v>
      </c>
      <c r="K174" s="60">
        <v>-10</v>
      </c>
      <c r="L174" s="60">
        <v>-8</v>
      </c>
      <c r="M174" s="60">
        <v>-6</v>
      </c>
      <c r="N174" s="60">
        <v>-4</v>
      </c>
      <c r="O174" s="60">
        <v>-2</v>
      </c>
      <c r="P174" s="60">
        <v>0</v>
      </c>
      <c r="R174" s="61">
        <f>(ROW(R174)-ROW($C$6))</f>
        <v>168</v>
      </c>
      <c r="S174" s="60">
        <f ca="1">100+HLOOKUP(S$4,$D$7:$P$336,$R174,FALSE)-HLOOKUP(S$3,$D$7:$P$336,$R174,FALSE)</f>
        <v>92</v>
      </c>
      <c r="T174" s="60">
        <f ca="1">100+HLOOKUP(T$4,$D$7:$P$336,$R174,FALSE)-HLOOKUP(T$3,$D$7:$P$336,$R174,FALSE)</f>
        <v>91</v>
      </c>
      <c r="U174" s="60">
        <f ca="1">100+HLOOKUP(U$4,$D$7:$P$336,$R174,FALSE)-HLOOKUP(U$3,$D$7:$P$336,$R174,FALSE)</f>
        <v>90</v>
      </c>
      <c r="V174" s="60">
        <f ca="1">100+HLOOKUP(V$4,$D$7:$P$336,$R174,FALSE)-HLOOKUP(V$3,$D$7:$P$336,$R174,FALSE)</f>
        <v>92</v>
      </c>
      <c r="W174" s="60">
        <f ca="1">100+HLOOKUP(W$4,$D$7:$P$336,$R174,FALSE)-HLOOKUP(W$3,$D$7:$P$336,$R174,FALSE)</f>
        <v>90</v>
      </c>
      <c r="X174" s="60">
        <f ca="1">100+HLOOKUP(X$4,$D$7:$P$336,$R174,FALSE)-HLOOKUP(X$3,$D$7:$P$336,$R174,FALSE)</f>
        <v>92</v>
      </c>
      <c r="Y174" s="60">
        <f ca="1">100+HLOOKUP(Y$4,$D$7:$P$336,$R174,FALSE)-HLOOKUP(Y$3,$D$7:$P$336,$R174,FALSE)</f>
        <v>91</v>
      </c>
      <c r="Z174" s="60">
        <f ca="1">100+HLOOKUP(Z$4,$D$7:$P$336,$R174,FALSE)-HLOOKUP(Z$3,$D$7:$P$336,$R174,FALSE)</f>
        <v>90</v>
      </c>
      <c r="AA174" s="60">
        <f ca="1">100+HLOOKUP(AA$4,$D$7:$P$336,$R174,FALSE)-HLOOKUP(AA$3,$D$7:$P$336,$R174,FALSE)</f>
        <v>92</v>
      </c>
      <c r="AB174" s="60">
        <f ca="1">100+HLOOKUP(AB$4,$D$7:$P$336,$R174,FALSE)-HLOOKUP(AB$3,$D$7:$P$336,$R174,FALSE)</f>
        <v>90</v>
      </c>
      <c r="AC174" s="60">
        <f ca="1">100+HLOOKUP(AC$4,$D$7:$P$336,$R174,FALSE)-HLOOKUP(AC$3,$D$7:$P$336,$R174,FALSE)</f>
        <v>112</v>
      </c>
      <c r="AD174" s="60">
        <f ca="1">100+HLOOKUP(AD$4,$D$7:$P$336,$R174,FALSE)-HLOOKUP(AD$3,$D$7:$P$336,$R174,FALSE)</f>
        <v>112</v>
      </c>
      <c r="AE174" s="60">
        <f ca="1">100+HLOOKUP(AE$4,$D$7:$P$336,$R174,FALSE)-HLOOKUP(AE$3,$D$7:$P$336,$R174,FALSE)</f>
        <v>113</v>
      </c>
      <c r="AF174" s="60">
        <f ca="1">100+HLOOKUP(AF$4,$D$7:$P$336,$R174,FALSE)-HLOOKUP(AF$3,$D$7:$P$336,$R174,FALSE)</f>
        <v>92</v>
      </c>
      <c r="AG174" s="60">
        <f ca="1">100+HLOOKUP(AG$4,$D$7:$P$336,$R174,FALSE)-HLOOKUP(AG$3,$D$7:$P$336,$R174,FALSE)</f>
        <v>92</v>
      </c>
      <c r="AH174" s="60" t="e">
        <f>100+HLOOKUP(AH$4,$D$7:$P$336,$R174,FALSE)-HLOOKUP(AH$3,$D$7:$P$336,$R174,FALSE)</f>
        <v>#N/A</v>
      </c>
      <c r="AI174" s="60" t="e">
        <f>100+HLOOKUP(AI$4,$D$7:$P$336,$R174,FALSE)-HLOOKUP(AI$3,$D$7:$P$336,$R174,FALSE)</f>
        <v>#N/A</v>
      </c>
      <c r="AJ174" s="60" t="e">
        <f>100+HLOOKUP(AJ$4,$D$7:$P$336,$R174,FALSE)-HLOOKUP(AJ$3,$D$7:$P$336,$R174,FALSE)</f>
        <v>#N/A</v>
      </c>
      <c r="AK174" s="60" t="e">
        <f>100+HLOOKUP(AK$4,$D$7:$P$336,$R174,FALSE)-HLOOKUP(AK$3,$D$7:$P$336,$R174,FALSE)</f>
        <v>#N/A</v>
      </c>
      <c r="AL174" s="60" t="e">
        <f>100+HLOOKUP(AL$4,$D$7:$P$336,$R174,FALSE)-HLOOKUP(AL$3,$D$7:$P$336,$R174,FALSE)</f>
        <v>#N/A</v>
      </c>
      <c r="AM174" s="60" t="e">
        <f>100+HLOOKUP(AM$4,$D$7:$P$336,$R174,FALSE)-HLOOKUP(AM$3,$D$7:$P$336,$R174,FALSE)</f>
        <v>#N/A</v>
      </c>
      <c r="AN174" s="60" t="e">
        <f>100+HLOOKUP(AN$4,$D$7:$P$336,$R174,FALSE)-HLOOKUP(AN$3,$D$7:$P$336,$R174,FALSE)</f>
        <v>#N/A</v>
      </c>
      <c r="AO174" s="60" t="e">
        <f>100+HLOOKUP(AO$4,$D$7:$P$336,$R174,FALSE)-HLOOKUP(AO$3,$D$7:$P$336,$R174,FALSE)</f>
        <v>#N/A</v>
      </c>
      <c r="AP174" s="60" t="e">
        <f>100+HLOOKUP(AP$4,$D$7:$P$336,$R174,FALSE)-HLOOKUP(AP$3,$D$7:$P$336,$R174,FALSE)</f>
        <v>#N/A</v>
      </c>
      <c r="AQ174" s="60" t="e">
        <f>100+HLOOKUP(AQ$4,$D$7:$P$336,$R174,FALSE)-HLOOKUP(AQ$3,$D$7:$P$336,$R174,FALSE)</f>
        <v>#N/A</v>
      </c>
      <c r="AV174" s="60">
        <f ca="1">AV$5-S174</f>
        <v>11.190399426796432</v>
      </c>
      <c r="AW174" s="60">
        <f ca="1">AW$5-T174</f>
        <v>3.2206505297577479</v>
      </c>
      <c r="AX174" s="60">
        <f ca="1">AX$5-U174</f>
        <v>11.775915403668051</v>
      </c>
      <c r="AY174" s="60">
        <f ca="1">AY$5-V174</f>
        <v>1.6030144015278012</v>
      </c>
      <c r="AZ174" s="60">
        <f ca="1">AZ$5-W174</f>
        <v>7.4544821725960304</v>
      </c>
      <c r="BA174" s="60">
        <f ca="1">BA$5-X174</f>
        <v>6.4650590589827033</v>
      </c>
      <c r="BB174" s="60">
        <f ca="1">BB$5-Y174</f>
        <v>2.3505927273811267</v>
      </c>
      <c r="BC174" s="60">
        <f ca="1">BC$5-Z174</f>
        <v>17.437465909882164</v>
      </c>
      <c r="BD174" s="60">
        <f ca="1">BD$5-AA174</f>
        <v>5.936518664382362</v>
      </c>
      <c r="BE174" s="60">
        <f ca="1">BE$5-AB174</f>
        <v>1.829390591992194</v>
      </c>
      <c r="BF174" s="60">
        <f ca="1">BF$5-AC174</f>
        <v>-10.98269568352292</v>
      </c>
      <c r="BG174" s="60">
        <f ca="1">BG$5-AD174</f>
        <v>-8.0147412949814907</v>
      </c>
      <c r="BH174" s="60">
        <f ca="1">BH$5-AE174</f>
        <v>-14.045407769632433</v>
      </c>
      <c r="BI174" s="60">
        <f ca="1">BI$5-AF174</f>
        <v>-1.3914944887451952</v>
      </c>
      <c r="BJ174" s="60">
        <f ca="1">BJ$5-AG174</f>
        <v>-0.56044894232122999</v>
      </c>
      <c r="BK174" s="60" t="e">
        <f>BK$5-AH174</f>
        <v>#N/A</v>
      </c>
      <c r="BL174" s="60" t="e">
        <f>BL$5-AI174</f>
        <v>#N/A</v>
      </c>
      <c r="BM174" s="60" t="e">
        <f>BM$5-AJ174</f>
        <v>#N/A</v>
      </c>
      <c r="BN174" s="60" t="e">
        <f>BN$5-AK174</f>
        <v>#N/A</v>
      </c>
      <c r="BO174" s="60" t="e">
        <f>BO$5-AL174</f>
        <v>#N/A</v>
      </c>
      <c r="BP174" s="60" t="e">
        <f>BP$5-AM174</f>
        <v>#N/A</v>
      </c>
      <c r="BQ174" s="60" t="e">
        <f>BQ$5-AN174</f>
        <v>#N/A</v>
      </c>
      <c r="BR174" s="60" t="e">
        <f>BR$5-AO174</f>
        <v>#N/A</v>
      </c>
      <c r="BS174" s="60" t="e">
        <f>BS$5-AP174</f>
        <v>#N/A</v>
      </c>
      <c r="BT174" s="60" t="e">
        <f>BT$5-AQ174</f>
        <v>#N/A</v>
      </c>
      <c r="BV174" s="60" cm="1">
        <f t="array" aca="1" ref="BV174" ca="1">SQRT(SUMSQ(_xlfn._xlws.FILTER(AV174:BT174,ISNUMBER(AV174:BT174)))/COUNT(_xlfn._xlws.FILTER(AV174:BT174,ISNUMBER(AV174:BT174))))</f>
        <v>8.5897796254049315</v>
      </c>
    </row>
    <row r="175" spans="3:74" x14ac:dyDescent="0.2">
      <c r="C175" s="60" t="s">
        <v>415</v>
      </c>
      <c r="D175" s="60">
        <v>0</v>
      </c>
      <c r="E175" s="60">
        <v>-3</v>
      </c>
      <c r="F175" s="60">
        <v>7</v>
      </c>
      <c r="G175" s="60">
        <v>3</v>
      </c>
      <c r="H175" s="60">
        <v>0</v>
      </c>
      <c r="I175" s="60">
        <v>-10</v>
      </c>
      <c r="J175" s="60">
        <v>0</v>
      </c>
      <c r="K175" s="60">
        <v>-3</v>
      </c>
      <c r="L175" s="60">
        <v>-7</v>
      </c>
      <c r="M175" s="60">
        <v>-3</v>
      </c>
      <c r="N175" s="60">
        <v>7</v>
      </c>
      <c r="O175" s="60">
        <v>3</v>
      </c>
      <c r="P175" s="60">
        <v>0</v>
      </c>
      <c r="R175" s="61">
        <f>(ROW(R175)-ROW($C$6))</f>
        <v>169</v>
      </c>
      <c r="S175" s="60">
        <f ca="1">100+HLOOKUP(S$4,$D$7:$P$336,$R175,FALSE)-HLOOKUP(S$3,$D$7:$P$336,$R175,FALSE)</f>
        <v>103</v>
      </c>
      <c r="T175" s="60">
        <f ca="1">100+HLOOKUP(T$4,$D$7:$P$336,$R175,FALSE)-HLOOKUP(T$3,$D$7:$P$336,$R175,FALSE)</f>
        <v>97</v>
      </c>
      <c r="U175" s="60">
        <f ca="1">100+HLOOKUP(U$4,$D$7:$P$336,$R175,FALSE)-HLOOKUP(U$3,$D$7:$P$336,$R175,FALSE)</f>
        <v>96</v>
      </c>
      <c r="V175" s="60">
        <f ca="1">100+HLOOKUP(V$4,$D$7:$P$336,$R175,FALSE)-HLOOKUP(V$3,$D$7:$P$336,$R175,FALSE)</f>
        <v>83</v>
      </c>
      <c r="W175" s="60">
        <f ca="1">100+HLOOKUP(W$4,$D$7:$P$336,$R175,FALSE)-HLOOKUP(W$3,$D$7:$P$336,$R175,FALSE)</f>
        <v>97</v>
      </c>
      <c r="X175" s="60">
        <f ca="1">100+HLOOKUP(X$4,$D$7:$P$336,$R175,FALSE)-HLOOKUP(X$3,$D$7:$P$336,$R175,FALSE)</f>
        <v>103</v>
      </c>
      <c r="Y175" s="60">
        <f ca="1">100+HLOOKUP(Y$4,$D$7:$P$336,$R175,FALSE)-HLOOKUP(Y$3,$D$7:$P$336,$R175,FALSE)</f>
        <v>97</v>
      </c>
      <c r="Z175" s="60">
        <f ca="1">100+HLOOKUP(Z$4,$D$7:$P$336,$R175,FALSE)-HLOOKUP(Z$3,$D$7:$P$336,$R175,FALSE)</f>
        <v>96</v>
      </c>
      <c r="AA175" s="60">
        <f ca="1">100+HLOOKUP(AA$4,$D$7:$P$336,$R175,FALSE)-HLOOKUP(AA$3,$D$7:$P$336,$R175,FALSE)</f>
        <v>83</v>
      </c>
      <c r="AB175" s="60">
        <f ca="1">100+HLOOKUP(AB$4,$D$7:$P$336,$R175,FALSE)-HLOOKUP(AB$3,$D$7:$P$336,$R175,FALSE)</f>
        <v>97</v>
      </c>
      <c r="AC175" s="60">
        <f ca="1">100+HLOOKUP(AC$4,$D$7:$P$336,$R175,FALSE)-HLOOKUP(AC$3,$D$7:$P$336,$R175,FALSE)</f>
        <v>90</v>
      </c>
      <c r="AD175" s="60">
        <f ca="1">100+HLOOKUP(AD$4,$D$7:$P$336,$R175,FALSE)-HLOOKUP(AD$3,$D$7:$P$336,$R175,FALSE)</f>
        <v>103</v>
      </c>
      <c r="AE175" s="60">
        <f ca="1">100+HLOOKUP(AE$4,$D$7:$P$336,$R175,FALSE)-HLOOKUP(AE$3,$D$7:$P$336,$R175,FALSE)</f>
        <v>97</v>
      </c>
      <c r="AF175" s="60">
        <f ca="1">100+HLOOKUP(AF$4,$D$7:$P$336,$R175,FALSE)-HLOOKUP(AF$3,$D$7:$P$336,$R175,FALSE)</f>
        <v>110</v>
      </c>
      <c r="AG175" s="60">
        <f ca="1">100+HLOOKUP(AG$4,$D$7:$P$336,$R175,FALSE)-HLOOKUP(AG$3,$D$7:$P$336,$R175,FALSE)</f>
        <v>83</v>
      </c>
      <c r="AH175" s="60" t="e">
        <f>100+HLOOKUP(AH$4,$D$7:$P$336,$R175,FALSE)-HLOOKUP(AH$3,$D$7:$P$336,$R175,FALSE)</f>
        <v>#N/A</v>
      </c>
      <c r="AI175" s="60" t="e">
        <f>100+HLOOKUP(AI$4,$D$7:$P$336,$R175,FALSE)-HLOOKUP(AI$3,$D$7:$P$336,$R175,FALSE)</f>
        <v>#N/A</v>
      </c>
      <c r="AJ175" s="60" t="e">
        <f>100+HLOOKUP(AJ$4,$D$7:$P$336,$R175,FALSE)-HLOOKUP(AJ$3,$D$7:$P$336,$R175,FALSE)</f>
        <v>#N/A</v>
      </c>
      <c r="AK175" s="60" t="e">
        <f>100+HLOOKUP(AK$4,$D$7:$P$336,$R175,FALSE)-HLOOKUP(AK$3,$D$7:$P$336,$R175,FALSE)</f>
        <v>#N/A</v>
      </c>
      <c r="AL175" s="60" t="e">
        <f>100+HLOOKUP(AL$4,$D$7:$P$336,$R175,FALSE)-HLOOKUP(AL$3,$D$7:$P$336,$R175,FALSE)</f>
        <v>#N/A</v>
      </c>
      <c r="AM175" s="60" t="e">
        <f>100+HLOOKUP(AM$4,$D$7:$P$336,$R175,FALSE)-HLOOKUP(AM$3,$D$7:$P$336,$R175,FALSE)</f>
        <v>#N/A</v>
      </c>
      <c r="AN175" s="60" t="e">
        <f>100+HLOOKUP(AN$4,$D$7:$P$336,$R175,FALSE)-HLOOKUP(AN$3,$D$7:$P$336,$R175,FALSE)</f>
        <v>#N/A</v>
      </c>
      <c r="AO175" s="60" t="e">
        <f>100+HLOOKUP(AO$4,$D$7:$P$336,$R175,FALSE)-HLOOKUP(AO$3,$D$7:$P$336,$R175,FALSE)</f>
        <v>#N/A</v>
      </c>
      <c r="AP175" s="60" t="e">
        <f>100+HLOOKUP(AP$4,$D$7:$P$336,$R175,FALSE)-HLOOKUP(AP$3,$D$7:$P$336,$R175,FALSE)</f>
        <v>#N/A</v>
      </c>
      <c r="AQ175" s="60" t="e">
        <f>100+HLOOKUP(AQ$4,$D$7:$P$336,$R175,FALSE)-HLOOKUP(AQ$3,$D$7:$P$336,$R175,FALSE)</f>
        <v>#N/A</v>
      </c>
      <c r="AV175" s="60">
        <f ca="1">AV$5-S175</f>
        <v>0.19039942679643218</v>
      </c>
      <c r="AW175" s="60">
        <f ca="1">AW$5-T175</f>
        <v>-2.7793494702422521</v>
      </c>
      <c r="AX175" s="60">
        <f ca="1">AX$5-U175</f>
        <v>5.7759154036680513</v>
      </c>
      <c r="AY175" s="60">
        <f ca="1">AY$5-V175</f>
        <v>10.603014401527801</v>
      </c>
      <c r="AZ175" s="60">
        <f ca="1">AZ$5-W175</f>
        <v>0.45448217259603041</v>
      </c>
      <c r="BA175" s="60">
        <f ca="1">BA$5-X175</f>
        <v>-4.5349409410172967</v>
      </c>
      <c r="BB175" s="60">
        <f ca="1">BB$5-Y175</f>
        <v>-3.6494072726188733</v>
      </c>
      <c r="BC175" s="60">
        <f ca="1">BC$5-Z175</f>
        <v>11.437465909882164</v>
      </c>
      <c r="BD175" s="60">
        <f ca="1">BD$5-AA175</f>
        <v>14.936518664382362</v>
      </c>
      <c r="BE175" s="60">
        <f ca="1">BE$5-AB175</f>
        <v>-5.170609408007806</v>
      </c>
      <c r="BF175" s="60">
        <f ca="1">BF$5-AC175</f>
        <v>11.01730431647708</v>
      </c>
      <c r="BG175" s="60">
        <f ca="1">BG$5-AD175</f>
        <v>0.98525870501850932</v>
      </c>
      <c r="BH175" s="60">
        <f ca="1">BH$5-AE175</f>
        <v>1.9545922303675667</v>
      </c>
      <c r="BI175" s="60">
        <f ca="1">BI$5-AF175</f>
        <v>-19.391494488745195</v>
      </c>
      <c r="BJ175" s="60">
        <f ca="1">BJ$5-AG175</f>
        <v>8.43955105767877</v>
      </c>
      <c r="BK175" s="60" t="e">
        <f>BK$5-AH175</f>
        <v>#N/A</v>
      </c>
      <c r="BL175" s="60" t="e">
        <f>BL$5-AI175</f>
        <v>#N/A</v>
      </c>
      <c r="BM175" s="60" t="e">
        <f>BM$5-AJ175</f>
        <v>#N/A</v>
      </c>
      <c r="BN175" s="60" t="e">
        <f>BN$5-AK175</f>
        <v>#N/A</v>
      </c>
      <c r="BO175" s="60" t="e">
        <f>BO$5-AL175</f>
        <v>#N/A</v>
      </c>
      <c r="BP175" s="60" t="e">
        <f>BP$5-AM175</f>
        <v>#N/A</v>
      </c>
      <c r="BQ175" s="60" t="e">
        <f>BQ$5-AN175</f>
        <v>#N/A</v>
      </c>
      <c r="BR175" s="60" t="e">
        <f>BR$5-AO175</f>
        <v>#N/A</v>
      </c>
      <c r="BS175" s="60" t="e">
        <f>BS$5-AP175</f>
        <v>#N/A</v>
      </c>
      <c r="BT175" s="60" t="e">
        <f>BT$5-AQ175</f>
        <v>#N/A</v>
      </c>
      <c r="BV175" s="60" cm="1">
        <f t="array" aca="1" ref="BV175" ca="1">SQRT(SUMSQ(_xlfn._xlws.FILTER(AV175:BT175,ISNUMBER(AV175:BT175)))/COUNT(_xlfn._xlws.FILTER(AV175:BT175,ISNUMBER(AV175:BT175))))</f>
        <v>8.724353744020986</v>
      </c>
    </row>
    <row r="176" spans="3:74" x14ac:dyDescent="0.2">
      <c r="C176" s="60" t="s">
        <v>416</v>
      </c>
      <c r="D176" s="60">
        <v>0</v>
      </c>
      <c r="E176" s="60">
        <v>-3.4220000000000002</v>
      </c>
      <c r="F176" s="60">
        <v>6.843</v>
      </c>
      <c r="G176" s="60">
        <v>3.4209999999999998</v>
      </c>
      <c r="H176" s="60">
        <v>0</v>
      </c>
      <c r="I176" s="60">
        <v>-10.265000000000001</v>
      </c>
      <c r="J176" s="60">
        <v>0</v>
      </c>
      <c r="K176" s="60">
        <v>-3.4220000000000002</v>
      </c>
      <c r="L176" s="60">
        <v>-6.8440000000000003</v>
      </c>
      <c r="M176" s="60">
        <v>-3.4220000000000002</v>
      </c>
      <c r="N176" s="60">
        <v>6.843</v>
      </c>
      <c r="O176" s="60">
        <v>3.4220000000000002</v>
      </c>
      <c r="P176" s="60">
        <v>0</v>
      </c>
      <c r="R176" s="61">
        <f>(ROW(R176)-ROW($C$6))</f>
        <v>170</v>
      </c>
      <c r="S176" s="60">
        <f ca="1">100+HLOOKUP(S$4,$D$7:$P$336,$R176,FALSE)-HLOOKUP(S$3,$D$7:$P$336,$R176,FALSE)</f>
        <v>103.422</v>
      </c>
      <c r="T176" s="60">
        <f ca="1">100+HLOOKUP(T$4,$D$7:$P$336,$R176,FALSE)-HLOOKUP(T$3,$D$7:$P$336,$R176,FALSE)</f>
        <v>96.578000000000003</v>
      </c>
      <c r="U176" s="60">
        <f ca="1">100+HLOOKUP(U$4,$D$7:$P$336,$R176,FALSE)-HLOOKUP(U$3,$D$7:$P$336,$R176,FALSE)</f>
        <v>96.578000000000003</v>
      </c>
      <c r="V176" s="60">
        <f ca="1">100+HLOOKUP(V$4,$D$7:$P$336,$R176,FALSE)-HLOOKUP(V$3,$D$7:$P$336,$R176,FALSE)</f>
        <v>82.891999999999996</v>
      </c>
      <c r="W176" s="60">
        <f ca="1">100+HLOOKUP(W$4,$D$7:$P$336,$R176,FALSE)-HLOOKUP(W$3,$D$7:$P$336,$R176,FALSE)</f>
        <v>96.578000000000003</v>
      </c>
      <c r="X176" s="60">
        <f ca="1">100+HLOOKUP(X$4,$D$7:$P$336,$R176,FALSE)-HLOOKUP(X$3,$D$7:$P$336,$R176,FALSE)</f>
        <v>103.422</v>
      </c>
      <c r="Y176" s="60">
        <f ca="1">100+HLOOKUP(Y$4,$D$7:$P$336,$R176,FALSE)-HLOOKUP(Y$3,$D$7:$P$336,$R176,FALSE)</f>
        <v>96.578000000000003</v>
      </c>
      <c r="Z176" s="60">
        <f ca="1">100+HLOOKUP(Z$4,$D$7:$P$336,$R176,FALSE)-HLOOKUP(Z$3,$D$7:$P$336,$R176,FALSE)</f>
        <v>96.578000000000003</v>
      </c>
      <c r="AA176" s="60">
        <f ca="1">100+HLOOKUP(AA$4,$D$7:$P$336,$R176,FALSE)-HLOOKUP(AA$3,$D$7:$P$336,$R176,FALSE)</f>
        <v>82.891999999999996</v>
      </c>
      <c r="AB176" s="60">
        <f ca="1">100+HLOOKUP(AB$4,$D$7:$P$336,$R176,FALSE)-HLOOKUP(AB$3,$D$7:$P$336,$R176,FALSE)</f>
        <v>96.578000000000003</v>
      </c>
      <c r="AC176" s="60">
        <f ca="1">100+HLOOKUP(AC$4,$D$7:$P$336,$R176,FALSE)-HLOOKUP(AC$3,$D$7:$P$336,$R176,FALSE)</f>
        <v>89.734999999999999</v>
      </c>
      <c r="AD176" s="60">
        <f ca="1">100+HLOOKUP(AD$4,$D$7:$P$336,$R176,FALSE)-HLOOKUP(AD$3,$D$7:$P$336,$R176,FALSE)</f>
        <v>103.422</v>
      </c>
      <c r="AE176" s="60">
        <f ca="1">100+HLOOKUP(AE$4,$D$7:$P$336,$R176,FALSE)-HLOOKUP(AE$3,$D$7:$P$336,$R176,FALSE)</f>
        <v>96.578000000000003</v>
      </c>
      <c r="AF176" s="60">
        <f ca="1">100+HLOOKUP(AF$4,$D$7:$P$336,$R176,FALSE)-HLOOKUP(AF$3,$D$7:$P$336,$R176,FALSE)</f>
        <v>110.265</v>
      </c>
      <c r="AG176" s="60">
        <f ca="1">100+HLOOKUP(AG$4,$D$7:$P$336,$R176,FALSE)-HLOOKUP(AG$3,$D$7:$P$336,$R176,FALSE)</f>
        <v>82.891999999999996</v>
      </c>
      <c r="AH176" s="60" t="e">
        <f>100+HLOOKUP(AH$4,$D$7:$P$336,$R176,FALSE)-HLOOKUP(AH$3,$D$7:$P$336,$R176,FALSE)</f>
        <v>#N/A</v>
      </c>
      <c r="AI176" s="60" t="e">
        <f>100+HLOOKUP(AI$4,$D$7:$P$336,$R176,FALSE)-HLOOKUP(AI$3,$D$7:$P$336,$R176,FALSE)</f>
        <v>#N/A</v>
      </c>
      <c r="AJ176" s="60" t="e">
        <f>100+HLOOKUP(AJ$4,$D$7:$P$336,$R176,FALSE)-HLOOKUP(AJ$3,$D$7:$P$336,$R176,FALSE)</f>
        <v>#N/A</v>
      </c>
      <c r="AK176" s="60" t="e">
        <f>100+HLOOKUP(AK$4,$D$7:$P$336,$R176,FALSE)-HLOOKUP(AK$3,$D$7:$P$336,$R176,FALSE)</f>
        <v>#N/A</v>
      </c>
      <c r="AL176" s="60" t="e">
        <f>100+HLOOKUP(AL$4,$D$7:$P$336,$R176,FALSE)-HLOOKUP(AL$3,$D$7:$P$336,$R176,FALSE)</f>
        <v>#N/A</v>
      </c>
      <c r="AM176" s="60" t="e">
        <f>100+HLOOKUP(AM$4,$D$7:$P$336,$R176,FALSE)-HLOOKUP(AM$3,$D$7:$P$336,$R176,FALSE)</f>
        <v>#N/A</v>
      </c>
      <c r="AN176" s="60" t="e">
        <f>100+HLOOKUP(AN$4,$D$7:$P$336,$R176,FALSE)-HLOOKUP(AN$3,$D$7:$P$336,$R176,FALSE)</f>
        <v>#N/A</v>
      </c>
      <c r="AO176" s="60" t="e">
        <f>100+HLOOKUP(AO$4,$D$7:$P$336,$R176,FALSE)-HLOOKUP(AO$3,$D$7:$P$336,$R176,FALSE)</f>
        <v>#N/A</v>
      </c>
      <c r="AP176" s="60" t="e">
        <f>100+HLOOKUP(AP$4,$D$7:$P$336,$R176,FALSE)-HLOOKUP(AP$3,$D$7:$P$336,$R176,FALSE)</f>
        <v>#N/A</v>
      </c>
      <c r="AQ176" s="60" t="e">
        <f>100+HLOOKUP(AQ$4,$D$7:$P$336,$R176,FALSE)-HLOOKUP(AQ$3,$D$7:$P$336,$R176,FALSE)</f>
        <v>#N/A</v>
      </c>
      <c r="AV176" s="60">
        <f ca="1">AV$5-S176</f>
        <v>-0.23160057320356486</v>
      </c>
      <c r="AW176" s="60">
        <f ca="1">AW$5-T176</f>
        <v>-2.3573494702422551</v>
      </c>
      <c r="AX176" s="60">
        <f ca="1">AX$5-U176</f>
        <v>5.1979154036680484</v>
      </c>
      <c r="AY176" s="60">
        <f ca="1">AY$5-V176</f>
        <v>10.711014401527805</v>
      </c>
      <c r="AZ176" s="60">
        <f ca="1">AZ$5-W176</f>
        <v>0.87648217259602745</v>
      </c>
      <c r="BA176" s="60">
        <f ca="1">BA$5-X176</f>
        <v>-4.9569409410172938</v>
      </c>
      <c r="BB176" s="60">
        <f ca="1">BB$5-Y176</f>
        <v>-3.2274072726188763</v>
      </c>
      <c r="BC176" s="60">
        <f ca="1">BC$5-Z176</f>
        <v>10.859465909882161</v>
      </c>
      <c r="BD176" s="60">
        <f ca="1">BD$5-AA176</f>
        <v>15.044518664382366</v>
      </c>
      <c r="BE176" s="60">
        <f ca="1">BE$5-AB176</f>
        <v>-4.748609408007809</v>
      </c>
      <c r="BF176" s="60">
        <f ca="1">BF$5-AC176</f>
        <v>11.282304316477081</v>
      </c>
      <c r="BG176" s="60">
        <f ca="1">BG$5-AD176</f>
        <v>0.56325870501851227</v>
      </c>
      <c r="BH176" s="60">
        <f ca="1">BH$5-AE176</f>
        <v>2.3765922303675637</v>
      </c>
      <c r="BI176" s="60">
        <f ca="1">BI$5-AF176</f>
        <v>-19.656494488745196</v>
      </c>
      <c r="BJ176" s="60">
        <f ca="1">BJ$5-AG176</f>
        <v>8.5475510576787741</v>
      </c>
      <c r="BK176" s="60" t="e">
        <f>BK$5-AH176</f>
        <v>#N/A</v>
      </c>
      <c r="BL176" s="60" t="e">
        <f>BL$5-AI176</f>
        <v>#N/A</v>
      </c>
      <c r="BM176" s="60" t="e">
        <f>BM$5-AJ176</f>
        <v>#N/A</v>
      </c>
      <c r="BN176" s="60" t="e">
        <f>BN$5-AK176</f>
        <v>#N/A</v>
      </c>
      <c r="BO176" s="60" t="e">
        <f>BO$5-AL176</f>
        <v>#N/A</v>
      </c>
      <c r="BP176" s="60" t="e">
        <f>BP$5-AM176</f>
        <v>#N/A</v>
      </c>
      <c r="BQ176" s="60" t="e">
        <f>BQ$5-AN176</f>
        <v>#N/A</v>
      </c>
      <c r="BR176" s="60" t="e">
        <f>BR$5-AO176</f>
        <v>#N/A</v>
      </c>
      <c r="BS176" s="60" t="e">
        <f>BS$5-AP176</f>
        <v>#N/A</v>
      </c>
      <c r="BT176" s="60" t="e">
        <f>BT$5-AQ176</f>
        <v>#N/A</v>
      </c>
      <c r="BV176" s="60" cm="1">
        <f t="array" aca="1" ref="BV176" ca="1">SQRT(SUMSQ(_xlfn._xlws.FILTER(AV176:BT176,ISNUMBER(AV176:BT176)))/COUNT(_xlfn._xlws.FILTER(AV176:BT176,ISNUMBER(AV176:BT176))))</f>
        <v>8.7278084723750631</v>
      </c>
    </row>
    <row r="177" spans="3:74" x14ac:dyDescent="0.2">
      <c r="C177" s="60" t="s">
        <v>516</v>
      </c>
      <c r="D177" s="60">
        <v>0</v>
      </c>
      <c r="E177" s="60">
        <v>-3</v>
      </c>
      <c r="F177" s="60">
        <v>-7</v>
      </c>
      <c r="G177" s="60">
        <v>-10</v>
      </c>
      <c r="H177" s="60">
        <v>-14</v>
      </c>
      <c r="I177" s="60">
        <v>-14</v>
      </c>
      <c r="J177" s="60">
        <v>-14</v>
      </c>
      <c r="K177" s="60">
        <v>-14</v>
      </c>
      <c r="L177" s="60">
        <v>-14</v>
      </c>
      <c r="M177" s="60">
        <v>-12</v>
      </c>
      <c r="N177" s="60">
        <v>-8</v>
      </c>
      <c r="O177" s="60">
        <v>-4</v>
      </c>
      <c r="P177" s="60">
        <v>0</v>
      </c>
      <c r="R177" s="61">
        <f>(ROW(R177)-ROW($C$6))</f>
        <v>171</v>
      </c>
      <c r="S177" s="60">
        <f ca="1">100+HLOOKUP(S$4,$D$7:$P$336,$R177,FALSE)-HLOOKUP(S$3,$D$7:$P$336,$R177,FALSE)</f>
        <v>98</v>
      </c>
      <c r="T177" s="60">
        <f ca="1">100+HLOOKUP(T$4,$D$7:$P$336,$R177,FALSE)-HLOOKUP(T$3,$D$7:$P$336,$R177,FALSE)</f>
        <v>90</v>
      </c>
      <c r="U177" s="60">
        <f ca="1">100+HLOOKUP(U$4,$D$7:$P$336,$R177,FALSE)-HLOOKUP(U$3,$D$7:$P$336,$R177,FALSE)</f>
        <v>89</v>
      </c>
      <c r="V177" s="60">
        <f ca="1">100+HLOOKUP(V$4,$D$7:$P$336,$R177,FALSE)-HLOOKUP(V$3,$D$7:$P$336,$R177,FALSE)</f>
        <v>94</v>
      </c>
      <c r="W177" s="60">
        <f ca="1">100+HLOOKUP(W$4,$D$7:$P$336,$R177,FALSE)-HLOOKUP(W$3,$D$7:$P$336,$R177,FALSE)</f>
        <v>86</v>
      </c>
      <c r="X177" s="60">
        <f ca="1">100+HLOOKUP(X$4,$D$7:$P$336,$R177,FALSE)-HLOOKUP(X$3,$D$7:$P$336,$R177,FALSE)</f>
        <v>98</v>
      </c>
      <c r="Y177" s="60">
        <f ca="1">100+HLOOKUP(Y$4,$D$7:$P$336,$R177,FALSE)-HLOOKUP(Y$3,$D$7:$P$336,$R177,FALSE)</f>
        <v>90</v>
      </c>
      <c r="Z177" s="60">
        <f ca="1">100+HLOOKUP(Z$4,$D$7:$P$336,$R177,FALSE)-HLOOKUP(Z$3,$D$7:$P$336,$R177,FALSE)</f>
        <v>89</v>
      </c>
      <c r="AA177" s="60">
        <f ca="1">100+HLOOKUP(AA$4,$D$7:$P$336,$R177,FALSE)-HLOOKUP(AA$3,$D$7:$P$336,$R177,FALSE)</f>
        <v>94</v>
      </c>
      <c r="AB177" s="60">
        <f ca="1">100+HLOOKUP(AB$4,$D$7:$P$336,$R177,FALSE)-HLOOKUP(AB$3,$D$7:$P$336,$R177,FALSE)</f>
        <v>86</v>
      </c>
      <c r="AC177" s="60">
        <f ca="1">100+HLOOKUP(AC$4,$D$7:$P$336,$R177,FALSE)-HLOOKUP(AC$3,$D$7:$P$336,$R177,FALSE)</f>
        <v>95</v>
      </c>
      <c r="AD177" s="60">
        <f ca="1">100+HLOOKUP(AD$4,$D$7:$P$336,$R177,FALSE)-HLOOKUP(AD$3,$D$7:$P$336,$R177,FALSE)</f>
        <v>110</v>
      </c>
      <c r="AE177" s="60">
        <f ca="1">100+HLOOKUP(AE$4,$D$7:$P$336,$R177,FALSE)-HLOOKUP(AE$3,$D$7:$P$336,$R177,FALSE)</f>
        <v>111</v>
      </c>
      <c r="AF177" s="60">
        <f ca="1">100+HLOOKUP(AF$4,$D$7:$P$336,$R177,FALSE)-HLOOKUP(AF$3,$D$7:$P$336,$R177,FALSE)</f>
        <v>104</v>
      </c>
      <c r="AG177" s="60">
        <f ca="1">100+HLOOKUP(AG$4,$D$7:$P$336,$R177,FALSE)-HLOOKUP(AG$3,$D$7:$P$336,$R177,FALSE)</f>
        <v>94</v>
      </c>
      <c r="AH177" s="60" t="e">
        <f>100+HLOOKUP(AH$4,$D$7:$P$336,$R177,FALSE)-HLOOKUP(AH$3,$D$7:$P$336,$R177,FALSE)</f>
        <v>#N/A</v>
      </c>
      <c r="AI177" s="60" t="e">
        <f>100+HLOOKUP(AI$4,$D$7:$P$336,$R177,FALSE)-HLOOKUP(AI$3,$D$7:$P$336,$R177,FALSE)</f>
        <v>#N/A</v>
      </c>
      <c r="AJ177" s="60" t="e">
        <f>100+HLOOKUP(AJ$4,$D$7:$P$336,$R177,FALSE)-HLOOKUP(AJ$3,$D$7:$P$336,$R177,FALSE)</f>
        <v>#N/A</v>
      </c>
      <c r="AK177" s="60" t="e">
        <f>100+HLOOKUP(AK$4,$D$7:$P$336,$R177,FALSE)-HLOOKUP(AK$3,$D$7:$P$336,$R177,FALSE)</f>
        <v>#N/A</v>
      </c>
      <c r="AL177" s="60" t="e">
        <f>100+HLOOKUP(AL$4,$D$7:$P$336,$R177,FALSE)-HLOOKUP(AL$3,$D$7:$P$336,$R177,FALSE)</f>
        <v>#N/A</v>
      </c>
      <c r="AM177" s="60" t="e">
        <f>100+HLOOKUP(AM$4,$D$7:$P$336,$R177,FALSE)-HLOOKUP(AM$3,$D$7:$P$336,$R177,FALSE)</f>
        <v>#N/A</v>
      </c>
      <c r="AN177" s="60" t="e">
        <f>100+HLOOKUP(AN$4,$D$7:$P$336,$R177,FALSE)-HLOOKUP(AN$3,$D$7:$P$336,$R177,FALSE)</f>
        <v>#N/A</v>
      </c>
      <c r="AO177" s="60" t="e">
        <f>100+HLOOKUP(AO$4,$D$7:$P$336,$R177,FALSE)-HLOOKUP(AO$3,$D$7:$P$336,$R177,FALSE)</f>
        <v>#N/A</v>
      </c>
      <c r="AP177" s="60" t="e">
        <f>100+HLOOKUP(AP$4,$D$7:$P$336,$R177,FALSE)-HLOOKUP(AP$3,$D$7:$P$336,$R177,FALSE)</f>
        <v>#N/A</v>
      </c>
      <c r="AQ177" s="60" t="e">
        <f>100+HLOOKUP(AQ$4,$D$7:$P$336,$R177,FALSE)-HLOOKUP(AQ$3,$D$7:$P$336,$R177,FALSE)</f>
        <v>#N/A</v>
      </c>
      <c r="AV177" s="60">
        <f ca="1">AV$5-S177</f>
        <v>5.1903994267964322</v>
      </c>
      <c r="AW177" s="60">
        <f ca="1">AW$5-T177</f>
        <v>4.2206505297577479</v>
      </c>
      <c r="AX177" s="60">
        <f ca="1">AX$5-U177</f>
        <v>12.775915403668051</v>
      </c>
      <c r="AY177" s="60">
        <f ca="1">AY$5-V177</f>
        <v>-0.39698559847219883</v>
      </c>
      <c r="AZ177" s="60">
        <f ca="1">AZ$5-W177</f>
        <v>11.45448217259603</v>
      </c>
      <c r="BA177" s="60">
        <f ca="1">BA$5-X177</f>
        <v>0.46505905898270328</v>
      </c>
      <c r="BB177" s="60">
        <f ca="1">BB$5-Y177</f>
        <v>3.3505927273811267</v>
      </c>
      <c r="BC177" s="60">
        <f ca="1">BC$5-Z177</f>
        <v>18.437465909882164</v>
      </c>
      <c r="BD177" s="60">
        <f ca="1">BD$5-AA177</f>
        <v>3.936518664382362</v>
      </c>
      <c r="BE177" s="60">
        <f ca="1">BE$5-AB177</f>
        <v>5.829390591992194</v>
      </c>
      <c r="BF177" s="60">
        <f ca="1">BF$5-AC177</f>
        <v>6.0173043164770803</v>
      </c>
      <c r="BG177" s="60">
        <f ca="1">BG$5-AD177</f>
        <v>-6.0147412949814907</v>
      </c>
      <c r="BH177" s="60">
        <f ca="1">BH$5-AE177</f>
        <v>-12.045407769632433</v>
      </c>
      <c r="BI177" s="60">
        <f ca="1">BI$5-AF177</f>
        <v>-13.391494488745195</v>
      </c>
      <c r="BJ177" s="60">
        <f ca="1">BJ$5-AG177</f>
        <v>-2.56044894232123</v>
      </c>
      <c r="BK177" s="60" t="e">
        <f>BK$5-AH177</f>
        <v>#N/A</v>
      </c>
      <c r="BL177" s="60" t="e">
        <f>BL$5-AI177</f>
        <v>#N/A</v>
      </c>
      <c r="BM177" s="60" t="e">
        <f>BM$5-AJ177</f>
        <v>#N/A</v>
      </c>
      <c r="BN177" s="60" t="e">
        <f>BN$5-AK177</f>
        <v>#N/A</v>
      </c>
      <c r="BO177" s="60" t="e">
        <f>BO$5-AL177</f>
        <v>#N/A</v>
      </c>
      <c r="BP177" s="60" t="e">
        <f>BP$5-AM177</f>
        <v>#N/A</v>
      </c>
      <c r="BQ177" s="60" t="e">
        <f>BQ$5-AN177</f>
        <v>#N/A</v>
      </c>
      <c r="BR177" s="60" t="e">
        <f>BR$5-AO177</f>
        <v>#N/A</v>
      </c>
      <c r="BS177" s="60" t="e">
        <f>BS$5-AP177</f>
        <v>#N/A</v>
      </c>
      <c r="BT177" s="60" t="e">
        <f>BT$5-AQ177</f>
        <v>#N/A</v>
      </c>
      <c r="BV177" s="60" cm="1">
        <f t="array" aca="1" ref="BV177" ca="1">SQRT(SUMSQ(_xlfn._xlws.FILTER(AV177:BT177,ISNUMBER(AV177:BT177)))/COUNT(_xlfn._xlws.FILTER(AV177:BT177,ISNUMBER(AV177:BT177))))</f>
        <v>8.7314249366349266</v>
      </c>
    </row>
    <row r="178" spans="3:74" x14ac:dyDescent="0.2">
      <c r="C178" s="60" t="s">
        <v>311</v>
      </c>
      <c r="D178" s="60">
        <v>0</v>
      </c>
      <c r="E178" s="60">
        <v>-2</v>
      </c>
      <c r="F178" s="60">
        <v>-5</v>
      </c>
      <c r="G178" s="60">
        <v>-7</v>
      </c>
      <c r="H178" s="60">
        <v>-10</v>
      </c>
      <c r="I178" s="60">
        <v>-12</v>
      </c>
      <c r="J178" s="60">
        <v>-13</v>
      </c>
      <c r="K178" s="60">
        <v>-12</v>
      </c>
      <c r="L178" s="60">
        <v>-10</v>
      </c>
      <c r="M178" s="60">
        <v>-6</v>
      </c>
      <c r="N178" s="60">
        <v>-2</v>
      </c>
      <c r="O178" s="60">
        <v>3</v>
      </c>
      <c r="P178" s="60">
        <v>0</v>
      </c>
      <c r="R178" s="61">
        <f>(ROW(R178)-ROW($C$6))</f>
        <v>172</v>
      </c>
      <c r="S178" s="60">
        <f ca="1">100+HLOOKUP(S$4,$D$7:$P$336,$R178,FALSE)-HLOOKUP(S$3,$D$7:$P$336,$R178,FALSE)</f>
        <v>96</v>
      </c>
      <c r="T178" s="60">
        <f ca="1">100+HLOOKUP(T$4,$D$7:$P$336,$R178,FALSE)-HLOOKUP(T$3,$D$7:$P$336,$R178,FALSE)</f>
        <v>84</v>
      </c>
      <c r="U178" s="60">
        <f ca="1">100+HLOOKUP(U$4,$D$7:$P$336,$R178,FALSE)-HLOOKUP(U$3,$D$7:$P$336,$R178,FALSE)</f>
        <v>92</v>
      </c>
      <c r="V178" s="60">
        <f ca="1">100+HLOOKUP(V$4,$D$7:$P$336,$R178,FALSE)-HLOOKUP(V$3,$D$7:$P$336,$R178,FALSE)</f>
        <v>90</v>
      </c>
      <c r="W178" s="60">
        <f ca="1">100+HLOOKUP(W$4,$D$7:$P$336,$R178,FALSE)-HLOOKUP(W$3,$D$7:$P$336,$R178,FALSE)</f>
        <v>88</v>
      </c>
      <c r="X178" s="60">
        <f ca="1">100+HLOOKUP(X$4,$D$7:$P$336,$R178,FALSE)-HLOOKUP(X$3,$D$7:$P$336,$R178,FALSE)</f>
        <v>96</v>
      </c>
      <c r="Y178" s="60">
        <f ca="1">100+HLOOKUP(Y$4,$D$7:$P$336,$R178,FALSE)-HLOOKUP(Y$3,$D$7:$P$336,$R178,FALSE)</f>
        <v>84</v>
      </c>
      <c r="Z178" s="60">
        <f ca="1">100+HLOOKUP(Z$4,$D$7:$P$336,$R178,FALSE)-HLOOKUP(Z$3,$D$7:$P$336,$R178,FALSE)</f>
        <v>92</v>
      </c>
      <c r="AA178" s="60">
        <f ca="1">100+HLOOKUP(AA$4,$D$7:$P$336,$R178,FALSE)-HLOOKUP(AA$3,$D$7:$P$336,$R178,FALSE)</f>
        <v>90</v>
      </c>
      <c r="AB178" s="60">
        <f ca="1">100+HLOOKUP(AB$4,$D$7:$P$336,$R178,FALSE)-HLOOKUP(AB$3,$D$7:$P$336,$R178,FALSE)</f>
        <v>88</v>
      </c>
      <c r="AC178" s="60">
        <f ca="1">100+HLOOKUP(AC$4,$D$7:$P$336,$R178,FALSE)-HLOOKUP(AC$3,$D$7:$P$336,$R178,FALSE)</f>
        <v>99</v>
      </c>
      <c r="AD178" s="60">
        <f ca="1">100+HLOOKUP(AD$4,$D$7:$P$336,$R178,FALSE)-HLOOKUP(AD$3,$D$7:$P$336,$R178,FALSE)</f>
        <v>113</v>
      </c>
      <c r="AE178" s="60">
        <f ca="1">100+HLOOKUP(AE$4,$D$7:$P$336,$R178,FALSE)-HLOOKUP(AE$3,$D$7:$P$336,$R178,FALSE)</f>
        <v>111</v>
      </c>
      <c r="AF178" s="60">
        <f ca="1">100+HLOOKUP(AF$4,$D$7:$P$336,$R178,FALSE)-HLOOKUP(AF$3,$D$7:$P$336,$R178,FALSE)</f>
        <v>103</v>
      </c>
      <c r="AG178" s="60">
        <f ca="1">100+HLOOKUP(AG$4,$D$7:$P$336,$R178,FALSE)-HLOOKUP(AG$3,$D$7:$P$336,$R178,FALSE)</f>
        <v>90</v>
      </c>
      <c r="AH178" s="60" t="e">
        <f>100+HLOOKUP(AH$4,$D$7:$P$336,$R178,FALSE)-HLOOKUP(AH$3,$D$7:$P$336,$R178,FALSE)</f>
        <v>#N/A</v>
      </c>
      <c r="AI178" s="60" t="e">
        <f>100+HLOOKUP(AI$4,$D$7:$P$336,$R178,FALSE)-HLOOKUP(AI$3,$D$7:$P$336,$R178,FALSE)</f>
        <v>#N/A</v>
      </c>
      <c r="AJ178" s="60" t="e">
        <f>100+HLOOKUP(AJ$4,$D$7:$P$336,$R178,FALSE)-HLOOKUP(AJ$3,$D$7:$P$336,$R178,FALSE)</f>
        <v>#N/A</v>
      </c>
      <c r="AK178" s="60" t="e">
        <f>100+HLOOKUP(AK$4,$D$7:$P$336,$R178,FALSE)-HLOOKUP(AK$3,$D$7:$P$336,$R178,FALSE)</f>
        <v>#N/A</v>
      </c>
      <c r="AL178" s="60" t="e">
        <f>100+HLOOKUP(AL$4,$D$7:$P$336,$R178,FALSE)-HLOOKUP(AL$3,$D$7:$P$336,$R178,FALSE)</f>
        <v>#N/A</v>
      </c>
      <c r="AM178" s="60" t="e">
        <f>100+HLOOKUP(AM$4,$D$7:$P$336,$R178,FALSE)-HLOOKUP(AM$3,$D$7:$P$336,$R178,FALSE)</f>
        <v>#N/A</v>
      </c>
      <c r="AN178" s="60" t="e">
        <f>100+HLOOKUP(AN$4,$D$7:$P$336,$R178,FALSE)-HLOOKUP(AN$3,$D$7:$P$336,$R178,FALSE)</f>
        <v>#N/A</v>
      </c>
      <c r="AO178" s="60" t="e">
        <f>100+HLOOKUP(AO$4,$D$7:$P$336,$R178,FALSE)-HLOOKUP(AO$3,$D$7:$P$336,$R178,FALSE)</f>
        <v>#N/A</v>
      </c>
      <c r="AP178" s="60" t="e">
        <f>100+HLOOKUP(AP$4,$D$7:$P$336,$R178,FALSE)-HLOOKUP(AP$3,$D$7:$P$336,$R178,FALSE)</f>
        <v>#N/A</v>
      </c>
      <c r="AQ178" s="60" t="e">
        <f>100+HLOOKUP(AQ$4,$D$7:$P$336,$R178,FALSE)-HLOOKUP(AQ$3,$D$7:$P$336,$R178,FALSE)</f>
        <v>#N/A</v>
      </c>
      <c r="AV178" s="60">
        <f ca="1">AV$5-S178</f>
        <v>7.1903994267964322</v>
      </c>
      <c r="AW178" s="60">
        <f ca="1">AW$5-T178</f>
        <v>10.220650529757748</v>
      </c>
      <c r="AX178" s="60">
        <f ca="1">AX$5-U178</f>
        <v>9.7759154036680513</v>
      </c>
      <c r="AY178" s="60">
        <f ca="1">AY$5-V178</f>
        <v>3.6030144015278012</v>
      </c>
      <c r="AZ178" s="60">
        <f ca="1">AZ$5-W178</f>
        <v>9.4544821725960304</v>
      </c>
      <c r="BA178" s="60">
        <f ca="1">BA$5-X178</f>
        <v>2.4650590589827033</v>
      </c>
      <c r="BB178" s="60">
        <f ca="1">BB$5-Y178</f>
        <v>9.3505927273811267</v>
      </c>
      <c r="BC178" s="60">
        <f ca="1">BC$5-Z178</f>
        <v>15.437465909882164</v>
      </c>
      <c r="BD178" s="60">
        <f ca="1">BD$5-AA178</f>
        <v>7.936518664382362</v>
      </c>
      <c r="BE178" s="60">
        <f ca="1">BE$5-AB178</f>
        <v>3.829390591992194</v>
      </c>
      <c r="BF178" s="60">
        <f ca="1">BF$5-AC178</f>
        <v>2.0173043164770803</v>
      </c>
      <c r="BG178" s="60">
        <f ca="1">BG$5-AD178</f>
        <v>-9.0147412949814907</v>
      </c>
      <c r="BH178" s="60">
        <f ca="1">BH$5-AE178</f>
        <v>-12.045407769632433</v>
      </c>
      <c r="BI178" s="60">
        <f ca="1">BI$5-AF178</f>
        <v>-12.391494488745195</v>
      </c>
      <c r="BJ178" s="60">
        <f ca="1">BJ$5-AG178</f>
        <v>1.43955105767877</v>
      </c>
      <c r="BK178" s="60" t="e">
        <f>BK$5-AH178</f>
        <v>#N/A</v>
      </c>
      <c r="BL178" s="60" t="e">
        <f>BL$5-AI178</f>
        <v>#N/A</v>
      </c>
      <c r="BM178" s="60" t="e">
        <f>BM$5-AJ178</f>
        <v>#N/A</v>
      </c>
      <c r="BN178" s="60" t="e">
        <f>BN$5-AK178</f>
        <v>#N/A</v>
      </c>
      <c r="BO178" s="60" t="e">
        <f>BO$5-AL178</f>
        <v>#N/A</v>
      </c>
      <c r="BP178" s="60" t="e">
        <f>BP$5-AM178</f>
        <v>#N/A</v>
      </c>
      <c r="BQ178" s="60" t="e">
        <f>BQ$5-AN178</f>
        <v>#N/A</v>
      </c>
      <c r="BR178" s="60" t="e">
        <f>BR$5-AO178</f>
        <v>#N/A</v>
      </c>
      <c r="BS178" s="60" t="e">
        <f>BS$5-AP178</f>
        <v>#N/A</v>
      </c>
      <c r="BT178" s="60" t="e">
        <f>BT$5-AQ178</f>
        <v>#N/A</v>
      </c>
      <c r="BV178" s="60" cm="1">
        <f t="array" aca="1" ref="BV178" ca="1">SQRT(SUMSQ(_xlfn._xlws.FILTER(AV178:BT178,ISNUMBER(AV178:BT178)))/COUNT(_xlfn._xlws.FILTER(AV178:BT178,ISNUMBER(AV178:BT178))))</f>
        <v>8.7545317510410019</v>
      </c>
    </row>
    <row r="179" spans="3:74" x14ac:dyDescent="0.2">
      <c r="C179" s="60" t="s">
        <v>368</v>
      </c>
      <c r="D179" s="60">
        <v>0</v>
      </c>
      <c r="E179" s="60">
        <v>-2</v>
      </c>
      <c r="F179" s="60">
        <v>-4</v>
      </c>
      <c r="G179" s="60">
        <v>-6</v>
      </c>
      <c r="H179" s="60">
        <v>-8</v>
      </c>
      <c r="I179" s="60">
        <v>-10</v>
      </c>
      <c r="J179" s="60">
        <v>-12</v>
      </c>
      <c r="K179" s="60">
        <v>-14</v>
      </c>
      <c r="L179" s="60">
        <v>-8</v>
      </c>
      <c r="M179" s="60">
        <v>-2</v>
      </c>
      <c r="N179" s="60">
        <v>4</v>
      </c>
      <c r="O179" s="60">
        <v>2</v>
      </c>
      <c r="P179" s="60">
        <v>0</v>
      </c>
      <c r="R179" s="61">
        <f>(ROW(R179)-ROW($C$6))</f>
        <v>173</v>
      </c>
      <c r="S179" s="60">
        <f ca="1">100+HLOOKUP(S$4,$D$7:$P$336,$R179,FALSE)-HLOOKUP(S$3,$D$7:$P$336,$R179,FALSE)</f>
        <v>94</v>
      </c>
      <c r="T179" s="60">
        <f ca="1">100+HLOOKUP(T$4,$D$7:$P$336,$R179,FALSE)-HLOOKUP(T$3,$D$7:$P$336,$R179,FALSE)</f>
        <v>86</v>
      </c>
      <c r="U179" s="60">
        <f ca="1">100+HLOOKUP(U$4,$D$7:$P$336,$R179,FALSE)-HLOOKUP(U$3,$D$7:$P$336,$R179,FALSE)</f>
        <v>94</v>
      </c>
      <c r="V179" s="60">
        <f ca="1">100+HLOOKUP(V$4,$D$7:$P$336,$R179,FALSE)-HLOOKUP(V$3,$D$7:$P$336,$R179,FALSE)</f>
        <v>86</v>
      </c>
      <c r="W179" s="60">
        <f ca="1">100+HLOOKUP(W$4,$D$7:$P$336,$R179,FALSE)-HLOOKUP(W$3,$D$7:$P$336,$R179,FALSE)</f>
        <v>86</v>
      </c>
      <c r="X179" s="60">
        <f ca="1">100+HLOOKUP(X$4,$D$7:$P$336,$R179,FALSE)-HLOOKUP(X$3,$D$7:$P$336,$R179,FALSE)</f>
        <v>94</v>
      </c>
      <c r="Y179" s="60">
        <f ca="1">100+HLOOKUP(Y$4,$D$7:$P$336,$R179,FALSE)-HLOOKUP(Y$3,$D$7:$P$336,$R179,FALSE)</f>
        <v>86</v>
      </c>
      <c r="Z179" s="60">
        <f ca="1">100+HLOOKUP(Z$4,$D$7:$P$336,$R179,FALSE)-HLOOKUP(Z$3,$D$7:$P$336,$R179,FALSE)</f>
        <v>94</v>
      </c>
      <c r="AA179" s="60">
        <f ca="1">100+HLOOKUP(AA$4,$D$7:$P$336,$R179,FALSE)-HLOOKUP(AA$3,$D$7:$P$336,$R179,FALSE)</f>
        <v>86</v>
      </c>
      <c r="AB179" s="60">
        <f ca="1">100+HLOOKUP(AB$4,$D$7:$P$336,$R179,FALSE)-HLOOKUP(AB$3,$D$7:$P$336,$R179,FALSE)</f>
        <v>86</v>
      </c>
      <c r="AC179" s="60">
        <f ca="1">100+HLOOKUP(AC$4,$D$7:$P$336,$R179,FALSE)-HLOOKUP(AC$3,$D$7:$P$336,$R179,FALSE)</f>
        <v>102</v>
      </c>
      <c r="AD179" s="60">
        <f ca="1">100+HLOOKUP(AD$4,$D$7:$P$336,$R179,FALSE)-HLOOKUP(AD$3,$D$7:$P$336,$R179,FALSE)</f>
        <v>110</v>
      </c>
      <c r="AE179" s="60">
        <f ca="1">100+HLOOKUP(AE$4,$D$7:$P$336,$R179,FALSE)-HLOOKUP(AE$3,$D$7:$P$336,$R179,FALSE)</f>
        <v>110</v>
      </c>
      <c r="AF179" s="60">
        <f ca="1">100+HLOOKUP(AF$4,$D$7:$P$336,$R179,FALSE)-HLOOKUP(AF$3,$D$7:$P$336,$R179,FALSE)</f>
        <v>102</v>
      </c>
      <c r="AG179" s="60">
        <f ca="1">100+HLOOKUP(AG$4,$D$7:$P$336,$R179,FALSE)-HLOOKUP(AG$3,$D$7:$P$336,$R179,FALSE)</f>
        <v>86</v>
      </c>
      <c r="AH179" s="60" t="e">
        <f>100+HLOOKUP(AH$4,$D$7:$P$336,$R179,FALSE)-HLOOKUP(AH$3,$D$7:$P$336,$R179,FALSE)</f>
        <v>#N/A</v>
      </c>
      <c r="AI179" s="60" t="e">
        <f>100+HLOOKUP(AI$4,$D$7:$P$336,$R179,FALSE)-HLOOKUP(AI$3,$D$7:$P$336,$R179,FALSE)</f>
        <v>#N/A</v>
      </c>
      <c r="AJ179" s="60" t="e">
        <f>100+HLOOKUP(AJ$4,$D$7:$P$336,$R179,FALSE)-HLOOKUP(AJ$3,$D$7:$P$336,$R179,FALSE)</f>
        <v>#N/A</v>
      </c>
      <c r="AK179" s="60" t="e">
        <f>100+HLOOKUP(AK$4,$D$7:$P$336,$R179,FALSE)-HLOOKUP(AK$3,$D$7:$P$336,$R179,FALSE)</f>
        <v>#N/A</v>
      </c>
      <c r="AL179" s="60" t="e">
        <f>100+HLOOKUP(AL$4,$D$7:$P$336,$R179,FALSE)-HLOOKUP(AL$3,$D$7:$P$336,$R179,FALSE)</f>
        <v>#N/A</v>
      </c>
      <c r="AM179" s="60" t="e">
        <f>100+HLOOKUP(AM$4,$D$7:$P$336,$R179,FALSE)-HLOOKUP(AM$3,$D$7:$P$336,$R179,FALSE)</f>
        <v>#N/A</v>
      </c>
      <c r="AN179" s="60" t="e">
        <f>100+HLOOKUP(AN$4,$D$7:$P$336,$R179,FALSE)-HLOOKUP(AN$3,$D$7:$P$336,$R179,FALSE)</f>
        <v>#N/A</v>
      </c>
      <c r="AO179" s="60" t="e">
        <f>100+HLOOKUP(AO$4,$D$7:$P$336,$R179,FALSE)-HLOOKUP(AO$3,$D$7:$P$336,$R179,FALSE)</f>
        <v>#N/A</v>
      </c>
      <c r="AP179" s="60" t="e">
        <f>100+HLOOKUP(AP$4,$D$7:$P$336,$R179,FALSE)-HLOOKUP(AP$3,$D$7:$P$336,$R179,FALSE)</f>
        <v>#N/A</v>
      </c>
      <c r="AQ179" s="60" t="e">
        <f>100+HLOOKUP(AQ$4,$D$7:$P$336,$R179,FALSE)-HLOOKUP(AQ$3,$D$7:$P$336,$R179,FALSE)</f>
        <v>#N/A</v>
      </c>
      <c r="AV179" s="60">
        <f ca="1">AV$5-S179</f>
        <v>9.1903994267964322</v>
      </c>
      <c r="AW179" s="60">
        <f ca="1">AW$5-T179</f>
        <v>8.2206505297577479</v>
      </c>
      <c r="AX179" s="60">
        <f ca="1">AX$5-U179</f>
        <v>7.7759154036680513</v>
      </c>
      <c r="AY179" s="60">
        <f ca="1">AY$5-V179</f>
        <v>7.6030144015278012</v>
      </c>
      <c r="AZ179" s="60">
        <f ca="1">AZ$5-W179</f>
        <v>11.45448217259603</v>
      </c>
      <c r="BA179" s="60">
        <f ca="1">BA$5-X179</f>
        <v>4.4650590589827033</v>
      </c>
      <c r="BB179" s="60">
        <f ca="1">BB$5-Y179</f>
        <v>7.3505927273811267</v>
      </c>
      <c r="BC179" s="60">
        <f ca="1">BC$5-Z179</f>
        <v>13.437465909882164</v>
      </c>
      <c r="BD179" s="60">
        <f ca="1">BD$5-AA179</f>
        <v>11.936518664382362</v>
      </c>
      <c r="BE179" s="60">
        <f ca="1">BE$5-AB179</f>
        <v>5.829390591992194</v>
      </c>
      <c r="BF179" s="60">
        <f ca="1">BF$5-AC179</f>
        <v>-0.98269568352291969</v>
      </c>
      <c r="BG179" s="60">
        <f ca="1">BG$5-AD179</f>
        <v>-6.0147412949814907</v>
      </c>
      <c r="BH179" s="60">
        <f ca="1">BH$5-AE179</f>
        <v>-11.045407769632433</v>
      </c>
      <c r="BI179" s="60">
        <f ca="1">BI$5-AF179</f>
        <v>-11.391494488745195</v>
      </c>
      <c r="BJ179" s="60">
        <f ca="1">BJ$5-AG179</f>
        <v>5.43955105767877</v>
      </c>
      <c r="BK179" s="60" t="e">
        <f>BK$5-AH179</f>
        <v>#N/A</v>
      </c>
      <c r="BL179" s="60" t="e">
        <f>BL$5-AI179</f>
        <v>#N/A</v>
      </c>
      <c r="BM179" s="60" t="e">
        <f>BM$5-AJ179</f>
        <v>#N/A</v>
      </c>
      <c r="BN179" s="60" t="e">
        <f>BN$5-AK179</f>
        <v>#N/A</v>
      </c>
      <c r="BO179" s="60" t="e">
        <f>BO$5-AL179</f>
        <v>#N/A</v>
      </c>
      <c r="BP179" s="60" t="e">
        <f>BP$5-AM179</f>
        <v>#N/A</v>
      </c>
      <c r="BQ179" s="60" t="e">
        <f>BQ$5-AN179</f>
        <v>#N/A</v>
      </c>
      <c r="BR179" s="60" t="e">
        <f>BR$5-AO179</f>
        <v>#N/A</v>
      </c>
      <c r="BS179" s="60" t="e">
        <f>BS$5-AP179</f>
        <v>#N/A</v>
      </c>
      <c r="BT179" s="60" t="e">
        <f>BT$5-AQ179</f>
        <v>#N/A</v>
      </c>
      <c r="BV179" s="60" cm="1">
        <f t="array" aca="1" ref="BV179" ca="1">SQRT(SUMSQ(_xlfn._xlws.FILTER(AV179:BT179,ISNUMBER(AV179:BT179)))/COUNT(_xlfn._xlws.FILTER(AV179:BT179,ISNUMBER(AV179:BT179))))</f>
        <v>8.7598052269887585</v>
      </c>
    </row>
    <row r="180" spans="3:74" x14ac:dyDescent="0.2">
      <c r="C180" s="60" t="s">
        <v>347</v>
      </c>
      <c r="D180" s="60">
        <v>0</v>
      </c>
      <c r="E180" s="60">
        <v>-2</v>
      </c>
      <c r="F180" s="60">
        <v>-4</v>
      </c>
      <c r="G180" s="60">
        <v>-6</v>
      </c>
      <c r="H180" s="60">
        <v>-8</v>
      </c>
      <c r="I180" s="60">
        <v>-10</v>
      </c>
      <c r="J180" s="60">
        <v>-10</v>
      </c>
      <c r="K180" s="60">
        <v>-14</v>
      </c>
      <c r="L180" s="60">
        <v>0</v>
      </c>
      <c r="M180" s="60">
        <v>6</v>
      </c>
      <c r="N180" s="60">
        <v>4</v>
      </c>
      <c r="O180" s="60">
        <v>2</v>
      </c>
      <c r="P180" s="60">
        <v>0</v>
      </c>
      <c r="R180" s="61">
        <f>(ROW(R180)-ROW($C$6))</f>
        <v>174</v>
      </c>
      <c r="S180" s="60">
        <f ca="1">100+HLOOKUP(S$4,$D$7:$P$336,$R180,FALSE)-HLOOKUP(S$3,$D$7:$P$336,$R180,FALSE)</f>
        <v>86</v>
      </c>
      <c r="T180" s="60">
        <f ca="1">100+HLOOKUP(T$4,$D$7:$P$336,$R180,FALSE)-HLOOKUP(T$3,$D$7:$P$336,$R180,FALSE)</f>
        <v>88</v>
      </c>
      <c r="U180" s="60">
        <f ca="1">100+HLOOKUP(U$4,$D$7:$P$336,$R180,FALSE)-HLOOKUP(U$3,$D$7:$P$336,$R180,FALSE)</f>
        <v>102</v>
      </c>
      <c r="V180" s="60">
        <f ca="1">100+HLOOKUP(V$4,$D$7:$P$336,$R180,FALSE)-HLOOKUP(V$3,$D$7:$P$336,$R180,FALSE)</f>
        <v>86</v>
      </c>
      <c r="W180" s="60">
        <f ca="1">100+HLOOKUP(W$4,$D$7:$P$336,$R180,FALSE)-HLOOKUP(W$3,$D$7:$P$336,$R180,FALSE)</f>
        <v>86</v>
      </c>
      <c r="X180" s="60">
        <f ca="1">100+HLOOKUP(X$4,$D$7:$P$336,$R180,FALSE)-HLOOKUP(X$3,$D$7:$P$336,$R180,FALSE)</f>
        <v>86</v>
      </c>
      <c r="Y180" s="60">
        <f ca="1">100+HLOOKUP(Y$4,$D$7:$P$336,$R180,FALSE)-HLOOKUP(Y$3,$D$7:$P$336,$R180,FALSE)</f>
        <v>88</v>
      </c>
      <c r="Z180" s="60">
        <f ca="1">100+HLOOKUP(Z$4,$D$7:$P$336,$R180,FALSE)-HLOOKUP(Z$3,$D$7:$P$336,$R180,FALSE)</f>
        <v>102</v>
      </c>
      <c r="AA180" s="60">
        <f ca="1">100+HLOOKUP(AA$4,$D$7:$P$336,$R180,FALSE)-HLOOKUP(AA$3,$D$7:$P$336,$R180,FALSE)</f>
        <v>86</v>
      </c>
      <c r="AB180" s="60">
        <f ca="1">100+HLOOKUP(AB$4,$D$7:$P$336,$R180,FALSE)-HLOOKUP(AB$3,$D$7:$P$336,$R180,FALSE)</f>
        <v>86</v>
      </c>
      <c r="AC180" s="60">
        <f ca="1">100+HLOOKUP(AC$4,$D$7:$P$336,$R180,FALSE)-HLOOKUP(AC$3,$D$7:$P$336,$R180,FALSE)</f>
        <v>110</v>
      </c>
      <c r="AD180" s="60">
        <f ca="1">100+HLOOKUP(AD$4,$D$7:$P$336,$R180,FALSE)-HLOOKUP(AD$3,$D$7:$P$336,$R180,FALSE)</f>
        <v>110</v>
      </c>
      <c r="AE180" s="60">
        <f ca="1">100+HLOOKUP(AE$4,$D$7:$P$336,$R180,FALSE)-HLOOKUP(AE$3,$D$7:$P$336,$R180,FALSE)</f>
        <v>108</v>
      </c>
      <c r="AF180" s="60">
        <f ca="1">100+HLOOKUP(AF$4,$D$7:$P$336,$R180,FALSE)-HLOOKUP(AF$3,$D$7:$P$336,$R180,FALSE)</f>
        <v>94</v>
      </c>
      <c r="AG180" s="60">
        <f ca="1">100+HLOOKUP(AG$4,$D$7:$P$336,$R180,FALSE)-HLOOKUP(AG$3,$D$7:$P$336,$R180,FALSE)</f>
        <v>86</v>
      </c>
      <c r="AH180" s="60" t="e">
        <f>100+HLOOKUP(AH$4,$D$7:$P$336,$R180,FALSE)-HLOOKUP(AH$3,$D$7:$P$336,$R180,FALSE)</f>
        <v>#N/A</v>
      </c>
      <c r="AI180" s="60" t="e">
        <f>100+HLOOKUP(AI$4,$D$7:$P$336,$R180,FALSE)-HLOOKUP(AI$3,$D$7:$P$336,$R180,FALSE)</f>
        <v>#N/A</v>
      </c>
      <c r="AJ180" s="60" t="e">
        <f>100+HLOOKUP(AJ$4,$D$7:$P$336,$R180,FALSE)-HLOOKUP(AJ$3,$D$7:$P$336,$R180,FALSE)</f>
        <v>#N/A</v>
      </c>
      <c r="AK180" s="60" t="e">
        <f>100+HLOOKUP(AK$4,$D$7:$P$336,$R180,FALSE)-HLOOKUP(AK$3,$D$7:$P$336,$R180,FALSE)</f>
        <v>#N/A</v>
      </c>
      <c r="AL180" s="60" t="e">
        <f>100+HLOOKUP(AL$4,$D$7:$P$336,$R180,FALSE)-HLOOKUP(AL$3,$D$7:$P$336,$R180,FALSE)</f>
        <v>#N/A</v>
      </c>
      <c r="AM180" s="60" t="e">
        <f>100+HLOOKUP(AM$4,$D$7:$P$336,$R180,FALSE)-HLOOKUP(AM$3,$D$7:$P$336,$R180,FALSE)</f>
        <v>#N/A</v>
      </c>
      <c r="AN180" s="60" t="e">
        <f>100+HLOOKUP(AN$4,$D$7:$P$336,$R180,FALSE)-HLOOKUP(AN$3,$D$7:$P$336,$R180,FALSE)</f>
        <v>#N/A</v>
      </c>
      <c r="AO180" s="60" t="e">
        <f>100+HLOOKUP(AO$4,$D$7:$P$336,$R180,FALSE)-HLOOKUP(AO$3,$D$7:$P$336,$R180,FALSE)</f>
        <v>#N/A</v>
      </c>
      <c r="AP180" s="60" t="e">
        <f>100+HLOOKUP(AP$4,$D$7:$P$336,$R180,FALSE)-HLOOKUP(AP$3,$D$7:$P$336,$R180,FALSE)</f>
        <v>#N/A</v>
      </c>
      <c r="AQ180" s="60" t="e">
        <f>100+HLOOKUP(AQ$4,$D$7:$P$336,$R180,FALSE)-HLOOKUP(AQ$3,$D$7:$P$336,$R180,FALSE)</f>
        <v>#N/A</v>
      </c>
      <c r="AV180" s="60">
        <f ca="1">AV$5-S180</f>
        <v>17.190399426796432</v>
      </c>
      <c r="AW180" s="60">
        <f ca="1">AW$5-T180</f>
        <v>6.2206505297577479</v>
      </c>
      <c r="AX180" s="60">
        <f ca="1">AX$5-U180</f>
        <v>-0.22408459633194866</v>
      </c>
      <c r="AY180" s="60">
        <f ca="1">AY$5-V180</f>
        <v>7.6030144015278012</v>
      </c>
      <c r="AZ180" s="60">
        <f ca="1">AZ$5-W180</f>
        <v>11.45448217259603</v>
      </c>
      <c r="BA180" s="60">
        <f ca="1">BA$5-X180</f>
        <v>12.465059058982703</v>
      </c>
      <c r="BB180" s="60">
        <f ca="1">BB$5-Y180</f>
        <v>5.3505927273811267</v>
      </c>
      <c r="BC180" s="60">
        <f ca="1">BC$5-Z180</f>
        <v>5.4374659098821638</v>
      </c>
      <c r="BD180" s="60">
        <f ca="1">BD$5-AA180</f>
        <v>11.936518664382362</v>
      </c>
      <c r="BE180" s="60">
        <f ca="1">BE$5-AB180</f>
        <v>5.829390591992194</v>
      </c>
      <c r="BF180" s="60">
        <f ca="1">BF$5-AC180</f>
        <v>-8.9826956835229197</v>
      </c>
      <c r="BG180" s="60">
        <f ca="1">BG$5-AD180</f>
        <v>-6.0147412949814907</v>
      </c>
      <c r="BH180" s="60">
        <f ca="1">BH$5-AE180</f>
        <v>-9.0454077696324333</v>
      </c>
      <c r="BI180" s="60">
        <f ca="1">BI$5-AF180</f>
        <v>-3.3914944887451952</v>
      </c>
      <c r="BJ180" s="60">
        <f ca="1">BJ$5-AG180</f>
        <v>5.43955105767877</v>
      </c>
      <c r="BK180" s="60" t="e">
        <f>BK$5-AH180</f>
        <v>#N/A</v>
      </c>
      <c r="BL180" s="60" t="e">
        <f>BL$5-AI180</f>
        <v>#N/A</v>
      </c>
      <c r="BM180" s="60" t="e">
        <f>BM$5-AJ180</f>
        <v>#N/A</v>
      </c>
      <c r="BN180" s="60" t="e">
        <f>BN$5-AK180</f>
        <v>#N/A</v>
      </c>
      <c r="BO180" s="60" t="e">
        <f>BO$5-AL180</f>
        <v>#N/A</v>
      </c>
      <c r="BP180" s="60" t="e">
        <f>BP$5-AM180</f>
        <v>#N/A</v>
      </c>
      <c r="BQ180" s="60" t="e">
        <f>BQ$5-AN180</f>
        <v>#N/A</v>
      </c>
      <c r="BR180" s="60" t="e">
        <f>BR$5-AO180</f>
        <v>#N/A</v>
      </c>
      <c r="BS180" s="60" t="e">
        <f>BS$5-AP180</f>
        <v>#N/A</v>
      </c>
      <c r="BT180" s="60" t="e">
        <f>BT$5-AQ180</f>
        <v>#N/A</v>
      </c>
      <c r="BV180" s="60" cm="1">
        <f t="array" aca="1" ref="BV180" ca="1">SQRT(SUMSQ(_xlfn._xlws.FILTER(AV180:BT180,ISNUMBER(AV180:BT180)))/COUNT(_xlfn._xlws.FILTER(AV180:BT180,ISNUMBER(AV180:BT180))))</f>
        <v>8.7676627976016324</v>
      </c>
    </row>
    <row r="181" spans="3:74" x14ac:dyDescent="0.2">
      <c r="C181" s="60" t="s">
        <v>178</v>
      </c>
      <c r="D181" s="60">
        <v>0</v>
      </c>
      <c r="E181" s="60">
        <v>2</v>
      </c>
      <c r="F181" s="60">
        <v>4</v>
      </c>
      <c r="G181" s="60">
        <v>-17</v>
      </c>
      <c r="H181" s="60">
        <v>-15</v>
      </c>
      <c r="I181" s="60">
        <v>-13</v>
      </c>
      <c r="J181" s="60">
        <v>-11</v>
      </c>
      <c r="K181" s="60">
        <v>-9</v>
      </c>
      <c r="L181" s="60">
        <v>-8</v>
      </c>
      <c r="M181" s="60">
        <v>-6</v>
      </c>
      <c r="N181" s="60">
        <v>-4</v>
      </c>
      <c r="O181" s="60">
        <v>-2</v>
      </c>
      <c r="P181" s="60">
        <v>0</v>
      </c>
      <c r="R181" s="61">
        <f>(ROW(R181)-ROW($C$6))</f>
        <v>175</v>
      </c>
      <c r="S181" s="60">
        <f ca="1">100+HLOOKUP(S$4,$D$7:$P$336,$R181,FALSE)-HLOOKUP(S$3,$D$7:$P$336,$R181,FALSE)</f>
        <v>91</v>
      </c>
      <c r="T181" s="60">
        <f ca="1">100+HLOOKUP(T$4,$D$7:$P$336,$R181,FALSE)-HLOOKUP(T$3,$D$7:$P$336,$R181,FALSE)</f>
        <v>91</v>
      </c>
      <c r="U181" s="60">
        <f ca="1">100+HLOOKUP(U$4,$D$7:$P$336,$R181,FALSE)-HLOOKUP(U$3,$D$7:$P$336,$R181,FALSE)</f>
        <v>90</v>
      </c>
      <c r="V181" s="60">
        <f ca="1">100+HLOOKUP(V$4,$D$7:$P$336,$R181,FALSE)-HLOOKUP(V$3,$D$7:$P$336,$R181,FALSE)</f>
        <v>91</v>
      </c>
      <c r="W181" s="60">
        <f ca="1">100+HLOOKUP(W$4,$D$7:$P$336,$R181,FALSE)-HLOOKUP(W$3,$D$7:$P$336,$R181,FALSE)</f>
        <v>91</v>
      </c>
      <c r="X181" s="60">
        <f ca="1">100+HLOOKUP(X$4,$D$7:$P$336,$R181,FALSE)-HLOOKUP(X$3,$D$7:$P$336,$R181,FALSE)</f>
        <v>91</v>
      </c>
      <c r="Y181" s="60">
        <f ca="1">100+HLOOKUP(Y$4,$D$7:$P$336,$R181,FALSE)-HLOOKUP(Y$3,$D$7:$P$336,$R181,FALSE)</f>
        <v>91</v>
      </c>
      <c r="Z181" s="60">
        <f ca="1">100+HLOOKUP(Z$4,$D$7:$P$336,$R181,FALSE)-HLOOKUP(Z$3,$D$7:$P$336,$R181,FALSE)</f>
        <v>90</v>
      </c>
      <c r="AA181" s="60">
        <f ca="1">100+HLOOKUP(AA$4,$D$7:$P$336,$R181,FALSE)-HLOOKUP(AA$3,$D$7:$P$336,$R181,FALSE)</f>
        <v>91</v>
      </c>
      <c r="AB181" s="60">
        <f ca="1">100+HLOOKUP(AB$4,$D$7:$P$336,$R181,FALSE)-HLOOKUP(AB$3,$D$7:$P$336,$R181,FALSE)</f>
        <v>91</v>
      </c>
      <c r="AC181" s="60">
        <f ca="1">100+HLOOKUP(AC$4,$D$7:$P$336,$R181,FALSE)-HLOOKUP(AC$3,$D$7:$P$336,$R181,FALSE)</f>
        <v>90</v>
      </c>
      <c r="AD181" s="60">
        <f ca="1">100+HLOOKUP(AD$4,$D$7:$P$336,$R181,FALSE)-HLOOKUP(AD$3,$D$7:$P$336,$R181,FALSE)</f>
        <v>113</v>
      </c>
      <c r="AE181" s="60">
        <f ca="1">100+HLOOKUP(AE$4,$D$7:$P$336,$R181,FALSE)-HLOOKUP(AE$3,$D$7:$P$336,$R181,FALSE)</f>
        <v>113</v>
      </c>
      <c r="AF181" s="60">
        <f ca="1">100+HLOOKUP(AF$4,$D$7:$P$336,$R181,FALSE)-HLOOKUP(AF$3,$D$7:$P$336,$R181,FALSE)</f>
        <v>91</v>
      </c>
      <c r="AG181" s="60">
        <f ca="1">100+HLOOKUP(AG$4,$D$7:$P$336,$R181,FALSE)-HLOOKUP(AG$3,$D$7:$P$336,$R181,FALSE)</f>
        <v>91</v>
      </c>
      <c r="AH181" s="60" t="e">
        <f>100+HLOOKUP(AH$4,$D$7:$P$336,$R181,FALSE)-HLOOKUP(AH$3,$D$7:$P$336,$R181,FALSE)</f>
        <v>#N/A</v>
      </c>
      <c r="AI181" s="60" t="e">
        <f>100+HLOOKUP(AI$4,$D$7:$P$336,$R181,FALSE)-HLOOKUP(AI$3,$D$7:$P$336,$R181,FALSE)</f>
        <v>#N/A</v>
      </c>
      <c r="AJ181" s="60" t="e">
        <f>100+HLOOKUP(AJ$4,$D$7:$P$336,$R181,FALSE)-HLOOKUP(AJ$3,$D$7:$P$336,$R181,FALSE)</f>
        <v>#N/A</v>
      </c>
      <c r="AK181" s="60" t="e">
        <f>100+HLOOKUP(AK$4,$D$7:$P$336,$R181,FALSE)-HLOOKUP(AK$3,$D$7:$P$336,$R181,FALSE)</f>
        <v>#N/A</v>
      </c>
      <c r="AL181" s="60" t="e">
        <f>100+HLOOKUP(AL$4,$D$7:$P$336,$R181,FALSE)-HLOOKUP(AL$3,$D$7:$P$336,$R181,FALSE)</f>
        <v>#N/A</v>
      </c>
      <c r="AM181" s="60" t="e">
        <f>100+HLOOKUP(AM$4,$D$7:$P$336,$R181,FALSE)-HLOOKUP(AM$3,$D$7:$P$336,$R181,FALSE)</f>
        <v>#N/A</v>
      </c>
      <c r="AN181" s="60" t="e">
        <f>100+HLOOKUP(AN$4,$D$7:$P$336,$R181,FALSE)-HLOOKUP(AN$3,$D$7:$P$336,$R181,FALSE)</f>
        <v>#N/A</v>
      </c>
      <c r="AO181" s="60" t="e">
        <f>100+HLOOKUP(AO$4,$D$7:$P$336,$R181,FALSE)-HLOOKUP(AO$3,$D$7:$P$336,$R181,FALSE)</f>
        <v>#N/A</v>
      </c>
      <c r="AP181" s="60" t="e">
        <f>100+HLOOKUP(AP$4,$D$7:$P$336,$R181,FALSE)-HLOOKUP(AP$3,$D$7:$P$336,$R181,FALSE)</f>
        <v>#N/A</v>
      </c>
      <c r="AQ181" s="60" t="e">
        <f>100+HLOOKUP(AQ$4,$D$7:$P$336,$R181,FALSE)-HLOOKUP(AQ$3,$D$7:$P$336,$R181,FALSE)</f>
        <v>#N/A</v>
      </c>
      <c r="AV181" s="60">
        <f ca="1">AV$5-S181</f>
        <v>12.190399426796432</v>
      </c>
      <c r="AW181" s="60">
        <f ca="1">AW$5-T181</f>
        <v>3.2206505297577479</v>
      </c>
      <c r="AX181" s="60">
        <f ca="1">AX$5-U181</f>
        <v>11.775915403668051</v>
      </c>
      <c r="AY181" s="60">
        <f ca="1">AY$5-V181</f>
        <v>2.6030144015278012</v>
      </c>
      <c r="AZ181" s="60">
        <f ca="1">AZ$5-W181</f>
        <v>6.4544821725960304</v>
      </c>
      <c r="BA181" s="60">
        <f ca="1">BA$5-X181</f>
        <v>7.4650590589827033</v>
      </c>
      <c r="BB181" s="60">
        <f ca="1">BB$5-Y181</f>
        <v>2.3505927273811267</v>
      </c>
      <c r="BC181" s="60">
        <f ca="1">BC$5-Z181</f>
        <v>17.437465909882164</v>
      </c>
      <c r="BD181" s="60">
        <f ca="1">BD$5-AA181</f>
        <v>6.936518664382362</v>
      </c>
      <c r="BE181" s="60">
        <f ca="1">BE$5-AB181</f>
        <v>0.829390591992194</v>
      </c>
      <c r="BF181" s="60">
        <f ca="1">BF$5-AC181</f>
        <v>11.01730431647708</v>
      </c>
      <c r="BG181" s="60">
        <f ca="1">BG$5-AD181</f>
        <v>-9.0147412949814907</v>
      </c>
      <c r="BH181" s="60">
        <f ca="1">BH$5-AE181</f>
        <v>-14.045407769632433</v>
      </c>
      <c r="BI181" s="60">
        <f ca="1">BI$5-AF181</f>
        <v>-0.39149448874519521</v>
      </c>
      <c r="BJ181" s="60">
        <f ca="1">BJ$5-AG181</f>
        <v>0.43955105767877001</v>
      </c>
      <c r="BK181" s="60" t="e">
        <f>BK$5-AH181</f>
        <v>#N/A</v>
      </c>
      <c r="BL181" s="60" t="e">
        <f>BL$5-AI181</f>
        <v>#N/A</v>
      </c>
      <c r="BM181" s="60" t="e">
        <f>BM$5-AJ181</f>
        <v>#N/A</v>
      </c>
      <c r="BN181" s="60" t="e">
        <f>BN$5-AK181</f>
        <v>#N/A</v>
      </c>
      <c r="BO181" s="60" t="e">
        <f>BO$5-AL181</f>
        <v>#N/A</v>
      </c>
      <c r="BP181" s="60" t="e">
        <f>BP$5-AM181</f>
        <v>#N/A</v>
      </c>
      <c r="BQ181" s="60" t="e">
        <f>BQ$5-AN181</f>
        <v>#N/A</v>
      </c>
      <c r="BR181" s="60" t="e">
        <f>BR$5-AO181</f>
        <v>#N/A</v>
      </c>
      <c r="BS181" s="60" t="e">
        <f>BS$5-AP181</f>
        <v>#N/A</v>
      </c>
      <c r="BT181" s="60" t="e">
        <f>BT$5-AQ181</f>
        <v>#N/A</v>
      </c>
      <c r="BV181" s="60" cm="1">
        <f t="array" aca="1" ref="BV181" ca="1">SQRT(SUMSQ(_xlfn._xlws.FILTER(AV181:BT181,ISNUMBER(AV181:BT181)))/COUNT(_xlfn._xlws.FILTER(AV181:BT181,ISNUMBER(AV181:BT181))))</f>
        <v>8.7957335620642407</v>
      </c>
    </row>
    <row r="182" spans="3:74" x14ac:dyDescent="0.2">
      <c r="C182" s="60" t="s">
        <v>179</v>
      </c>
      <c r="D182" s="60">
        <v>0</v>
      </c>
      <c r="E182" s="60">
        <v>1.887</v>
      </c>
      <c r="F182" s="60">
        <v>3.774</v>
      </c>
      <c r="G182" s="60">
        <v>-16.981000000000002</v>
      </c>
      <c r="H182" s="60">
        <v>-15.093999999999999</v>
      </c>
      <c r="I182" s="60">
        <v>-13.076000000000001</v>
      </c>
      <c r="J182" s="60">
        <v>-11.311999999999999</v>
      </c>
      <c r="K182" s="60">
        <v>-9.4339999999999993</v>
      </c>
      <c r="L182" s="60">
        <v>-7.5469999999999997</v>
      </c>
      <c r="M182" s="60">
        <v>-5.66</v>
      </c>
      <c r="N182" s="60">
        <v>-3.774</v>
      </c>
      <c r="O182" s="60">
        <v>-1.887</v>
      </c>
      <c r="P182" s="60">
        <v>0</v>
      </c>
      <c r="R182" s="61">
        <f>(ROW(R182)-ROW($C$6))</f>
        <v>176</v>
      </c>
      <c r="S182" s="60">
        <f ca="1">100+HLOOKUP(S$4,$D$7:$P$336,$R182,FALSE)-HLOOKUP(S$3,$D$7:$P$336,$R182,FALSE)</f>
        <v>90.566000000000003</v>
      </c>
      <c r="T182" s="60">
        <f ca="1">100+HLOOKUP(T$4,$D$7:$P$336,$R182,FALSE)-HLOOKUP(T$3,$D$7:$P$336,$R182,FALSE)</f>
        <v>90.575000000000003</v>
      </c>
      <c r="U182" s="60">
        <f ca="1">100+HLOOKUP(U$4,$D$7:$P$336,$R182,FALSE)-HLOOKUP(U$3,$D$7:$P$336,$R182,FALSE)</f>
        <v>90.566000000000003</v>
      </c>
      <c r="V182" s="60">
        <f ca="1">100+HLOOKUP(V$4,$D$7:$P$336,$R182,FALSE)-HLOOKUP(V$3,$D$7:$P$336,$R182,FALSE)</f>
        <v>90.698000000000008</v>
      </c>
      <c r="W182" s="60">
        <f ca="1">100+HLOOKUP(W$4,$D$7:$P$336,$R182,FALSE)-HLOOKUP(W$3,$D$7:$P$336,$R182,FALSE)</f>
        <v>90.566000000000003</v>
      </c>
      <c r="X182" s="60">
        <f ca="1">100+HLOOKUP(X$4,$D$7:$P$336,$R182,FALSE)-HLOOKUP(X$3,$D$7:$P$336,$R182,FALSE)</f>
        <v>90.566000000000003</v>
      </c>
      <c r="Y182" s="60">
        <f ca="1">100+HLOOKUP(Y$4,$D$7:$P$336,$R182,FALSE)-HLOOKUP(Y$3,$D$7:$P$336,$R182,FALSE)</f>
        <v>90.575000000000003</v>
      </c>
      <c r="Z182" s="60">
        <f ca="1">100+HLOOKUP(Z$4,$D$7:$P$336,$R182,FALSE)-HLOOKUP(Z$3,$D$7:$P$336,$R182,FALSE)</f>
        <v>90.566000000000003</v>
      </c>
      <c r="AA182" s="60">
        <f ca="1">100+HLOOKUP(AA$4,$D$7:$P$336,$R182,FALSE)-HLOOKUP(AA$3,$D$7:$P$336,$R182,FALSE)</f>
        <v>90.698000000000008</v>
      </c>
      <c r="AB182" s="60">
        <f ca="1">100+HLOOKUP(AB$4,$D$7:$P$336,$R182,FALSE)-HLOOKUP(AB$3,$D$7:$P$336,$R182,FALSE)</f>
        <v>90.566000000000003</v>
      </c>
      <c r="AC182" s="60">
        <f ca="1">100+HLOOKUP(AC$4,$D$7:$P$336,$R182,FALSE)-HLOOKUP(AC$3,$D$7:$P$336,$R182,FALSE)</f>
        <v>90.566000000000003</v>
      </c>
      <c r="AD182" s="60">
        <f ca="1">100+HLOOKUP(AD$4,$D$7:$P$336,$R182,FALSE)-HLOOKUP(AD$3,$D$7:$P$336,$R182,FALSE)</f>
        <v>113.20699999999999</v>
      </c>
      <c r="AE182" s="60">
        <f ca="1">100+HLOOKUP(AE$4,$D$7:$P$336,$R182,FALSE)-HLOOKUP(AE$3,$D$7:$P$336,$R182,FALSE)</f>
        <v>113.199</v>
      </c>
      <c r="AF182" s="60">
        <f ca="1">100+HLOOKUP(AF$4,$D$7:$P$336,$R182,FALSE)-HLOOKUP(AF$3,$D$7:$P$336,$R182,FALSE)</f>
        <v>90.566000000000003</v>
      </c>
      <c r="AG182" s="60">
        <f ca="1">100+HLOOKUP(AG$4,$D$7:$P$336,$R182,FALSE)-HLOOKUP(AG$3,$D$7:$P$336,$R182,FALSE)</f>
        <v>90.698000000000008</v>
      </c>
      <c r="AH182" s="60" t="e">
        <f>100+HLOOKUP(AH$4,$D$7:$P$336,$R182,FALSE)-HLOOKUP(AH$3,$D$7:$P$336,$R182,FALSE)</f>
        <v>#N/A</v>
      </c>
      <c r="AI182" s="60" t="e">
        <f>100+HLOOKUP(AI$4,$D$7:$P$336,$R182,FALSE)-HLOOKUP(AI$3,$D$7:$P$336,$R182,FALSE)</f>
        <v>#N/A</v>
      </c>
      <c r="AJ182" s="60" t="e">
        <f>100+HLOOKUP(AJ$4,$D$7:$P$336,$R182,FALSE)-HLOOKUP(AJ$3,$D$7:$P$336,$R182,FALSE)</f>
        <v>#N/A</v>
      </c>
      <c r="AK182" s="60" t="e">
        <f>100+HLOOKUP(AK$4,$D$7:$P$336,$R182,FALSE)-HLOOKUP(AK$3,$D$7:$P$336,$R182,FALSE)</f>
        <v>#N/A</v>
      </c>
      <c r="AL182" s="60" t="e">
        <f>100+HLOOKUP(AL$4,$D$7:$P$336,$R182,FALSE)-HLOOKUP(AL$3,$D$7:$P$336,$R182,FALSE)</f>
        <v>#N/A</v>
      </c>
      <c r="AM182" s="60" t="e">
        <f>100+HLOOKUP(AM$4,$D$7:$P$336,$R182,FALSE)-HLOOKUP(AM$3,$D$7:$P$336,$R182,FALSE)</f>
        <v>#N/A</v>
      </c>
      <c r="AN182" s="60" t="e">
        <f>100+HLOOKUP(AN$4,$D$7:$P$336,$R182,FALSE)-HLOOKUP(AN$3,$D$7:$P$336,$R182,FALSE)</f>
        <v>#N/A</v>
      </c>
      <c r="AO182" s="60" t="e">
        <f>100+HLOOKUP(AO$4,$D$7:$P$336,$R182,FALSE)-HLOOKUP(AO$3,$D$7:$P$336,$R182,FALSE)</f>
        <v>#N/A</v>
      </c>
      <c r="AP182" s="60" t="e">
        <f>100+HLOOKUP(AP$4,$D$7:$P$336,$R182,FALSE)-HLOOKUP(AP$3,$D$7:$P$336,$R182,FALSE)</f>
        <v>#N/A</v>
      </c>
      <c r="AQ182" s="60" t="e">
        <f>100+HLOOKUP(AQ$4,$D$7:$P$336,$R182,FALSE)-HLOOKUP(AQ$3,$D$7:$P$336,$R182,FALSE)</f>
        <v>#N/A</v>
      </c>
      <c r="AV182" s="60">
        <f ca="1">AV$5-S182</f>
        <v>12.62439942679643</v>
      </c>
      <c r="AW182" s="60">
        <f ca="1">AW$5-T182</f>
        <v>3.6456505297577451</v>
      </c>
      <c r="AX182" s="60">
        <f ca="1">AX$5-U182</f>
        <v>11.209915403668049</v>
      </c>
      <c r="AY182" s="60">
        <f ca="1">AY$5-V182</f>
        <v>2.9050144015277937</v>
      </c>
      <c r="AZ182" s="60">
        <f ca="1">AZ$5-W182</f>
        <v>6.8884821725960279</v>
      </c>
      <c r="BA182" s="60">
        <f ca="1">BA$5-X182</f>
        <v>7.8990590589827008</v>
      </c>
      <c r="BB182" s="60">
        <f ca="1">BB$5-Y182</f>
        <v>2.7755927273811238</v>
      </c>
      <c r="BC182" s="60">
        <f ca="1">BC$5-Z182</f>
        <v>16.871465909882161</v>
      </c>
      <c r="BD182" s="60">
        <f ca="1">BD$5-AA182</f>
        <v>7.2385186643823545</v>
      </c>
      <c r="BE182" s="60">
        <f ca="1">BE$5-AB182</f>
        <v>1.2633905919921915</v>
      </c>
      <c r="BF182" s="60">
        <f ca="1">BF$5-AC182</f>
        <v>10.451304316477078</v>
      </c>
      <c r="BG182" s="60">
        <f ca="1">BG$5-AD182</f>
        <v>-9.2217412949814843</v>
      </c>
      <c r="BH182" s="60">
        <f ca="1">BH$5-AE182</f>
        <v>-14.244407769632431</v>
      </c>
      <c r="BI182" s="60">
        <f ca="1">BI$5-AF182</f>
        <v>4.2505511254802286E-2</v>
      </c>
      <c r="BJ182" s="60">
        <f ca="1">BJ$5-AG182</f>
        <v>0.7415510576787625</v>
      </c>
      <c r="BK182" s="60" t="e">
        <f>BK$5-AH182</f>
        <v>#N/A</v>
      </c>
      <c r="BL182" s="60" t="e">
        <f>BL$5-AI182</f>
        <v>#N/A</v>
      </c>
      <c r="BM182" s="60" t="e">
        <f>BM$5-AJ182</f>
        <v>#N/A</v>
      </c>
      <c r="BN182" s="60" t="e">
        <f>BN$5-AK182</f>
        <v>#N/A</v>
      </c>
      <c r="BO182" s="60" t="e">
        <f>BO$5-AL182</f>
        <v>#N/A</v>
      </c>
      <c r="BP182" s="60" t="e">
        <f>BP$5-AM182</f>
        <v>#N/A</v>
      </c>
      <c r="BQ182" s="60" t="e">
        <f>BQ$5-AN182</f>
        <v>#N/A</v>
      </c>
      <c r="BR182" s="60" t="e">
        <f>BR$5-AO182</f>
        <v>#N/A</v>
      </c>
      <c r="BS182" s="60" t="e">
        <f>BS$5-AP182</f>
        <v>#N/A</v>
      </c>
      <c r="BT182" s="60" t="e">
        <f>BT$5-AQ182</f>
        <v>#N/A</v>
      </c>
      <c r="BV182" s="60" cm="1">
        <f t="array" aca="1" ref="BV182" ca="1">SQRT(SUMSQ(_xlfn._xlws.FILTER(AV182:BT182,ISNUMBER(AV182:BT182)))/COUNT(_xlfn._xlws.FILTER(AV182:BT182,ISNUMBER(AV182:BT182))))</f>
        <v>8.796520442257826</v>
      </c>
    </row>
    <row r="183" spans="3:74" x14ac:dyDescent="0.2">
      <c r="C183" s="60" t="s">
        <v>390</v>
      </c>
      <c r="D183" s="60">
        <v>0</v>
      </c>
      <c r="E183" s="60">
        <v>8</v>
      </c>
      <c r="F183" s="60">
        <v>-3</v>
      </c>
      <c r="G183" s="60">
        <v>0</v>
      </c>
      <c r="H183" s="60">
        <v>-5</v>
      </c>
      <c r="I183" s="60">
        <v>3</v>
      </c>
      <c r="J183" s="60">
        <v>2</v>
      </c>
      <c r="K183" s="60">
        <v>-6</v>
      </c>
      <c r="L183" s="60">
        <v>-4</v>
      </c>
      <c r="M183" s="60">
        <v>1</v>
      </c>
      <c r="N183" s="60">
        <v>2</v>
      </c>
      <c r="O183" s="60">
        <v>2</v>
      </c>
      <c r="P183" s="60">
        <v>0</v>
      </c>
      <c r="R183" s="61">
        <f>(ROW(R183)-ROW($C$6))</f>
        <v>177</v>
      </c>
      <c r="S183" s="60">
        <f ca="1">100+HLOOKUP(S$4,$D$7:$P$336,$R183,FALSE)-HLOOKUP(S$3,$D$7:$P$336,$R183,FALSE)</f>
        <v>94</v>
      </c>
      <c r="T183" s="60">
        <f ca="1">100+HLOOKUP(T$4,$D$7:$P$336,$R183,FALSE)-HLOOKUP(T$3,$D$7:$P$336,$R183,FALSE)</f>
        <v>100</v>
      </c>
      <c r="U183" s="60">
        <f ca="1">100+HLOOKUP(U$4,$D$7:$P$336,$R183,FALSE)-HLOOKUP(U$3,$D$7:$P$336,$R183,FALSE)</f>
        <v>88</v>
      </c>
      <c r="V183" s="60">
        <f ca="1">100+HLOOKUP(V$4,$D$7:$P$336,$R183,FALSE)-HLOOKUP(V$3,$D$7:$P$336,$R183,FALSE)</f>
        <v>101</v>
      </c>
      <c r="W183" s="60">
        <f ca="1">100+HLOOKUP(W$4,$D$7:$P$336,$R183,FALSE)-HLOOKUP(W$3,$D$7:$P$336,$R183,FALSE)</f>
        <v>94</v>
      </c>
      <c r="X183" s="60">
        <f ca="1">100+HLOOKUP(X$4,$D$7:$P$336,$R183,FALSE)-HLOOKUP(X$3,$D$7:$P$336,$R183,FALSE)</f>
        <v>94</v>
      </c>
      <c r="Y183" s="60">
        <f ca="1">100+HLOOKUP(Y$4,$D$7:$P$336,$R183,FALSE)-HLOOKUP(Y$3,$D$7:$P$336,$R183,FALSE)</f>
        <v>100</v>
      </c>
      <c r="Z183" s="60">
        <f ca="1">100+HLOOKUP(Z$4,$D$7:$P$336,$R183,FALSE)-HLOOKUP(Z$3,$D$7:$P$336,$R183,FALSE)</f>
        <v>88</v>
      </c>
      <c r="AA183" s="60">
        <f ca="1">100+HLOOKUP(AA$4,$D$7:$P$336,$R183,FALSE)-HLOOKUP(AA$3,$D$7:$P$336,$R183,FALSE)</f>
        <v>101</v>
      </c>
      <c r="AB183" s="60">
        <f ca="1">100+HLOOKUP(AB$4,$D$7:$P$336,$R183,FALSE)-HLOOKUP(AB$3,$D$7:$P$336,$R183,FALSE)</f>
        <v>94</v>
      </c>
      <c r="AC183" s="60">
        <f ca="1">100+HLOOKUP(AC$4,$D$7:$P$336,$R183,FALSE)-HLOOKUP(AC$3,$D$7:$P$336,$R183,FALSE)</f>
        <v>104</v>
      </c>
      <c r="AD183" s="60">
        <f ca="1">100+HLOOKUP(AD$4,$D$7:$P$336,$R183,FALSE)-HLOOKUP(AD$3,$D$7:$P$336,$R183,FALSE)</f>
        <v>107</v>
      </c>
      <c r="AE183" s="60">
        <f ca="1">100+HLOOKUP(AE$4,$D$7:$P$336,$R183,FALSE)-HLOOKUP(AE$3,$D$7:$P$336,$R183,FALSE)</f>
        <v>106</v>
      </c>
      <c r="AF183" s="60">
        <f ca="1">100+HLOOKUP(AF$4,$D$7:$P$336,$R183,FALSE)-HLOOKUP(AF$3,$D$7:$P$336,$R183,FALSE)</f>
        <v>104</v>
      </c>
      <c r="AG183" s="60">
        <f ca="1">100+HLOOKUP(AG$4,$D$7:$P$336,$R183,FALSE)-HLOOKUP(AG$3,$D$7:$P$336,$R183,FALSE)</f>
        <v>101</v>
      </c>
      <c r="AH183" s="60" t="e">
        <f>100+HLOOKUP(AH$4,$D$7:$P$336,$R183,FALSE)-HLOOKUP(AH$3,$D$7:$P$336,$R183,FALSE)</f>
        <v>#N/A</v>
      </c>
      <c r="AI183" s="60" t="e">
        <f>100+HLOOKUP(AI$4,$D$7:$P$336,$R183,FALSE)-HLOOKUP(AI$3,$D$7:$P$336,$R183,FALSE)</f>
        <v>#N/A</v>
      </c>
      <c r="AJ183" s="60" t="e">
        <f>100+HLOOKUP(AJ$4,$D$7:$P$336,$R183,FALSE)-HLOOKUP(AJ$3,$D$7:$P$336,$R183,FALSE)</f>
        <v>#N/A</v>
      </c>
      <c r="AK183" s="60" t="e">
        <f>100+HLOOKUP(AK$4,$D$7:$P$336,$R183,FALSE)-HLOOKUP(AK$3,$D$7:$P$336,$R183,FALSE)</f>
        <v>#N/A</v>
      </c>
      <c r="AL183" s="60" t="e">
        <f>100+HLOOKUP(AL$4,$D$7:$P$336,$R183,FALSE)-HLOOKUP(AL$3,$D$7:$P$336,$R183,FALSE)</f>
        <v>#N/A</v>
      </c>
      <c r="AM183" s="60" t="e">
        <f>100+HLOOKUP(AM$4,$D$7:$P$336,$R183,FALSE)-HLOOKUP(AM$3,$D$7:$P$336,$R183,FALSE)</f>
        <v>#N/A</v>
      </c>
      <c r="AN183" s="60" t="e">
        <f>100+HLOOKUP(AN$4,$D$7:$P$336,$R183,FALSE)-HLOOKUP(AN$3,$D$7:$P$336,$R183,FALSE)</f>
        <v>#N/A</v>
      </c>
      <c r="AO183" s="60" t="e">
        <f>100+HLOOKUP(AO$4,$D$7:$P$336,$R183,FALSE)-HLOOKUP(AO$3,$D$7:$P$336,$R183,FALSE)</f>
        <v>#N/A</v>
      </c>
      <c r="AP183" s="60" t="e">
        <f>100+HLOOKUP(AP$4,$D$7:$P$336,$R183,FALSE)-HLOOKUP(AP$3,$D$7:$P$336,$R183,FALSE)</f>
        <v>#N/A</v>
      </c>
      <c r="AQ183" s="60" t="e">
        <f>100+HLOOKUP(AQ$4,$D$7:$P$336,$R183,FALSE)-HLOOKUP(AQ$3,$D$7:$P$336,$R183,FALSE)</f>
        <v>#N/A</v>
      </c>
      <c r="AV183" s="60">
        <f ca="1">AV$5-S183</f>
        <v>9.1903994267964322</v>
      </c>
      <c r="AW183" s="60">
        <f ca="1">AW$5-T183</f>
        <v>-5.7793494702422521</v>
      </c>
      <c r="AX183" s="60">
        <f ca="1">AX$5-U183</f>
        <v>13.775915403668051</v>
      </c>
      <c r="AY183" s="60">
        <f ca="1">AY$5-V183</f>
        <v>-7.3969855984721988</v>
      </c>
      <c r="AZ183" s="60">
        <f ca="1">AZ$5-W183</f>
        <v>3.4544821725960304</v>
      </c>
      <c r="BA183" s="60">
        <f ca="1">BA$5-X183</f>
        <v>4.4650590589827033</v>
      </c>
      <c r="BB183" s="60">
        <f ca="1">BB$5-Y183</f>
        <v>-6.6494072726188733</v>
      </c>
      <c r="BC183" s="60">
        <f ca="1">BC$5-Z183</f>
        <v>19.437465909882164</v>
      </c>
      <c r="BD183" s="60">
        <f ca="1">BD$5-AA183</f>
        <v>-3.063481335617638</v>
      </c>
      <c r="BE183" s="60">
        <f ca="1">BE$5-AB183</f>
        <v>-2.170609408007806</v>
      </c>
      <c r="BF183" s="60">
        <f ca="1">BF$5-AC183</f>
        <v>-2.9826956835229197</v>
      </c>
      <c r="BG183" s="60">
        <f ca="1">BG$5-AD183</f>
        <v>-3.0147412949814907</v>
      </c>
      <c r="BH183" s="60">
        <f ca="1">BH$5-AE183</f>
        <v>-7.0454077696324333</v>
      </c>
      <c r="BI183" s="60">
        <f ca="1">BI$5-AF183</f>
        <v>-13.391494488745195</v>
      </c>
      <c r="BJ183" s="60">
        <f ca="1">BJ$5-AG183</f>
        <v>-9.56044894232123</v>
      </c>
      <c r="BK183" s="60" t="e">
        <f>BK$5-AH183</f>
        <v>#N/A</v>
      </c>
      <c r="BL183" s="60" t="e">
        <f>BL$5-AI183</f>
        <v>#N/A</v>
      </c>
      <c r="BM183" s="60" t="e">
        <f>BM$5-AJ183</f>
        <v>#N/A</v>
      </c>
      <c r="BN183" s="60" t="e">
        <f>BN$5-AK183</f>
        <v>#N/A</v>
      </c>
      <c r="BO183" s="60" t="e">
        <f>BO$5-AL183</f>
        <v>#N/A</v>
      </c>
      <c r="BP183" s="60" t="e">
        <f>BP$5-AM183</f>
        <v>#N/A</v>
      </c>
      <c r="BQ183" s="60" t="e">
        <f>BQ$5-AN183</f>
        <v>#N/A</v>
      </c>
      <c r="BR183" s="60" t="e">
        <f>BR$5-AO183</f>
        <v>#N/A</v>
      </c>
      <c r="BS183" s="60" t="e">
        <f>BS$5-AP183</f>
        <v>#N/A</v>
      </c>
      <c r="BT183" s="60" t="e">
        <f>BT$5-AQ183</f>
        <v>#N/A</v>
      </c>
      <c r="BV183" s="60" cm="1">
        <f t="array" aca="1" ref="BV183" ca="1">SQRT(SUMSQ(_xlfn._xlws.FILTER(AV183:BT183,ISNUMBER(AV183:BT183)))/COUNT(_xlfn._xlws.FILTER(AV183:BT183,ISNUMBER(AV183:BT183))))</f>
        <v>8.826887490712501</v>
      </c>
    </row>
    <row r="184" spans="3:74" x14ac:dyDescent="0.2">
      <c r="C184" s="60" t="s">
        <v>235</v>
      </c>
      <c r="D184" s="60">
        <v>0</v>
      </c>
      <c r="E184" s="60">
        <v>1.9550000000000001</v>
      </c>
      <c r="F184" s="60">
        <v>-17.596</v>
      </c>
      <c r="G184" s="60">
        <v>-15.641</v>
      </c>
      <c r="H184" s="60">
        <v>-13.686</v>
      </c>
      <c r="I184" s="60">
        <v>-11.731</v>
      </c>
      <c r="J184" s="60">
        <v>-3</v>
      </c>
      <c r="K184" s="60">
        <v>-11.199</v>
      </c>
      <c r="L184" s="60">
        <v>-9.2439999999999998</v>
      </c>
      <c r="M184" s="60">
        <v>-18.641999999999999</v>
      </c>
      <c r="N184" s="60">
        <v>-16.687000000000001</v>
      </c>
      <c r="O184" s="60">
        <v>-1.9550000000000001</v>
      </c>
      <c r="P184" s="60">
        <v>0</v>
      </c>
      <c r="R184" s="61">
        <f>(ROW(R184)-ROW($C$6))</f>
        <v>178</v>
      </c>
      <c r="S184" s="60">
        <f ca="1">100+HLOOKUP(S$4,$D$7:$P$336,$R184,FALSE)-HLOOKUP(S$3,$D$7:$P$336,$R184,FALSE)</f>
        <v>104.95599999999999</v>
      </c>
      <c r="T184" s="60">
        <f ca="1">100+HLOOKUP(T$4,$D$7:$P$336,$R184,FALSE)-HLOOKUP(T$3,$D$7:$P$336,$R184,FALSE)</f>
        <v>98.954999999999998</v>
      </c>
      <c r="U184" s="60">
        <f ca="1">100+HLOOKUP(U$4,$D$7:$P$336,$R184,FALSE)-HLOOKUP(U$3,$D$7:$P$336,$R184,FALSE)</f>
        <v>88.801000000000002</v>
      </c>
      <c r="V184" s="60">
        <f ca="1">100+HLOOKUP(V$4,$D$7:$P$336,$R184,FALSE)-HLOOKUP(V$3,$D$7:$P$336,$R184,FALSE)</f>
        <v>104.956</v>
      </c>
      <c r="W184" s="60">
        <f ca="1">100+HLOOKUP(W$4,$D$7:$P$336,$R184,FALSE)-HLOOKUP(W$3,$D$7:$P$336,$R184,FALSE)</f>
        <v>88.801000000000002</v>
      </c>
      <c r="X184" s="60">
        <f ca="1">100+HLOOKUP(X$4,$D$7:$P$336,$R184,FALSE)-HLOOKUP(X$3,$D$7:$P$336,$R184,FALSE)</f>
        <v>104.95599999999999</v>
      </c>
      <c r="Y184" s="60">
        <f ca="1">100+HLOOKUP(Y$4,$D$7:$P$336,$R184,FALSE)-HLOOKUP(Y$3,$D$7:$P$336,$R184,FALSE)</f>
        <v>98.954999999999998</v>
      </c>
      <c r="Z184" s="60">
        <f ca="1">100+HLOOKUP(Z$4,$D$7:$P$336,$R184,FALSE)-HLOOKUP(Z$3,$D$7:$P$336,$R184,FALSE)</f>
        <v>88.801000000000002</v>
      </c>
      <c r="AA184" s="60">
        <f ca="1">100+HLOOKUP(AA$4,$D$7:$P$336,$R184,FALSE)-HLOOKUP(AA$3,$D$7:$P$336,$R184,FALSE)</f>
        <v>104.956</v>
      </c>
      <c r="AB184" s="60">
        <f ca="1">100+HLOOKUP(AB$4,$D$7:$P$336,$R184,FALSE)-HLOOKUP(AB$3,$D$7:$P$336,$R184,FALSE)</f>
        <v>88.801000000000002</v>
      </c>
      <c r="AC184" s="60">
        <f ca="1">100+HLOOKUP(AC$4,$D$7:$P$336,$R184,FALSE)-HLOOKUP(AC$3,$D$7:$P$336,$R184,FALSE)</f>
        <v>98.954000000000008</v>
      </c>
      <c r="AD184" s="60">
        <f ca="1">100+HLOOKUP(AD$4,$D$7:$P$336,$R184,FALSE)-HLOOKUP(AD$3,$D$7:$P$336,$R184,FALSE)</f>
        <v>111.73099999999999</v>
      </c>
      <c r="AE184" s="60">
        <f ca="1">100+HLOOKUP(AE$4,$D$7:$P$336,$R184,FALSE)-HLOOKUP(AE$3,$D$7:$P$336,$R184,FALSE)</f>
        <v>104.955</v>
      </c>
      <c r="AF184" s="60">
        <f ca="1">100+HLOOKUP(AF$4,$D$7:$P$336,$R184,FALSE)-HLOOKUP(AF$3,$D$7:$P$336,$R184,FALSE)</f>
        <v>93.602999999999994</v>
      </c>
      <c r="AG184" s="60">
        <f ca="1">100+HLOOKUP(AG$4,$D$7:$P$336,$R184,FALSE)-HLOOKUP(AG$3,$D$7:$P$336,$R184,FALSE)</f>
        <v>104.956</v>
      </c>
      <c r="AH184" s="60" t="e">
        <f>100+HLOOKUP(AH$4,$D$7:$P$336,$R184,FALSE)-HLOOKUP(AH$3,$D$7:$P$336,$R184,FALSE)</f>
        <v>#N/A</v>
      </c>
      <c r="AI184" s="60" t="e">
        <f>100+HLOOKUP(AI$4,$D$7:$P$336,$R184,FALSE)-HLOOKUP(AI$3,$D$7:$P$336,$R184,FALSE)</f>
        <v>#N/A</v>
      </c>
      <c r="AJ184" s="60" t="e">
        <f>100+HLOOKUP(AJ$4,$D$7:$P$336,$R184,FALSE)-HLOOKUP(AJ$3,$D$7:$P$336,$R184,FALSE)</f>
        <v>#N/A</v>
      </c>
      <c r="AK184" s="60" t="e">
        <f>100+HLOOKUP(AK$4,$D$7:$P$336,$R184,FALSE)-HLOOKUP(AK$3,$D$7:$P$336,$R184,FALSE)</f>
        <v>#N/A</v>
      </c>
      <c r="AL184" s="60" t="e">
        <f>100+HLOOKUP(AL$4,$D$7:$P$336,$R184,FALSE)-HLOOKUP(AL$3,$D$7:$P$336,$R184,FALSE)</f>
        <v>#N/A</v>
      </c>
      <c r="AM184" s="60" t="e">
        <f>100+HLOOKUP(AM$4,$D$7:$P$336,$R184,FALSE)-HLOOKUP(AM$3,$D$7:$P$336,$R184,FALSE)</f>
        <v>#N/A</v>
      </c>
      <c r="AN184" s="60" t="e">
        <f>100+HLOOKUP(AN$4,$D$7:$P$336,$R184,FALSE)-HLOOKUP(AN$3,$D$7:$P$336,$R184,FALSE)</f>
        <v>#N/A</v>
      </c>
      <c r="AO184" s="60" t="e">
        <f>100+HLOOKUP(AO$4,$D$7:$P$336,$R184,FALSE)-HLOOKUP(AO$3,$D$7:$P$336,$R184,FALSE)</f>
        <v>#N/A</v>
      </c>
      <c r="AP184" s="60" t="e">
        <f>100+HLOOKUP(AP$4,$D$7:$P$336,$R184,FALSE)-HLOOKUP(AP$3,$D$7:$P$336,$R184,FALSE)</f>
        <v>#N/A</v>
      </c>
      <c r="AQ184" s="60" t="e">
        <f>100+HLOOKUP(AQ$4,$D$7:$P$336,$R184,FALSE)-HLOOKUP(AQ$3,$D$7:$P$336,$R184,FALSE)</f>
        <v>#N/A</v>
      </c>
      <c r="AV184" s="60">
        <f ca="1">AV$5-S184</f>
        <v>-1.7656005732035567</v>
      </c>
      <c r="AW184" s="60">
        <f ca="1">AW$5-T184</f>
        <v>-4.7343494702422504</v>
      </c>
      <c r="AX184" s="60">
        <f ca="1">AX$5-U184</f>
        <v>12.974915403668049</v>
      </c>
      <c r="AY184" s="60">
        <f ca="1">AY$5-V184</f>
        <v>-11.352985598472202</v>
      </c>
      <c r="AZ184" s="60">
        <f ca="1">AZ$5-W184</f>
        <v>8.6534821725960285</v>
      </c>
      <c r="BA184" s="60">
        <f ca="1">BA$5-X184</f>
        <v>-6.4909409410172856</v>
      </c>
      <c r="BB184" s="60">
        <f ca="1">BB$5-Y184</f>
        <v>-5.6044072726188716</v>
      </c>
      <c r="BC184" s="60">
        <f ca="1">BC$5-Z184</f>
        <v>18.636465909882162</v>
      </c>
      <c r="BD184" s="60">
        <f ca="1">BD$5-AA184</f>
        <v>-7.0194813356176411</v>
      </c>
      <c r="BE184" s="60">
        <f ca="1">BE$5-AB184</f>
        <v>3.0283905919921921</v>
      </c>
      <c r="BF184" s="60">
        <f ca="1">BF$5-AC184</f>
        <v>2.0633043164770726</v>
      </c>
      <c r="BG184" s="60">
        <f ca="1">BG$5-AD184</f>
        <v>-7.7457412949814852</v>
      </c>
      <c r="BH184" s="60">
        <f ca="1">BH$5-AE184</f>
        <v>-6.0004077696324316</v>
      </c>
      <c r="BI184" s="60">
        <f ca="1">BI$5-AF184</f>
        <v>-2.9944944887451896</v>
      </c>
      <c r="BJ184" s="60">
        <f ca="1">BJ$5-AG184</f>
        <v>-13.516448942321233</v>
      </c>
      <c r="BK184" s="60" t="e">
        <f>BK$5-AH184</f>
        <v>#N/A</v>
      </c>
      <c r="BL184" s="60" t="e">
        <f>BL$5-AI184</f>
        <v>#N/A</v>
      </c>
      <c r="BM184" s="60" t="e">
        <f>BM$5-AJ184</f>
        <v>#N/A</v>
      </c>
      <c r="BN184" s="60" t="e">
        <f>BN$5-AK184</f>
        <v>#N/A</v>
      </c>
      <c r="BO184" s="60" t="e">
        <f>BO$5-AL184</f>
        <v>#N/A</v>
      </c>
      <c r="BP184" s="60" t="e">
        <f>BP$5-AM184</f>
        <v>#N/A</v>
      </c>
      <c r="BQ184" s="60" t="e">
        <f>BQ$5-AN184</f>
        <v>#N/A</v>
      </c>
      <c r="BR184" s="60" t="e">
        <f>BR$5-AO184</f>
        <v>#N/A</v>
      </c>
      <c r="BS184" s="60" t="e">
        <f>BS$5-AP184</f>
        <v>#N/A</v>
      </c>
      <c r="BT184" s="60" t="e">
        <f>BT$5-AQ184</f>
        <v>#N/A</v>
      </c>
      <c r="BV184" s="60" cm="1">
        <f t="array" aca="1" ref="BV184" ca="1">SQRT(SUMSQ(_xlfn._xlws.FILTER(AV184:BT184,ISNUMBER(AV184:BT184)))/COUNT(_xlfn._xlws.FILTER(AV184:BT184,ISNUMBER(AV184:BT184))))</f>
        <v>8.8275202855842725</v>
      </c>
    </row>
    <row r="185" spans="3:74" x14ac:dyDescent="0.2">
      <c r="C185" s="60" t="s">
        <v>234</v>
      </c>
      <c r="D185" s="60">
        <v>0</v>
      </c>
      <c r="E185" s="60">
        <v>2</v>
      </c>
      <c r="F185" s="60">
        <v>-18</v>
      </c>
      <c r="G185" s="60">
        <v>-16</v>
      </c>
      <c r="H185" s="60">
        <v>-14</v>
      </c>
      <c r="I185" s="60">
        <v>-12</v>
      </c>
      <c r="J185" s="60">
        <v>-3</v>
      </c>
      <c r="K185" s="60">
        <v>-12</v>
      </c>
      <c r="L185" s="60">
        <v>-9</v>
      </c>
      <c r="M185" s="60">
        <v>-19</v>
      </c>
      <c r="N185" s="60">
        <v>-17</v>
      </c>
      <c r="O185" s="60">
        <v>-2</v>
      </c>
      <c r="P185" s="60">
        <v>0</v>
      </c>
      <c r="R185" s="61">
        <f>(ROW(R185)-ROW($C$6))</f>
        <v>179</v>
      </c>
      <c r="S185" s="60">
        <f ca="1">100+HLOOKUP(S$4,$D$7:$P$336,$R185,FALSE)-HLOOKUP(S$3,$D$7:$P$336,$R185,FALSE)</f>
        <v>105</v>
      </c>
      <c r="T185" s="60">
        <f ca="1">100+HLOOKUP(T$4,$D$7:$P$336,$R185,FALSE)-HLOOKUP(T$3,$D$7:$P$336,$R185,FALSE)</f>
        <v>99</v>
      </c>
      <c r="U185" s="60">
        <f ca="1">100+HLOOKUP(U$4,$D$7:$P$336,$R185,FALSE)-HLOOKUP(U$3,$D$7:$P$336,$R185,FALSE)</f>
        <v>89</v>
      </c>
      <c r="V185" s="60">
        <f ca="1">100+HLOOKUP(V$4,$D$7:$P$336,$R185,FALSE)-HLOOKUP(V$3,$D$7:$P$336,$R185,FALSE)</f>
        <v>105</v>
      </c>
      <c r="W185" s="60">
        <f ca="1">100+HLOOKUP(W$4,$D$7:$P$336,$R185,FALSE)-HLOOKUP(W$3,$D$7:$P$336,$R185,FALSE)</f>
        <v>88</v>
      </c>
      <c r="X185" s="60">
        <f ca="1">100+HLOOKUP(X$4,$D$7:$P$336,$R185,FALSE)-HLOOKUP(X$3,$D$7:$P$336,$R185,FALSE)</f>
        <v>105</v>
      </c>
      <c r="Y185" s="60">
        <f ca="1">100+HLOOKUP(Y$4,$D$7:$P$336,$R185,FALSE)-HLOOKUP(Y$3,$D$7:$P$336,$R185,FALSE)</f>
        <v>99</v>
      </c>
      <c r="Z185" s="60">
        <f ca="1">100+HLOOKUP(Z$4,$D$7:$P$336,$R185,FALSE)-HLOOKUP(Z$3,$D$7:$P$336,$R185,FALSE)</f>
        <v>89</v>
      </c>
      <c r="AA185" s="60">
        <f ca="1">100+HLOOKUP(AA$4,$D$7:$P$336,$R185,FALSE)-HLOOKUP(AA$3,$D$7:$P$336,$R185,FALSE)</f>
        <v>105</v>
      </c>
      <c r="AB185" s="60">
        <f ca="1">100+HLOOKUP(AB$4,$D$7:$P$336,$R185,FALSE)-HLOOKUP(AB$3,$D$7:$P$336,$R185,FALSE)</f>
        <v>88</v>
      </c>
      <c r="AC185" s="60">
        <f ca="1">100+HLOOKUP(AC$4,$D$7:$P$336,$R185,FALSE)-HLOOKUP(AC$3,$D$7:$P$336,$R185,FALSE)</f>
        <v>99</v>
      </c>
      <c r="AD185" s="60">
        <f ca="1">100+HLOOKUP(AD$4,$D$7:$P$336,$R185,FALSE)-HLOOKUP(AD$3,$D$7:$P$336,$R185,FALSE)</f>
        <v>112</v>
      </c>
      <c r="AE185" s="60">
        <f ca="1">100+HLOOKUP(AE$4,$D$7:$P$336,$R185,FALSE)-HLOOKUP(AE$3,$D$7:$P$336,$R185,FALSE)</f>
        <v>105</v>
      </c>
      <c r="AF185" s="60">
        <f ca="1">100+HLOOKUP(AF$4,$D$7:$P$336,$R185,FALSE)-HLOOKUP(AF$3,$D$7:$P$336,$R185,FALSE)</f>
        <v>93</v>
      </c>
      <c r="AG185" s="60">
        <f ca="1">100+HLOOKUP(AG$4,$D$7:$P$336,$R185,FALSE)-HLOOKUP(AG$3,$D$7:$P$336,$R185,FALSE)</f>
        <v>105</v>
      </c>
      <c r="AH185" s="60" t="e">
        <f>100+HLOOKUP(AH$4,$D$7:$P$336,$R185,FALSE)-HLOOKUP(AH$3,$D$7:$P$336,$R185,FALSE)</f>
        <v>#N/A</v>
      </c>
      <c r="AI185" s="60" t="e">
        <f>100+HLOOKUP(AI$4,$D$7:$P$336,$R185,FALSE)-HLOOKUP(AI$3,$D$7:$P$336,$R185,FALSE)</f>
        <v>#N/A</v>
      </c>
      <c r="AJ185" s="60" t="e">
        <f>100+HLOOKUP(AJ$4,$D$7:$P$336,$R185,FALSE)-HLOOKUP(AJ$3,$D$7:$P$336,$R185,FALSE)</f>
        <v>#N/A</v>
      </c>
      <c r="AK185" s="60" t="e">
        <f>100+HLOOKUP(AK$4,$D$7:$P$336,$R185,FALSE)-HLOOKUP(AK$3,$D$7:$P$336,$R185,FALSE)</f>
        <v>#N/A</v>
      </c>
      <c r="AL185" s="60" t="e">
        <f>100+HLOOKUP(AL$4,$D$7:$P$336,$R185,FALSE)-HLOOKUP(AL$3,$D$7:$P$336,$R185,FALSE)</f>
        <v>#N/A</v>
      </c>
      <c r="AM185" s="60" t="e">
        <f>100+HLOOKUP(AM$4,$D$7:$P$336,$R185,FALSE)-HLOOKUP(AM$3,$D$7:$P$336,$R185,FALSE)</f>
        <v>#N/A</v>
      </c>
      <c r="AN185" s="60" t="e">
        <f>100+HLOOKUP(AN$4,$D$7:$P$336,$R185,FALSE)-HLOOKUP(AN$3,$D$7:$P$336,$R185,FALSE)</f>
        <v>#N/A</v>
      </c>
      <c r="AO185" s="60" t="e">
        <f>100+HLOOKUP(AO$4,$D$7:$P$336,$R185,FALSE)-HLOOKUP(AO$3,$D$7:$P$336,$R185,FALSE)</f>
        <v>#N/A</v>
      </c>
      <c r="AP185" s="60" t="e">
        <f>100+HLOOKUP(AP$4,$D$7:$P$336,$R185,FALSE)-HLOOKUP(AP$3,$D$7:$P$336,$R185,FALSE)</f>
        <v>#N/A</v>
      </c>
      <c r="AQ185" s="60" t="e">
        <f>100+HLOOKUP(AQ$4,$D$7:$P$336,$R185,FALSE)-HLOOKUP(AQ$3,$D$7:$P$336,$R185,FALSE)</f>
        <v>#N/A</v>
      </c>
      <c r="AV185" s="60">
        <f ca="1">AV$5-S185</f>
        <v>-1.8096005732035678</v>
      </c>
      <c r="AW185" s="60">
        <f ca="1">AW$5-T185</f>
        <v>-4.7793494702422521</v>
      </c>
      <c r="AX185" s="60">
        <f ca="1">AX$5-U185</f>
        <v>12.775915403668051</v>
      </c>
      <c r="AY185" s="60">
        <f ca="1">AY$5-V185</f>
        <v>-11.396985598472199</v>
      </c>
      <c r="AZ185" s="60">
        <f ca="1">AZ$5-W185</f>
        <v>9.4544821725960304</v>
      </c>
      <c r="BA185" s="60">
        <f ca="1">BA$5-X185</f>
        <v>-6.5349409410172967</v>
      </c>
      <c r="BB185" s="60">
        <f ca="1">BB$5-Y185</f>
        <v>-5.6494072726188733</v>
      </c>
      <c r="BC185" s="60">
        <f ca="1">BC$5-Z185</f>
        <v>18.437465909882164</v>
      </c>
      <c r="BD185" s="60">
        <f ca="1">BD$5-AA185</f>
        <v>-7.063481335617638</v>
      </c>
      <c r="BE185" s="60">
        <f ca="1">BE$5-AB185</f>
        <v>3.829390591992194</v>
      </c>
      <c r="BF185" s="60">
        <f ca="1">BF$5-AC185</f>
        <v>2.0173043164770803</v>
      </c>
      <c r="BG185" s="60">
        <f ca="1">BG$5-AD185</f>
        <v>-8.0147412949814907</v>
      </c>
      <c r="BH185" s="60">
        <f ca="1">BH$5-AE185</f>
        <v>-6.0454077696324333</v>
      </c>
      <c r="BI185" s="60">
        <f ca="1">BI$5-AF185</f>
        <v>-2.3914944887451952</v>
      </c>
      <c r="BJ185" s="60">
        <f ca="1">BJ$5-AG185</f>
        <v>-13.56044894232123</v>
      </c>
      <c r="BK185" s="60" t="e">
        <f>BK$5-AH185</f>
        <v>#N/A</v>
      </c>
      <c r="BL185" s="60" t="e">
        <f>BL$5-AI185</f>
        <v>#N/A</v>
      </c>
      <c r="BM185" s="60" t="e">
        <f>BM$5-AJ185</f>
        <v>#N/A</v>
      </c>
      <c r="BN185" s="60" t="e">
        <f>BN$5-AK185</f>
        <v>#N/A</v>
      </c>
      <c r="BO185" s="60" t="e">
        <f>BO$5-AL185</f>
        <v>#N/A</v>
      </c>
      <c r="BP185" s="60" t="e">
        <f>BP$5-AM185</f>
        <v>#N/A</v>
      </c>
      <c r="BQ185" s="60" t="e">
        <f>BQ$5-AN185</f>
        <v>#N/A</v>
      </c>
      <c r="BR185" s="60" t="e">
        <f>BR$5-AO185</f>
        <v>#N/A</v>
      </c>
      <c r="BS185" s="60" t="e">
        <f>BS$5-AP185</f>
        <v>#N/A</v>
      </c>
      <c r="BT185" s="60" t="e">
        <f>BT$5-AQ185</f>
        <v>#N/A</v>
      </c>
      <c r="BV185" s="60" cm="1">
        <f t="array" aca="1" ref="BV185" ca="1">SQRT(SUMSQ(_xlfn._xlws.FILTER(AV185:BT185,ISNUMBER(AV185:BT185)))/COUNT(_xlfn._xlws.FILTER(AV185:BT185,ISNUMBER(AV185:BT185))))</f>
        <v>8.8776698925441107</v>
      </c>
    </row>
    <row r="186" spans="3:74" x14ac:dyDescent="0.2">
      <c r="C186" s="60" t="s">
        <v>354</v>
      </c>
      <c r="D186" s="60">
        <v>0</v>
      </c>
      <c r="E186" s="60">
        <v>-3</v>
      </c>
      <c r="F186" s="60">
        <v>-5</v>
      </c>
      <c r="G186" s="60">
        <v>-8</v>
      </c>
      <c r="H186" s="60">
        <v>-10</v>
      </c>
      <c r="I186" s="60">
        <v>-13</v>
      </c>
      <c r="J186" s="60">
        <v>-13</v>
      </c>
      <c r="K186" s="60">
        <v>-13</v>
      </c>
      <c r="L186" s="60">
        <v>-2</v>
      </c>
      <c r="M186" s="60">
        <v>2</v>
      </c>
      <c r="N186" s="60">
        <v>2</v>
      </c>
      <c r="O186" s="60">
        <v>2</v>
      </c>
      <c r="P186" s="60">
        <v>0</v>
      </c>
      <c r="R186" s="61">
        <f>(ROW(R186)-ROW($C$6))</f>
        <v>180</v>
      </c>
      <c r="S186" s="60">
        <f ca="1">100+HLOOKUP(S$4,$D$7:$P$336,$R186,FALSE)-HLOOKUP(S$3,$D$7:$P$336,$R186,FALSE)</f>
        <v>88</v>
      </c>
      <c r="T186" s="60">
        <f ca="1">100+HLOOKUP(T$4,$D$7:$P$336,$R186,FALSE)-HLOOKUP(T$3,$D$7:$P$336,$R186,FALSE)</f>
        <v>85</v>
      </c>
      <c r="U186" s="60">
        <f ca="1">100+HLOOKUP(U$4,$D$7:$P$336,$R186,FALSE)-HLOOKUP(U$3,$D$7:$P$336,$R186,FALSE)</f>
        <v>101</v>
      </c>
      <c r="V186" s="60">
        <f ca="1">100+HLOOKUP(V$4,$D$7:$P$336,$R186,FALSE)-HLOOKUP(V$3,$D$7:$P$336,$R186,FALSE)</f>
        <v>85</v>
      </c>
      <c r="W186" s="60">
        <f ca="1">100+HLOOKUP(W$4,$D$7:$P$336,$R186,FALSE)-HLOOKUP(W$3,$D$7:$P$336,$R186,FALSE)</f>
        <v>87</v>
      </c>
      <c r="X186" s="60">
        <f ca="1">100+HLOOKUP(X$4,$D$7:$P$336,$R186,FALSE)-HLOOKUP(X$3,$D$7:$P$336,$R186,FALSE)</f>
        <v>88</v>
      </c>
      <c r="Y186" s="60">
        <f ca="1">100+HLOOKUP(Y$4,$D$7:$P$336,$R186,FALSE)-HLOOKUP(Y$3,$D$7:$P$336,$R186,FALSE)</f>
        <v>85</v>
      </c>
      <c r="Z186" s="60">
        <f ca="1">100+HLOOKUP(Z$4,$D$7:$P$336,$R186,FALSE)-HLOOKUP(Z$3,$D$7:$P$336,$R186,FALSE)</f>
        <v>101</v>
      </c>
      <c r="AA186" s="60">
        <f ca="1">100+HLOOKUP(AA$4,$D$7:$P$336,$R186,FALSE)-HLOOKUP(AA$3,$D$7:$P$336,$R186,FALSE)</f>
        <v>85</v>
      </c>
      <c r="AB186" s="60">
        <f ca="1">100+HLOOKUP(AB$4,$D$7:$P$336,$R186,FALSE)-HLOOKUP(AB$3,$D$7:$P$336,$R186,FALSE)</f>
        <v>87</v>
      </c>
      <c r="AC186" s="60">
        <f ca="1">100+HLOOKUP(AC$4,$D$7:$P$336,$R186,FALSE)-HLOOKUP(AC$3,$D$7:$P$336,$R186,FALSE)</f>
        <v>107</v>
      </c>
      <c r="AD186" s="60">
        <f ca="1">100+HLOOKUP(AD$4,$D$7:$P$336,$R186,FALSE)-HLOOKUP(AD$3,$D$7:$P$336,$R186,FALSE)</f>
        <v>112</v>
      </c>
      <c r="AE186" s="60">
        <f ca="1">100+HLOOKUP(AE$4,$D$7:$P$336,$R186,FALSE)-HLOOKUP(AE$3,$D$7:$P$336,$R186,FALSE)</f>
        <v>110</v>
      </c>
      <c r="AF186" s="60">
        <f ca="1">100+HLOOKUP(AF$4,$D$7:$P$336,$R186,FALSE)-HLOOKUP(AF$3,$D$7:$P$336,$R186,FALSE)</f>
        <v>94</v>
      </c>
      <c r="AG186" s="60">
        <f ca="1">100+HLOOKUP(AG$4,$D$7:$P$336,$R186,FALSE)-HLOOKUP(AG$3,$D$7:$P$336,$R186,FALSE)</f>
        <v>85</v>
      </c>
      <c r="AH186" s="60" t="e">
        <f>100+HLOOKUP(AH$4,$D$7:$P$336,$R186,FALSE)-HLOOKUP(AH$3,$D$7:$P$336,$R186,FALSE)</f>
        <v>#N/A</v>
      </c>
      <c r="AI186" s="60" t="e">
        <f>100+HLOOKUP(AI$4,$D$7:$P$336,$R186,FALSE)-HLOOKUP(AI$3,$D$7:$P$336,$R186,FALSE)</f>
        <v>#N/A</v>
      </c>
      <c r="AJ186" s="60" t="e">
        <f>100+HLOOKUP(AJ$4,$D$7:$P$336,$R186,FALSE)-HLOOKUP(AJ$3,$D$7:$P$336,$R186,FALSE)</f>
        <v>#N/A</v>
      </c>
      <c r="AK186" s="60" t="e">
        <f>100+HLOOKUP(AK$4,$D$7:$P$336,$R186,FALSE)-HLOOKUP(AK$3,$D$7:$P$336,$R186,FALSE)</f>
        <v>#N/A</v>
      </c>
      <c r="AL186" s="60" t="e">
        <f>100+HLOOKUP(AL$4,$D$7:$P$336,$R186,FALSE)-HLOOKUP(AL$3,$D$7:$P$336,$R186,FALSE)</f>
        <v>#N/A</v>
      </c>
      <c r="AM186" s="60" t="e">
        <f>100+HLOOKUP(AM$4,$D$7:$P$336,$R186,FALSE)-HLOOKUP(AM$3,$D$7:$P$336,$R186,FALSE)</f>
        <v>#N/A</v>
      </c>
      <c r="AN186" s="60" t="e">
        <f>100+HLOOKUP(AN$4,$D$7:$P$336,$R186,FALSE)-HLOOKUP(AN$3,$D$7:$P$336,$R186,FALSE)</f>
        <v>#N/A</v>
      </c>
      <c r="AO186" s="60" t="e">
        <f>100+HLOOKUP(AO$4,$D$7:$P$336,$R186,FALSE)-HLOOKUP(AO$3,$D$7:$P$336,$R186,FALSE)</f>
        <v>#N/A</v>
      </c>
      <c r="AP186" s="60" t="e">
        <f>100+HLOOKUP(AP$4,$D$7:$P$336,$R186,FALSE)-HLOOKUP(AP$3,$D$7:$P$336,$R186,FALSE)</f>
        <v>#N/A</v>
      </c>
      <c r="AQ186" s="60" t="e">
        <f>100+HLOOKUP(AQ$4,$D$7:$P$336,$R186,FALSE)-HLOOKUP(AQ$3,$D$7:$P$336,$R186,FALSE)</f>
        <v>#N/A</v>
      </c>
      <c r="AV186" s="60">
        <f ca="1">AV$5-S186</f>
        <v>15.190399426796432</v>
      </c>
      <c r="AW186" s="60">
        <f ca="1">AW$5-T186</f>
        <v>9.2206505297577479</v>
      </c>
      <c r="AX186" s="60">
        <f ca="1">AX$5-U186</f>
        <v>0.77591540366805134</v>
      </c>
      <c r="AY186" s="60">
        <f ca="1">AY$5-V186</f>
        <v>8.6030144015278012</v>
      </c>
      <c r="AZ186" s="60">
        <f ca="1">AZ$5-W186</f>
        <v>10.45448217259603</v>
      </c>
      <c r="BA186" s="60">
        <f ca="1">BA$5-X186</f>
        <v>10.465059058982703</v>
      </c>
      <c r="BB186" s="60">
        <f ca="1">BB$5-Y186</f>
        <v>8.3505927273811267</v>
      </c>
      <c r="BC186" s="60">
        <f ca="1">BC$5-Z186</f>
        <v>6.4374659098821638</v>
      </c>
      <c r="BD186" s="60">
        <f ca="1">BD$5-AA186</f>
        <v>12.936518664382362</v>
      </c>
      <c r="BE186" s="60">
        <f ca="1">BE$5-AB186</f>
        <v>4.829390591992194</v>
      </c>
      <c r="BF186" s="60">
        <f ca="1">BF$5-AC186</f>
        <v>-5.9826956835229197</v>
      </c>
      <c r="BG186" s="60">
        <f ca="1">BG$5-AD186</f>
        <v>-8.0147412949814907</v>
      </c>
      <c r="BH186" s="60">
        <f ca="1">BH$5-AE186</f>
        <v>-11.045407769632433</v>
      </c>
      <c r="BI186" s="60">
        <f ca="1">BI$5-AF186</f>
        <v>-3.3914944887451952</v>
      </c>
      <c r="BJ186" s="60">
        <f ca="1">BJ$5-AG186</f>
        <v>6.43955105767877</v>
      </c>
      <c r="BK186" s="60" t="e">
        <f>BK$5-AH186</f>
        <v>#N/A</v>
      </c>
      <c r="BL186" s="60" t="e">
        <f>BL$5-AI186</f>
        <v>#N/A</v>
      </c>
      <c r="BM186" s="60" t="e">
        <f>BM$5-AJ186</f>
        <v>#N/A</v>
      </c>
      <c r="BN186" s="60" t="e">
        <f>BN$5-AK186</f>
        <v>#N/A</v>
      </c>
      <c r="BO186" s="60" t="e">
        <f>BO$5-AL186</f>
        <v>#N/A</v>
      </c>
      <c r="BP186" s="60" t="e">
        <f>BP$5-AM186</f>
        <v>#N/A</v>
      </c>
      <c r="BQ186" s="60" t="e">
        <f>BQ$5-AN186</f>
        <v>#N/A</v>
      </c>
      <c r="BR186" s="60" t="e">
        <f>BR$5-AO186</f>
        <v>#N/A</v>
      </c>
      <c r="BS186" s="60" t="e">
        <f>BS$5-AP186</f>
        <v>#N/A</v>
      </c>
      <c r="BT186" s="60" t="e">
        <f>BT$5-AQ186</f>
        <v>#N/A</v>
      </c>
      <c r="BV186" s="60" cm="1">
        <f t="array" aca="1" ref="BV186" ca="1">SQRT(SUMSQ(_xlfn._xlws.FILTER(AV186:BT186,ISNUMBER(AV186:BT186)))/COUNT(_xlfn._xlws.FILTER(AV186:BT186,ISNUMBER(AV186:BT186))))</f>
        <v>8.8921159727361925</v>
      </c>
    </row>
    <row r="187" spans="3:74" x14ac:dyDescent="0.2">
      <c r="C187" s="60" t="s">
        <v>378</v>
      </c>
      <c r="D187" s="60">
        <v>0</v>
      </c>
      <c r="E187" s="60">
        <v>-4</v>
      </c>
      <c r="F187" s="60">
        <v>-7</v>
      </c>
      <c r="G187" s="60">
        <v>-12</v>
      </c>
      <c r="H187" s="60">
        <v>-14</v>
      </c>
      <c r="I187" s="60">
        <v>-17</v>
      </c>
      <c r="J187" s="60">
        <v>-16</v>
      </c>
      <c r="K187" s="60">
        <v>-11</v>
      </c>
      <c r="L187" s="60">
        <v>-12</v>
      </c>
      <c r="M187" s="60">
        <v>-14</v>
      </c>
      <c r="N187" s="60">
        <v>-12</v>
      </c>
      <c r="O187" s="60">
        <v>2</v>
      </c>
      <c r="P187" s="60">
        <v>0</v>
      </c>
      <c r="R187" s="61">
        <f>(ROW(R187)-ROW($C$6))</f>
        <v>181</v>
      </c>
      <c r="S187" s="60">
        <f ca="1">100+HLOOKUP(S$4,$D$7:$P$336,$R187,FALSE)-HLOOKUP(S$3,$D$7:$P$336,$R187,FALSE)</f>
        <v>100</v>
      </c>
      <c r="T187" s="60">
        <f ca="1">100+HLOOKUP(T$4,$D$7:$P$336,$R187,FALSE)-HLOOKUP(T$3,$D$7:$P$336,$R187,FALSE)</f>
        <v>82</v>
      </c>
      <c r="U187" s="60">
        <f ca="1">100+HLOOKUP(U$4,$D$7:$P$336,$R187,FALSE)-HLOOKUP(U$3,$D$7:$P$336,$R187,FALSE)</f>
        <v>92</v>
      </c>
      <c r="V187" s="60">
        <f ca="1">100+HLOOKUP(V$4,$D$7:$P$336,$R187,FALSE)-HLOOKUP(V$3,$D$7:$P$336,$R187,FALSE)</f>
        <v>95</v>
      </c>
      <c r="W187" s="60">
        <f ca="1">100+HLOOKUP(W$4,$D$7:$P$336,$R187,FALSE)-HLOOKUP(W$3,$D$7:$P$336,$R187,FALSE)</f>
        <v>89</v>
      </c>
      <c r="X187" s="60">
        <f ca="1">100+HLOOKUP(X$4,$D$7:$P$336,$R187,FALSE)-HLOOKUP(X$3,$D$7:$P$336,$R187,FALSE)</f>
        <v>100</v>
      </c>
      <c r="Y187" s="60">
        <f ca="1">100+HLOOKUP(Y$4,$D$7:$P$336,$R187,FALSE)-HLOOKUP(Y$3,$D$7:$P$336,$R187,FALSE)</f>
        <v>82</v>
      </c>
      <c r="Z187" s="60">
        <f ca="1">100+HLOOKUP(Z$4,$D$7:$P$336,$R187,FALSE)-HLOOKUP(Z$3,$D$7:$P$336,$R187,FALSE)</f>
        <v>92</v>
      </c>
      <c r="AA187" s="60">
        <f ca="1">100+HLOOKUP(AA$4,$D$7:$P$336,$R187,FALSE)-HLOOKUP(AA$3,$D$7:$P$336,$R187,FALSE)</f>
        <v>95</v>
      </c>
      <c r="AB187" s="60">
        <f ca="1">100+HLOOKUP(AB$4,$D$7:$P$336,$R187,FALSE)-HLOOKUP(AB$3,$D$7:$P$336,$R187,FALSE)</f>
        <v>89</v>
      </c>
      <c r="AC187" s="60">
        <f ca="1">100+HLOOKUP(AC$4,$D$7:$P$336,$R187,FALSE)-HLOOKUP(AC$3,$D$7:$P$336,$R187,FALSE)</f>
        <v>93</v>
      </c>
      <c r="AD187" s="60">
        <f ca="1">100+HLOOKUP(AD$4,$D$7:$P$336,$R187,FALSE)-HLOOKUP(AD$3,$D$7:$P$336,$R187,FALSE)</f>
        <v>116</v>
      </c>
      <c r="AE187" s="60">
        <f ca="1">100+HLOOKUP(AE$4,$D$7:$P$336,$R187,FALSE)-HLOOKUP(AE$3,$D$7:$P$336,$R187,FALSE)</f>
        <v>112</v>
      </c>
      <c r="AF187" s="60">
        <f ca="1">100+HLOOKUP(AF$4,$D$7:$P$336,$R187,FALSE)-HLOOKUP(AF$3,$D$7:$P$336,$R187,FALSE)</f>
        <v>100</v>
      </c>
      <c r="AG187" s="60">
        <f ca="1">100+HLOOKUP(AG$4,$D$7:$P$336,$R187,FALSE)-HLOOKUP(AG$3,$D$7:$P$336,$R187,FALSE)</f>
        <v>95</v>
      </c>
      <c r="AH187" s="60" t="e">
        <f>100+HLOOKUP(AH$4,$D$7:$P$336,$R187,FALSE)-HLOOKUP(AH$3,$D$7:$P$336,$R187,FALSE)</f>
        <v>#N/A</v>
      </c>
      <c r="AI187" s="60" t="e">
        <f>100+HLOOKUP(AI$4,$D$7:$P$336,$R187,FALSE)-HLOOKUP(AI$3,$D$7:$P$336,$R187,FALSE)</f>
        <v>#N/A</v>
      </c>
      <c r="AJ187" s="60" t="e">
        <f>100+HLOOKUP(AJ$4,$D$7:$P$336,$R187,FALSE)-HLOOKUP(AJ$3,$D$7:$P$336,$R187,FALSE)</f>
        <v>#N/A</v>
      </c>
      <c r="AK187" s="60" t="e">
        <f>100+HLOOKUP(AK$4,$D$7:$P$336,$R187,FALSE)-HLOOKUP(AK$3,$D$7:$P$336,$R187,FALSE)</f>
        <v>#N/A</v>
      </c>
      <c r="AL187" s="60" t="e">
        <f>100+HLOOKUP(AL$4,$D$7:$P$336,$R187,FALSE)-HLOOKUP(AL$3,$D$7:$P$336,$R187,FALSE)</f>
        <v>#N/A</v>
      </c>
      <c r="AM187" s="60" t="e">
        <f>100+HLOOKUP(AM$4,$D$7:$P$336,$R187,FALSE)-HLOOKUP(AM$3,$D$7:$P$336,$R187,FALSE)</f>
        <v>#N/A</v>
      </c>
      <c r="AN187" s="60" t="e">
        <f>100+HLOOKUP(AN$4,$D$7:$P$336,$R187,FALSE)-HLOOKUP(AN$3,$D$7:$P$336,$R187,FALSE)</f>
        <v>#N/A</v>
      </c>
      <c r="AO187" s="60" t="e">
        <f>100+HLOOKUP(AO$4,$D$7:$P$336,$R187,FALSE)-HLOOKUP(AO$3,$D$7:$P$336,$R187,FALSE)</f>
        <v>#N/A</v>
      </c>
      <c r="AP187" s="60" t="e">
        <f>100+HLOOKUP(AP$4,$D$7:$P$336,$R187,FALSE)-HLOOKUP(AP$3,$D$7:$P$336,$R187,FALSE)</f>
        <v>#N/A</v>
      </c>
      <c r="AQ187" s="60" t="e">
        <f>100+HLOOKUP(AQ$4,$D$7:$P$336,$R187,FALSE)-HLOOKUP(AQ$3,$D$7:$P$336,$R187,FALSE)</f>
        <v>#N/A</v>
      </c>
      <c r="AV187" s="60">
        <f ca="1">AV$5-S187</f>
        <v>3.1903994267964322</v>
      </c>
      <c r="AW187" s="60">
        <f ca="1">AW$5-T187</f>
        <v>12.220650529757748</v>
      </c>
      <c r="AX187" s="60">
        <f ca="1">AX$5-U187</f>
        <v>9.7759154036680513</v>
      </c>
      <c r="AY187" s="60">
        <f ca="1">AY$5-V187</f>
        <v>-1.3969855984721988</v>
      </c>
      <c r="AZ187" s="60">
        <f ca="1">AZ$5-W187</f>
        <v>8.4544821725960304</v>
      </c>
      <c r="BA187" s="60">
        <f ca="1">BA$5-X187</f>
        <v>-1.5349409410172967</v>
      </c>
      <c r="BB187" s="60">
        <f ca="1">BB$5-Y187</f>
        <v>11.350592727381127</v>
      </c>
      <c r="BC187" s="60">
        <f ca="1">BC$5-Z187</f>
        <v>15.437465909882164</v>
      </c>
      <c r="BD187" s="60">
        <f ca="1">BD$5-AA187</f>
        <v>2.936518664382362</v>
      </c>
      <c r="BE187" s="60">
        <f ca="1">BE$5-AB187</f>
        <v>2.829390591992194</v>
      </c>
      <c r="BF187" s="60">
        <f ca="1">BF$5-AC187</f>
        <v>8.0173043164770803</v>
      </c>
      <c r="BG187" s="60">
        <f ca="1">BG$5-AD187</f>
        <v>-12.014741294981491</v>
      </c>
      <c r="BH187" s="60">
        <f ca="1">BH$5-AE187</f>
        <v>-13.045407769632433</v>
      </c>
      <c r="BI187" s="60">
        <f ca="1">BI$5-AF187</f>
        <v>-9.3914944887451952</v>
      </c>
      <c r="BJ187" s="60">
        <f ca="1">BJ$5-AG187</f>
        <v>-3.56044894232123</v>
      </c>
      <c r="BK187" s="60" t="e">
        <f>BK$5-AH187</f>
        <v>#N/A</v>
      </c>
      <c r="BL187" s="60" t="e">
        <f>BL$5-AI187</f>
        <v>#N/A</v>
      </c>
      <c r="BM187" s="60" t="e">
        <f>BM$5-AJ187</f>
        <v>#N/A</v>
      </c>
      <c r="BN187" s="60" t="e">
        <f>BN$5-AK187</f>
        <v>#N/A</v>
      </c>
      <c r="BO187" s="60" t="e">
        <f>BO$5-AL187</f>
        <v>#N/A</v>
      </c>
      <c r="BP187" s="60" t="e">
        <f>BP$5-AM187</f>
        <v>#N/A</v>
      </c>
      <c r="BQ187" s="60" t="e">
        <f>BQ$5-AN187</f>
        <v>#N/A</v>
      </c>
      <c r="BR187" s="60" t="e">
        <f>BR$5-AO187</f>
        <v>#N/A</v>
      </c>
      <c r="BS187" s="60" t="e">
        <f>BS$5-AP187</f>
        <v>#N/A</v>
      </c>
      <c r="BT187" s="60" t="e">
        <f>BT$5-AQ187</f>
        <v>#N/A</v>
      </c>
      <c r="BV187" s="60" cm="1">
        <f t="array" aca="1" ref="BV187" ca="1">SQRT(SUMSQ(_xlfn._xlws.FILTER(AV187:BT187,ISNUMBER(AV187:BT187)))/COUNT(_xlfn._xlws.FILTER(AV187:BT187,ISNUMBER(AV187:BT187))))</f>
        <v>8.9231835098296628</v>
      </c>
    </row>
    <row r="188" spans="3:74" x14ac:dyDescent="0.2">
      <c r="C188" s="60" t="s">
        <v>192</v>
      </c>
      <c r="D188" s="60">
        <v>0</v>
      </c>
      <c r="E188" s="60">
        <v>-2</v>
      </c>
      <c r="F188" s="60">
        <v>-5</v>
      </c>
      <c r="G188" s="60">
        <v>-7</v>
      </c>
      <c r="H188" s="60">
        <v>-9</v>
      </c>
      <c r="I188" s="60">
        <v>-12</v>
      </c>
      <c r="J188" s="60">
        <v>-12</v>
      </c>
      <c r="K188" s="60">
        <v>-12</v>
      </c>
      <c r="L188" s="60">
        <v>-8</v>
      </c>
      <c r="M188" s="60">
        <v>0</v>
      </c>
      <c r="N188" s="60">
        <v>2</v>
      </c>
      <c r="O188" s="60">
        <v>2</v>
      </c>
      <c r="P188" s="60">
        <v>0</v>
      </c>
      <c r="R188" s="61">
        <f>(ROW(R188)-ROW($C$6))</f>
        <v>182</v>
      </c>
      <c r="S188" s="60">
        <f ca="1">100+HLOOKUP(S$4,$D$7:$P$336,$R188,FALSE)-HLOOKUP(S$3,$D$7:$P$336,$R188,FALSE)</f>
        <v>91</v>
      </c>
      <c r="T188" s="60">
        <f ca="1">100+HLOOKUP(T$4,$D$7:$P$336,$R188,FALSE)-HLOOKUP(T$3,$D$7:$P$336,$R188,FALSE)</f>
        <v>86</v>
      </c>
      <c r="U188" s="60">
        <f ca="1">100+HLOOKUP(U$4,$D$7:$P$336,$R188,FALSE)-HLOOKUP(U$3,$D$7:$P$336,$R188,FALSE)</f>
        <v>94</v>
      </c>
      <c r="V188" s="60">
        <f ca="1">100+HLOOKUP(V$4,$D$7:$P$336,$R188,FALSE)-HLOOKUP(V$3,$D$7:$P$336,$R188,FALSE)</f>
        <v>86</v>
      </c>
      <c r="W188" s="60">
        <f ca="1">100+HLOOKUP(W$4,$D$7:$P$336,$R188,FALSE)-HLOOKUP(W$3,$D$7:$P$336,$R188,FALSE)</f>
        <v>88</v>
      </c>
      <c r="X188" s="60">
        <f ca="1">100+HLOOKUP(X$4,$D$7:$P$336,$R188,FALSE)-HLOOKUP(X$3,$D$7:$P$336,$R188,FALSE)</f>
        <v>91</v>
      </c>
      <c r="Y188" s="60">
        <f ca="1">100+HLOOKUP(Y$4,$D$7:$P$336,$R188,FALSE)-HLOOKUP(Y$3,$D$7:$P$336,$R188,FALSE)</f>
        <v>86</v>
      </c>
      <c r="Z188" s="60">
        <f ca="1">100+HLOOKUP(Z$4,$D$7:$P$336,$R188,FALSE)-HLOOKUP(Z$3,$D$7:$P$336,$R188,FALSE)</f>
        <v>94</v>
      </c>
      <c r="AA188" s="60">
        <f ca="1">100+HLOOKUP(AA$4,$D$7:$P$336,$R188,FALSE)-HLOOKUP(AA$3,$D$7:$P$336,$R188,FALSE)</f>
        <v>86</v>
      </c>
      <c r="AB188" s="60">
        <f ca="1">100+HLOOKUP(AB$4,$D$7:$P$336,$R188,FALSE)-HLOOKUP(AB$3,$D$7:$P$336,$R188,FALSE)</f>
        <v>88</v>
      </c>
      <c r="AC188" s="60">
        <f ca="1">100+HLOOKUP(AC$4,$D$7:$P$336,$R188,FALSE)-HLOOKUP(AC$3,$D$7:$P$336,$R188,FALSE)</f>
        <v>105</v>
      </c>
      <c r="AD188" s="60">
        <f ca="1">100+HLOOKUP(AD$4,$D$7:$P$336,$R188,FALSE)-HLOOKUP(AD$3,$D$7:$P$336,$R188,FALSE)</f>
        <v>111</v>
      </c>
      <c r="AE188" s="60">
        <f ca="1">100+HLOOKUP(AE$4,$D$7:$P$336,$R188,FALSE)-HLOOKUP(AE$3,$D$7:$P$336,$R188,FALSE)</f>
        <v>110</v>
      </c>
      <c r="AF188" s="60">
        <f ca="1">100+HLOOKUP(AF$4,$D$7:$P$336,$R188,FALSE)-HLOOKUP(AF$3,$D$7:$P$336,$R188,FALSE)</f>
        <v>101</v>
      </c>
      <c r="AG188" s="60">
        <f ca="1">100+HLOOKUP(AG$4,$D$7:$P$336,$R188,FALSE)-HLOOKUP(AG$3,$D$7:$P$336,$R188,FALSE)</f>
        <v>86</v>
      </c>
      <c r="AH188" s="60" t="e">
        <f>100+HLOOKUP(AH$4,$D$7:$P$336,$R188,FALSE)-HLOOKUP(AH$3,$D$7:$P$336,$R188,FALSE)</f>
        <v>#N/A</v>
      </c>
      <c r="AI188" s="60" t="e">
        <f>100+HLOOKUP(AI$4,$D$7:$P$336,$R188,FALSE)-HLOOKUP(AI$3,$D$7:$P$336,$R188,FALSE)</f>
        <v>#N/A</v>
      </c>
      <c r="AJ188" s="60" t="e">
        <f>100+HLOOKUP(AJ$4,$D$7:$P$336,$R188,FALSE)-HLOOKUP(AJ$3,$D$7:$P$336,$R188,FALSE)</f>
        <v>#N/A</v>
      </c>
      <c r="AK188" s="60" t="e">
        <f>100+HLOOKUP(AK$4,$D$7:$P$336,$R188,FALSE)-HLOOKUP(AK$3,$D$7:$P$336,$R188,FALSE)</f>
        <v>#N/A</v>
      </c>
      <c r="AL188" s="60" t="e">
        <f>100+HLOOKUP(AL$4,$D$7:$P$336,$R188,FALSE)-HLOOKUP(AL$3,$D$7:$P$336,$R188,FALSE)</f>
        <v>#N/A</v>
      </c>
      <c r="AM188" s="60" t="e">
        <f>100+HLOOKUP(AM$4,$D$7:$P$336,$R188,FALSE)-HLOOKUP(AM$3,$D$7:$P$336,$R188,FALSE)</f>
        <v>#N/A</v>
      </c>
      <c r="AN188" s="60" t="e">
        <f>100+HLOOKUP(AN$4,$D$7:$P$336,$R188,FALSE)-HLOOKUP(AN$3,$D$7:$P$336,$R188,FALSE)</f>
        <v>#N/A</v>
      </c>
      <c r="AO188" s="60" t="e">
        <f>100+HLOOKUP(AO$4,$D$7:$P$336,$R188,FALSE)-HLOOKUP(AO$3,$D$7:$P$336,$R188,FALSE)</f>
        <v>#N/A</v>
      </c>
      <c r="AP188" s="60" t="e">
        <f>100+HLOOKUP(AP$4,$D$7:$P$336,$R188,FALSE)-HLOOKUP(AP$3,$D$7:$P$336,$R188,FALSE)</f>
        <v>#N/A</v>
      </c>
      <c r="AQ188" s="60" t="e">
        <f>100+HLOOKUP(AQ$4,$D$7:$P$336,$R188,FALSE)-HLOOKUP(AQ$3,$D$7:$P$336,$R188,FALSE)</f>
        <v>#N/A</v>
      </c>
      <c r="AV188" s="60">
        <f ca="1">AV$5-S188</f>
        <v>12.190399426796432</v>
      </c>
      <c r="AW188" s="60">
        <f ca="1">AW$5-T188</f>
        <v>8.2206505297577479</v>
      </c>
      <c r="AX188" s="60">
        <f ca="1">AX$5-U188</f>
        <v>7.7759154036680513</v>
      </c>
      <c r="AY188" s="60">
        <f ca="1">AY$5-V188</f>
        <v>7.6030144015278012</v>
      </c>
      <c r="AZ188" s="60">
        <f ca="1">AZ$5-W188</f>
        <v>9.4544821725960304</v>
      </c>
      <c r="BA188" s="60">
        <f ca="1">BA$5-X188</f>
        <v>7.4650590589827033</v>
      </c>
      <c r="BB188" s="60">
        <f ca="1">BB$5-Y188</f>
        <v>7.3505927273811267</v>
      </c>
      <c r="BC188" s="60">
        <f ca="1">BC$5-Z188</f>
        <v>13.437465909882164</v>
      </c>
      <c r="BD188" s="60">
        <f ca="1">BD$5-AA188</f>
        <v>11.936518664382362</v>
      </c>
      <c r="BE188" s="60">
        <f ca="1">BE$5-AB188</f>
        <v>3.829390591992194</v>
      </c>
      <c r="BF188" s="60">
        <f ca="1">BF$5-AC188</f>
        <v>-3.9826956835229197</v>
      </c>
      <c r="BG188" s="60">
        <f ca="1">BG$5-AD188</f>
        <v>-7.0147412949814907</v>
      </c>
      <c r="BH188" s="60">
        <f ca="1">BH$5-AE188</f>
        <v>-11.045407769632433</v>
      </c>
      <c r="BI188" s="60">
        <f ca="1">BI$5-AF188</f>
        <v>-10.391494488745195</v>
      </c>
      <c r="BJ188" s="60">
        <f ca="1">BJ$5-AG188</f>
        <v>5.43955105767877</v>
      </c>
      <c r="BK188" s="60" t="e">
        <f>BK$5-AH188</f>
        <v>#N/A</v>
      </c>
      <c r="BL188" s="60" t="e">
        <f>BL$5-AI188</f>
        <v>#N/A</v>
      </c>
      <c r="BM188" s="60" t="e">
        <f>BM$5-AJ188</f>
        <v>#N/A</v>
      </c>
      <c r="BN188" s="60" t="e">
        <f>BN$5-AK188</f>
        <v>#N/A</v>
      </c>
      <c r="BO188" s="60" t="e">
        <f>BO$5-AL188</f>
        <v>#N/A</v>
      </c>
      <c r="BP188" s="60" t="e">
        <f>BP$5-AM188</f>
        <v>#N/A</v>
      </c>
      <c r="BQ188" s="60" t="e">
        <f>BQ$5-AN188</f>
        <v>#N/A</v>
      </c>
      <c r="BR188" s="60" t="e">
        <f>BR$5-AO188</f>
        <v>#N/A</v>
      </c>
      <c r="BS188" s="60" t="e">
        <f>BS$5-AP188</f>
        <v>#N/A</v>
      </c>
      <c r="BT188" s="60" t="e">
        <f>BT$5-AQ188</f>
        <v>#N/A</v>
      </c>
      <c r="BV188" s="60" cm="1">
        <f t="array" aca="1" ref="BV188" ca="1">SQRT(SUMSQ(_xlfn._xlws.FILTER(AV188:BT188,ISNUMBER(AV188:BT188)))/COUNT(_xlfn._xlws.FILTER(AV188:BT188,ISNUMBER(AV188:BT188))))</f>
        <v>8.9291759298441633</v>
      </c>
    </row>
    <row r="189" spans="3:74" x14ac:dyDescent="0.2">
      <c r="C189" s="60" t="s">
        <v>345</v>
      </c>
      <c r="D189" s="60">
        <v>0</v>
      </c>
      <c r="E189" s="60">
        <v>-2</v>
      </c>
      <c r="F189" s="60">
        <v>-5</v>
      </c>
      <c r="G189" s="60">
        <v>-8</v>
      </c>
      <c r="H189" s="60">
        <v>-10</v>
      </c>
      <c r="I189" s="60">
        <v>-12</v>
      </c>
      <c r="J189" s="60">
        <v>-13</v>
      </c>
      <c r="K189" s="60">
        <v>-14</v>
      </c>
      <c r="L189" s="60">
        <v>-2</v>
      </c>
      <c r="M189" s="60">
        <v>2</v>
      </c>
      <c r="N189" s="60">
        <v>2</v>
      </c>
      <c r="O189" s="60">
        <v>2</v>
      </c>
      <c r="P189" s="60">
        <v>0</v>
      </c>
      <c r="R189" s="61">
        <f>(ROW(R189)-ROW($C$6))</f>
        <v>183</v>
      </c>
      <c r="S189" s="60">
        <f ca="1">100+HLOOKUP(S$4,$D$7:$P$336,$R189,FALSE)-HLOOKUP(S$3,$D$7:$P$336,$R189,FALSE)</f>
        <v>88</v>
      </c>
      <c r="T189" s="60">
        <f ca="1">100+HLOOKUP(T$4,$D$7:$P$336,$R189,FALSE)-HLOOKUP(T$3,$D$7:$P$336,$R189,FALSE)</f>
        <v>85</v>
      </c>
      <c r="U189" s="60">
        <f ca="1">100+HLOOKUP(U$4,$D$7:$P$336,$R189,FALSE)-HLOOKUP(U$3,$D$7:$P$336,$R189,FALSE)</f>
        <v>100</v>
      </c>
      <c r="V189" s="60">
        <f ca="1">100+HLOOKUP(V$4,$D$7:$P$336,$R189,FALSE)-HLOOKUP(V$3,$D$7:$P$336,$R189,FALSE)</f>
        <v>86</v>
      </c>
      <c r="W189" s="60">
        <f ca="1">100+HLOOKUP(W$4,$D$7:$P$336,$R189,FALSE)-HLOOKUP(W$3,$D$7:$P$336,$R189,FALSE)</f>
        <v>86</v>
      </c>
      <c r="X189" s="60">
        <f ca="1">100+HLOOKUP(X$4,$D$7:$P$336,$R189,FALSE)-HLOOKUP(X$3,$D$7:$P$336,$R189,FALSE)</f>
        <v>88</v>
      </c>
      <c r="Y189" s="60">
        <f ca="1">100+HLOOKUP(Y$4,$D$7:$P$336,$R189,FALSE)-HLOOKUP(Y$3,$D$7:$P$336,$R189,FALSE)</f>
        <v>85</v>
      </c>
      <c r="Z189" s="60">
        <f ca="1">100+HLOOKUP(Z$4,$D$7:$P$336,$R189,FALSE)-HLOOKUP(Z$3,$D$7:$P$336,$R189,FALSE)</f>
        <v>100</v>
      </c>
      <c r="AA189" s="60">
        <f ca="1">100+HLOOKUP(AA$4,$D$7:$P$336,$R189,FALSE)-HLOOKUP(AA$3,$D$7:$P$336,$R189,FALSE)</f>
        <v>86</v>
      </c>
      <c r="AB189" s="60">
        <f ca="1">100+HLOOKUP(AB$4,$D$7:$P$336,$R189,FALSE)-HLOOKUP(AB$3,$D$7:$P$336,$R189,FALSE)</f>
        <v>86</v>
      </c>
      <c r="AC189" s="60">
        <f ca="1">100+HLOOKUP(AC$4,$D$7:$P$336,$R189,FALSE)-HLOOKUP(AC$3,$D$7:$P$336,$R189,FALSE)</f>
        <v>107</v>
      </c>
      <c r="AD189" s="60">
        <f ca="1">100+HLOOKUP(AD$4,$D$7:$P$336,$R189,FALSE)-HLOOKUP(AD$3,$D$7:$P$336,$R189,FALSE)</f>
        <v>112</v>
      </c>
      <c r="AE189" s="60">
        <f ca="1">100+HLOOKUP(AE$4,$D$7:$P$336,$R189,FALSE)-HLOOKUP(AE$3,$D$7:$P$336,$R189,FALSE)</f>
        <v>111</v>
      </c>
      <c r="AF189" s="60">
        <f ca="1">100+HLOOKUP(AF$4,$D$7:$P$336,$R189,FALSE)-HLOOKUP(AF$3,$D$7:$P$336,$R189,FALSE)</f>
        <v>94</v>
      </c>
      <c r="AG189" s="60">
        <f ca="1">100+HLOOKUP(AG$4,$D$7:$P$336,$R189,FALSE)-HLOOKUP(AG$3,$D$7:$P$336,$R189,FALSE)</f>
        <v>86</v>
      </c>
      <c r="AH189" s="60" t="e">
        <f>100+HLOOKUP(AH$4,$D$7:$P$336,$R189,FALSE)-HLOOKUP(AH$3,$D$7:$P$336,$R189,FALSE)</f>
        <v>#N/A</v>
      </c>
      <c r="AI189" s="60" t="e">
        <f>100+HLOOKUP(AI$4,$D$7:$P$336,$R189,FALSE)-HLOOKUP(AI$3,$D$7:$P$336,$R189,FALSE)</f>
        <v>#N/A</v>
      </c>
      <c r="AJ189" s="60" t="e">
        <f>100+HLOOKUP(AJ$4,$D$7:$P$336,$R189,FALSE)-HLOOKUP(AJ$3,$D$7:$P$336,$R189,FALSE)</f>
        <v>#N/A</v>
      </c>
      <c r="AK189" s="60" t="e">
        <f>100+HLOOKUP(AK$4,$D$7:$P$336,$R189,FALSE)-HLOOKUP(AK$3,$D$7:$P$336,$R189,FALSE)</f>
        <v>#N/A</v>
      </c>
      <c r="AL189" s="60" t="e">
        <f>100+HLOOKUP(AL$4,$D$7:$P$336,$R189,FALSE)-HLOOKUP(AL$3,$D$7:$P$336,$R189,FALSE)</f>
        <v>#N/A</v>
      </c>
      <c r="AM189" s="60" t="e">
        <f>100+HLOOKUP(AM$4,$D$7:$P$336,$R189,FALSE)-HLOOKUP(AM$3,$D$7:$P$336,$R189,FALSE)</f>
        <v>#N/A</v>
      </c>
      <c r="AN189" s="60" t="e">
        <f>100+HLOOKUP(AN$4,$D$7:$P$336,$R189,FALSE)-HLOOKUP(AN$3,$D$7:$P$336,$R189,FALSE)</f>
        <v>#N/A</v>
      </c>
      <c r="AO189" s="60" t="e">
        <f>100+HLOOKUP(AO$4,$D$7:$P$336,$R189,FALSE)-HLOOKUP(AO$3,$D$7:$P$336,$R189,FALSE)</f>
        <v>#N/A</v>
      </c>
      <c r="AP189" s="60" t="e">
        <f>100+HLOOKUP(AP$4,$D$7:$P$336,$R189,FALSE)-HLOOKUP(AP$3,$D$7:$P$336,$R189,FALSE)</f>
        <v>#N/A</v>
      </c>
      <c r="AQ189" s="60" t="e">
        <f>100+HLOOKUP(AQ$4,$D$7:$P$336,$R189,FALSE)-HLOOKUP(AQ$3,$D$7:$P$336,$R189,FALSE)</f>
        <v>#N/A</v>
      </c>
      <c r="AV189" s="60">
        <f ca="1">AV$5-S189</f>
        <v>15.190399426796432</v>
      </c>
      <c r="AW189" s="60">
        <f ca="1">AW$5-T189</f>
        <v>9.2206505297577479</v>
      </c>
      <c r="AX189" s="60">
        <f ca="1">AX$5-U189</f>
        <v>1.7759154036680513</v>
      </c>
      <c r="AY189" s="60">
        <f ca="1">AY$5-V189</f>
        <v>7.6030144015278012</v>
      </c>
      <c r="AZ189" s="60">
        <f ca="1">AZ$5-W189</f>
        <v>11.45448217259603</v>
      </c>
      <c r="BA189" s="60">
        <f ca="1">BA$5-X189</f>
        <v>10.465059058982703</v>
      </c>
      <c r="BB189" s="60">
        <f ca="1">BB$5-Y189</f>
        <v>8.3505927273811267</v>
      </c>
      <c r="BC189" s="60">
        <f ca="1">BC$5-Z189</f>
        <v>7.4374659098821638</v>
      </c>
      <c r="BD189" s="60">
        <f ca="1">BD$5-AA189</f>
        <v>11.936518664382362</v>
      </c>
      <c r="BE189" s="60">
        <f ca="1">BE$5-AB189</f>
        <v>5.829390591992194</v>
      </c>
      <c r="BF189" s="60">
        <f ca="1">BF$5-AC189</f>
        <v>-5.9826956835229197</v>
      </c>
      <c r="BG189" s="60">
        <f ca="1">BG$5-AD189</f>
        <v>-8.0147412949814907</v>
      </c>
      <c r="BH189" s="60">
        <f ca="1">BH$5-AE189</f>
        <v>-12.045407769632433</v>
      </c>
      <c r="BI189" s="60">
        <f ca="1">BI$5-AF189</f>
        <v>-3.3914944887451952</v>
      </c>
      <c r="BJ189" s="60">
        <f ca="1">BJ$5-AG189</f>
        <v>5.43955105767877</v>
      </c>
      <c r="BK189" s="60" t="e">
        <f>BK$5-AH189</f>
        <v>#N/A</v>
      </c>
      <c r="BL189" s="60" t="e">
        <f>BL$5-AI189</f>
        <v>#N/A</v>
      </c>
      <c r="BM189" s="60" t="e">
        <f>BM$5-AJ189</f>
        <v>#N/A</v>
      </c>
      <c r="BN189" s="60" t="e">
        <f>BN$5-AK189</f>
        <v>#N/A</v>
      </c>
      <c r="BO189" s="60" t="e">
        <f>BO$5-AL189</f>
        <v>#N/A</v>
      </c>
      <c r="BP189" s="60" t="e">
        <f>BP$5-AM189</f>
        <v>#N/A</v>
      </c>
      <c r="BQ189" s="60" t="e">
        <f>BQ$5-AN189</f>
        <v>#N/A</v>
      </c>
      <c r="BR189" s="60" t="e">
        <f>BR$5-AO189</f>
        <v>#N/A</v>
      </c>
      <c r="BS189" s="60" t="e">
        <f>BS$5-AP189</f>
        <v>#N/A</v>
      </c>
      <c r="BT189" s="60" t="e">
        <f>BT$5-AQ189</f>
        <v>#N/A</v>
      </c>
      <c r="BV189" s="60" cm="1">
        <f t="array" aca="1" ref="BV189" ca="1">SQRT(SUMSQ(_xlfn._xlws.FILTER(AV189:BT189,ISNUMBER(AV189:BT189)))/COUNT(_xlfn._xlws.FILTER(AV189:BT189,ISNUMBER(AV189:BT189))))</f>
        <v>8.9635300060382299</v>
      </c>
    </row>
    <row r="190" spans="3:74" x14ac:dyDescent="0.2">
      <c r="C190" s="60" t="s">
        <v>509</v>
      </c>
      <c r="D190" s="60">
        <v>0</v>
      </c>
      <c r="E190" s="60">
        <v>-1</v>
      </c>
      <c r="F190" s="60">
        <v>-2</v>
      </c>
      <c r="G190" s="60">
        <v>-8</v>
      </c>
      <c r="H190" s="60">
        <v>-14</v>
      </c>
      <c r="I190" s="60">
        <v>-15</v>
      </c>
      <c r="J190" s="60">
        <v>-9</v>
      </c>
      <c r="K190" s="60">
        <v>-15</v>
      </c>
      <c r="L190" s="60">
        <v>-12</v>
      </c>
      <c r="M190" s="60">
        <v>-9</v>
      </c>
      <c r="N190" s="60">
        <v>-6</v>
      </c>
      <c r="O190" s="60">
        <v>-3</v>
      </c>
      <c r="P190" s="60">
        <v>0</v>
      </c>
      <c r="R190" s="61">
        <f>(ROW(R190)-ROW($C$6))</f>
        <v>184</v>
      </c>
      <c r="S190" s="60">
        <f ca="1">100+HLOOKUP(S$4,$D$7:$P$336,$R190,FALSE)-HLOOKUP(S$3,$D$7:$P$336,$R190,FALSE)</f>
        <v>95</v>
      </c>
      <c r="T190" s="60">
        <f ca="1">100+HLOOKUP(T$4,$D$7:$P$336,$R190,FALSE)-HLOOKUP(T$3,$D$7:$P$336,$R190,FALSE)</f>
        <v>94</v>
      </c>
      <c r="U190" s="60">
        <f ca="1">100+HLOOKUP(U$4,$D$7:$P$336,$R190,FALSE)-HLOOKUP(U$3,$D$7:$P$336,$R190,FALSE)</f>
        <v>89</v>
      </c>
      <c r="V190" s="60">
        <f ca="1">100+HLOOKUP(V$4,$D$7:$P$336,$R190,FALSE)-HLOOKUP(V$3,$D$7:$P$336,$R190,FALSE)</f>
        <v>91</v>
      </c>
      <c r="W190" s="60">
        <f ca="1">100+HLOOKUP(W$4,$D$7:$P$336,$R190,FALSE)-HLOOKUP(W$3,$D$7:$P$336,$R190,FALSE)</f>
        <v>85</v>
      </c>
      <c r="X190" s="60">
        <f ca="1">100+HLOOKUP(X$4,$D$7:$P$336,$R190,FALSE)-HLOOKUP(X$3,$D$7:$P$336,$R190,FALSE)</f>
        <v>95</v>
      </c>
      <c r="Y190" s="60">
        <f ca="1">100+HLOOKUP(Y$4,$D$7:$P$336,$R190,FALSE)-HLOOKUP(Y$3,$D$7:$P$336,$R190,FALSE)</f>
        <v>94</v>
      </c>
      <c r="Z190" s="60">
        <f ca="1">100+HLOOKUP(Z$4,$D$7:$P$336,$R190,FALSE)-HLOOKUP(Z$3,$D$7:$P$336,$R190,FALSE)</f>
        <v>89</v>
      </c>
      <c r="AA190" s="60">
        <f ca="1">100+HLOOKUP(AA$4,$D$7:$P$336,$R190,FALSE)-HLOOKUP(AA$3,$D$7:$P$336,$R190,FALSE)</f>
        <v>91</v>
      </c>
      <c r="AB190" s="60">
        <f ca="1">100+HLOOKUP(AB$4,$D$7:$P$336,$R190,FALSE)-HLOOKUP(AB$3,$D$7:$P$336,$R190,FALSE)</f>
        <v>85</v>
      </c>
      <c r="AC190" s="60">
        <f ca="1">100+HLOOKUP(AC$4,$D$7:$P$336,$R190,FALSE)-HLOOKUP(AC$3,$D$7:$P$336,$R190,FALSE)</f>
        <v>93</v>
      </c>
      <c r="AD190" s="60">
        <f ca="1">100+HLOOKUP(AD$4,$D$7:$P$336,$R190,FALSE)-HLOOKUP(AD$3,$D$7:$P$336,$R190,FALSE)</f>
        <v>111</v>
      </c>
      <c r="AE190" s="60">
        <f ca="1">100+HLOOKUP(AE$4,$D$7:$P$336,$R190,FALSE)-HLOOKUP(AE$3,$D$7:$P$336,$R190,FALSE)</f>
        <v>108</v>
      </c>
      <c r="AF190" s="60">
        <f ca="1">100+HLOOKUP(AF$4,$D$7:$P$336,$R190,FALSE)-HLOOKUP(AF$3,$D$7:$P$336,$R190,FALSE)</f>
        <v>104</v>
      </c>
      <c r="AG190" s="60">
        <f ca="1">100+HLOOKUP(AG$4,$D$7:$P$336,$R190,FALSE)-HLOOKUP(AG$3,$D$7:$P$336,$R190,FALSE)</f>
        <v>91</v>
      </c>
      <c r="AH190" s="60" t="e">
        <f>100+HLOOKUP(AH$4,$D$7:$P$336,$R190,FALSE)-HLOOKUP(AH$3,$D$7:$P$336,$R190,FALSE)</f>
        <v>#N/A</v>
      </c>
      <c r="AI190" s="60" t="e">
        <f>100+HLOOKUP(AI$4,$D$7:$P$336,$R190,FALSE)-HLOOKUP(AI$3,$D$7:$P$336,$R190,FALSE)</f>
        <v>#N/A</v>
      </c>
      <c r="AJ190" s="60" t="e">
        <f>100+HLOOKUP(AJ$4,$D$7:$P$336,$R190,FALSE)-HLOOKUP(AJ$3,$D$7:$P$336,$R190,FALSE)</f>
        <v>#N/A</v>
      </c>
      <c r="AK190" s="60" t="e">
        <f>100+HLOOKUP(AK$4,$D$7:$P$336,$R190,FALSE)-HLOOKUP(AK$3,$D$7:$P$336,$R190,FALSE)</f>
        <v>#N/A</v>
      </c>
      <c r="AL190" s="60" t="e">
        <f>100+HLOOKUP(AL$4,$D$7:$P$336,$R190,FALSE)-HLOOKUP(AL$3,$D$7:$P$336,$R190,FALSE)</f>
        <v>#N/A</v>
      </c>
      <c r="AM190" s="60" t="e">
        <f>100+HLOOKUP(AM$4,$D$7:$P$336,$R190,FALSE)-HLOOKUP(AM$3,$D$7:$P$336,$R190,FALSE)</f>
        <v>#N/A</v>
      </c>
      <c r="AN190" s="60" t="e">
        <f>100+HLOOKUP(AN$4,$D$7:$P$336,$R190,FALSE)-HLOOKUP(AN$3,$D$7:$P$336,$R190,FALSE)</f>
        <v>#N/A</v>
      </c>
      <c r="AO190" s="60" t="e">
        <f>100+HLOOKUP(AO$4,$D$7:$P$336,$R190,FALSE)-HLOOKUP(AO$3,$D$7:$P$336,$R190,FALSE)</f>
        <v>#N/A</v>
      </c>
      <c r="AP190" s="60" t="e">
        <f>100+HLOOKUP(AP$4,$D$7:$P$336,$R190,FALSE)-HLOOKUP(AP$3,$D$7:$P$336,$R190,FALSE)</f>
        <v>#N/A</v>
      </c>
      <c r="AQ190" s="60" t="e">
        <f>100+HLOOKUP(AQ$4,$D$7:$P$336,$R190,FALSE)-HLOOKUP(AQ$3,$D$7:$P$336,$R190,FALSE)</f>
        <v>#N/A</v>
      </c>
      <c r="AV190" s="60">
        <f ca="1">AV$5-S190</f>
        <v>8.1903994267964322</v>
      </c>
      <c r="AW190" s="60">
        <f ca="1">AW$5-T190</f>
        <v>0.2206505297577479</v>
      </c>
      <c r="AX190" s="60">
        <f ca="1">AX$5-U190</f>
        <v>12.775915403668051</v>
      </c>
      <c r="AY190" s="60">
        <f ca="1">AY$5-V190</f>
        <v>2.6030144015278012</v>
      </c>
      <c r="AZ190" s="60">
        <f ca="1">AZ$5-W190</f>
        <v>12.45448217259603</v>
      </c>
      <c r="BA190" s="60">
        <f ca="1">BA$5-X190</f>
        <v>3.4650590589827033</v>
      </c>
      <c r="BB190" s="60">
        <f ca="1">BB$5-Y190</f>
        <v>-0.64940727261887332</v>
      </c>
      <c r="BC190" s="60">
        <f ca="1">BC$5-Z190</f>
        <v>18.437465909882164</v>
      </c>
      <c r="BD190" s="60">
        <f ca="1">BD$5-AA190</f>
        <v>6.936518664382362</v>
      </c>
      <c r="BE190" s="60">
        <f ca="1">BE$5-AB190</f>
        <v>6.829390591992194</v>
      </c>
      <c r="BF190" s="60">
        <f ca="1">BF$5-AC190</f>
        <v>8.0173043164770803</v>
      </c>
      <c r="BG190" s="60">
        <f ca="1">BG$5-AD190</f>
        <v>-7.0147412949814907</v>
      </c>
      <c r="BH190" s="60">
        <f ca="1">BH$5-AE190</f>
        <v>-9.0454077696324333</v>
      </c>
      <c r="BI190" s="60">
        <f ca="1">BI$5-AF190</f>
        <v>-13.391494488745195</v>
      </c>
      <c r="BJ190" s="60">
        <f ca="1">BJ$5-AG190</f>
        <v>0.43955105767877001</v>
      </c>
      <c r="BK190" s="60" t="e">
        <f>BK$5-AH190</f>
        <v>#N/A</v>
      </c>
      <c r="BL190" s="60" t="e">
        <f>BL$5-AI190</f>
        <v>#N/A</v>
      </c>
      <c r="BM190" s="60" t="e">
        <f>BM$5-AJ190</f>
        <v>#N/A</v>
      </c>
      <c r="BN190" s="60" t="e">
        <f>BN$5-AK190</f>
        <v>#N/A</v>
      </c>
      <c r="BO190" s="60" t="e">
        <f>BO$5-AL190</f>
        <v>#N/A</v>
      </c>
      <c r="BP190" s="60" t="e">
        <f>BP$5-AM190</f>
        <v>#N/A</v>
      </c>
      <c r="BQ190" s="60" t="e">
        <f>BQ$5-AN190</f>
        <v>#N/A</v>
      </c>
      <c r="BR190" s="60" t="e">
        <f>BR$5-AO190</f>
        <v>#N/A</v>
      </c>
      <c r="BS190" s="60" t="e">
        <f>BS$5-AP190</f>
        <v>#N/A</v>
      </c>
      <c r="BT190" s="60" t="e">
        <f>BT$5-AQ190</f>
        <v>#N/A</v>
      </c>
      <c r="BV190" s="60" cm="1">
        <f t="array" aca="1" ref="BV190" ca="1">SQRT(SUMSQ(_xlfn._xlws.FILTER(AV190:BT190,ISNUMBER(AV190:BT190)))/COUNT(_xlfn._xlws.FILTER(AV190:BT190,ISNUMBER(AV190:BT190))))</f>
        <v>8.9970292494345188</v>
      </c>
    </row>
    <row r="191" spans="3:74" x14ac:dyDescent="0.2">
      <c r="C191" s="60" t="s">
        <v>246</v>
      </c>
      <c r="D191" s="60">
        <v>0</v>
      </c>
      <c r="E191" s="60">
        <v>2</v>
      </c>
      <c r="F191" s="60">
        <v>4</v>
      </c>
      <c r="G191" s="60">
        <v>-5</v>
      </c>
      <c r="H191" s="60">
        <v>-14</v>
      </c>
      <c r="I191" s="60">
        <v>-12</v>
      </c>
      <c r="J191" s="60">
        <v>-10</v>
      </c>
      <c r="K191" s="60">
        <v>-10</v>
      </c>
      <c r="L191" s="60">
        <v>-8</v>
      </c>
      <c r="M191" s="60">
        <v>-6</v>
      </c>
      <c r="N191" s="60">
        <v>-4</v>
      </c>
      <c r="O191" s="60">
        <v>-2</v>
      </c>
      <c r="P191" s="60">
        <v>0</v>
      </c>
      <c r="R191" s="61">
        <f>(ROW(R191)-ROW($C$6))</f>
        <v>185</v>
      </c>
      <c r="S191" s="60">
        <f ca="1">100+HLOOKUP(S$4,$D$7:$P$336,$R191,FALSE)-HLOOKUP(S$3,$D$7:$P$336,$R191,FALSE)</f>
        <v>92</v>
      </c>
      <c r="T191" s="60">
        <f ca="1">100+HLOOKUP(T$4,$D$7:$P$336,$R191,FALSE)-HLOOKUP(T$3,$D$7:$P$336,$R191,FALSE)</f>
        <v>92</v>
      </c>
      <c r="U191" s="60">
        <f ca="1">100+HLOOKUP(U$4,$D$7:$P$336,$R191,FALSE)-HLOOKUP(U$3,$D$7:$P$336,$R191,FALSE)</f>
        <v>90</v>
      </c>
      <c r="V191" s="60">
        <f ca="1">100+HLOOKUP(V$4,$D$7:$P$336,$R191,FALSE)-HLOOKUP(V$3,$D$7:$P$336,$R191,FALSE)</f>
        <v>92</v>
      </c>
      <c r="W191" s="60">
        <f ca="1">100+HLOOKUP(W$4,$D$7:$P$336,$R191,FALSE)-HLOOKUP(W$3,$D$7:$P$336,$R191,FALSE)</f>
        <v>90</v>
      </c>
      <c r="X191" s="60">
        <f ca="1">100+HLOOKUP(X$4,$D$7:$P$336,$R191,FALSE)-HLOOKUP(X$3,$D$7:$P$336,$R191,FALSE)</f>
        <v>92</v>
      </c>
      <c r="Y191" s="60">
        <f ca="1">100+HLOOKUP(Y$4,$D$7:$P$336,$R191,FALSE)-HLOOKUP(Y$3,$D$7:$P$336,$R191,FALSE)</f>
        <v>92</v>
      </c>
      <c r="Z191" s="60">
        <f ca="1">100+HLOOKUP(Z$4,$D$7:$P$336,$R191,FALSE)-HLOOKUP(Z$3,$D$7:$P$336,$R191,FALSE)</f>
        <v>90</v>
      </c>
      <c r="AA191" s="60">
        <f ca="1">100+HLOOKUP(AA$4,$D$7:$P$336,$R191,FALSE)-HLOOKUP(AA$3,$D$7:$P$336,$R191,FALSE)</f>
        <v>92</v>
      </c>
      <c r="AB191" s="60">
        <f ca="1">100+HLOOKUP(AB$4,$D$7:$P$336,$R191,FALSE)-HLOOKUP(AB$3,$D$7:$P$336,$R191,FALSE)</f>
        <v>90</v>
      </c>
      <c r="AC191" s="60">
        <f ca="1">100+HLOOKUP(AC$4,$D$7:$P$336,$R191,FALSE)-HLOOKUP(AC$3,$D$7:$P$336,$R191,FALSE)</f>
        <v>90</v>
      </c>
      <c r="AD191" s="60">
        <f ca="1">100+HLOOKUP(AD$4,$D$7:$P$336,$R191,FALSE)-HLOOKUP(AD$3,$D$7:$P$336,$R191,FALSE)</f>
        <v>112</v>
      </c>
      <c r="AE191" s="60">
        <f ca="1">100+HLOOKUP(AE$4,$D$7:$P$336,$R191,FALSE)-HLOOKUP(AE$3,$D$7:$P$336,$R191,FALSE)</f>
        <v>112</v>
      </c>
      <c r="AF191" s="60">
        <f ca="1">100+HLOOKUP(AF$4,$D$7:$P$336,$R191,FALSE)-HLOOKUP(AF$3,$D$7:$P$336,$R191,FALSE)</f>
        <v>103</v>
      </c>
      <c r="AG191" s="60">
        <f ca="1">100+HLOOKUP(AG$4,$D$7:$P$336,$R191,FALSE)-HLOOKUP(AG$3,$D$7:$P$336,$R191,FALSE)</f>
        <v>92</v>
      </c>
      <c r="AH191" s="60" t="e">
        <f>100+HLOOKUP(AH$4,$D$7:$P$336,$R191,FALSE)-HLOOKUP(AH$3,$D$7:$P$336,$R191,FALSE)</f>
        <v>#N/A</v>
      </c>
      <c r="AI191" s="60" t="e">
        <f>100+HLOOKUP(AI$4,$D$7:$P$336,$R191,FALSE)-HLOOKUP(AI$3,$D$7:$P$336,$R191,FALSE)</f>
        <v>#N/A</v>
      </c>
      <c r="AJ191" s="60" t="e">
        <f>100+HLOOKUP(AJ$4,$D$7:$P$336,$R191,FALSE)-HLOOKUP(AJ$3,$D$7:$P$336,$R191,FALSE)</f>
        <v>#N/A</v>
      </c>
      <c r="AK191" s="60" t="e">
        <f>100+HLOOKUP(AK$4,$D$7:$P$336,$R191,FALSE)-HLOOKUP(AK$3,$D$7:$P$336,$R191,FALSE)</f>
        <v>#N/A</v>
      </c>
      <c r="AL191" s="60" t="e">
        <f>100+HLOOKUP(AL$4,$D$7:$P$336,$R191,FALSE)-HLOOKUP(AL$3,$D$7:$P$336,$R191,FALSE)</f>
        <v>#N/A</v>
      </c>
      <c r="AM191" s="60" t="e">
        <f>100+HLOOKUP(AM$4,$D$7:$P$336,$R191,FALSE)-HLOOKUP(AM$3,$D$7:$P$336,$R191,FALSE)</f>
        <v>#N/A</v>
      </c>
      <c r="AN191" s="60" t="e">
        <f>100+HLOOKUP(AN$4,$D$7:$P$336,$R191,FALSE)-HLOOKUP(AN$3,$D$7:$P$336,$R191,FALSE)</f>
        <v>#N/A</v>
      </c>
      <c r="AO191" s="60" t="e">
        <f>100+HLOOKUP(AO$4,$D$7:$P$336,$R191,FALSE)-HLOOKUP(AO$3,$D$7:$P$336,$R191,FALSE)</f>
        <v>#N/A</v>
      </c>
      <c r="AP191" s="60" t="e">
        <f>100+HLOOKUP(AP$4,$D$7:$P$336,$R191,FALSE)-HLOOKUP(AP$3,$D$7:$P$336,$R191,FALSE)</f>
        <v>#N/A</v>
      </c>
      <c r="AQ191" s="60" t="e">
        <f>100+HLOOKUP(AQ$4,$D$7:$P$336,$R191,FALSE)-HLOOKUP(AQ$3,$D$7:$P$336,$R191,FALSE)</f>
        <v>#N/A</v>
      </c>
      <c r="AV191" s="60">
        <f ca="1">AV$5-S191</f>
        <v>11.190399426796432</v>
      </c>
      <c r="AW191" s="60">
        <f ca="1">AW$5-T191</f>
        <v>2.2206505297577479</v>
      </c>
      <c r="AX191" s="60">
        <f ca="1">AX$5-U191</f>
        <v>11.775915403668051</v>
      </c>
      <c r="AY191" s="60">
        <f ca="1">AY$5-V191</f>
        <v>1.6030144015278012</v>
      </c>
      <c r="AZ191" s="60">
        <f ca="1">AZ$5-W191</f>
        <v>7.4544821725960304</v>
      </c>
      <c r="BA191" s="60">
        <f ca="1">BA$5-X191</f>
        <v>6.4650590589827033</v>
      </c>
      <c r="BB191" s="60">
        <f ca="1">BB$5-Y191</f>
        <v>1.3505927273811267</v>
      </c>
      <c r="BC191" s="60">
        <f ca="1">BC$5-Z191</f>
        <v>17.437465909882164</v>
      </c>
      <c r="BD191" s="60">
        <f ca="1">BD$5-AA191</f>
        <v>5.936518664382362</v>
      </c>
      <c r="BE191" s="60">
        <f ca="1">BE$5-AB191</f>
        <v>1.829390591992194</v>
      </c>
      <c r="BF191" s="60">
        <f ca="1">BF$5-AC191</f>
        <v>11.01730431647708</v>
      </c>
      <c r="BG191" s="60">
        <f ca="1">BG$5-AD191</f>
        <v>-8.0147412949814907</v>
      </c>
      <c r="BH191" s="60">
        <f ca="1">BH$5-AE191</f>
        <v>-13.045407769632433</v>
      </c>
      <c r="BI191" s="60">
        <f ca="1">BI$5-AF191</f>
        <v>-12.391494488745195</v>
      </c>
      <c r="BJ191" s="60">
        <f ca="1">BJ$5-AG191</f>
        <v>-0.56044894232122999</v>
      </c>
      <c r="BK191" s="60" t="e">
        <f>BK$5-AH191</f>
        <v>#N/A</v>
      </c>
      <c r="BL191" s="60" t="e">
        <f>BL$5-AI191</f>
        <v>#N/A</v>
      </c>
      <c r="BM191" s="60" t="e">
        <f>BM$5-AJ191</f>
        <v>#N/A</v>
      </c>
      <c r="BN191" s="60" t="e">
        <f>BN$5-AK191</f>
        <v>#N/A</v>
      </c>
      <c r="BO191" s="60" t="e">
        <f>BO$5-AL191</f>
        <v>#N/A</v>
      </c>
      <c r="BP191" s="60" t="e">
        <f>BP$5-AM191</f>
        <v>#N/A</v>
      </c>
      <c r="BQ191" s="60" t="e">
        <f>BQ$5-AN191</f>
        <v>#N/A</v>
      </c>
      <c r="BR191" s="60" t="e">
        <f>BR$5-AO191</f>
        <v>#N/A</v>
      </c>
      <c r="BS191" s="60" t="e">
        <f>BS$5-AP191</f>
        <v>#N/A</v>
      </c>
      <c r="BT191" s="60" t="e">
        <f>BT$5-AQ191</f>
        <v>#N/A</v>
      </c>
      <c r="BV191" s="60" cm="1">
        <f t="array" aca="1" ref="BV191" ca="1">SQRT(SUMSQ(_xlfn._xlws.FILTER(AV191:BT191,ISNUMBER(AV191:BT191)))/COUNT(_xlfn._xlws.FILTER(AV191:BT191,ISNUMBER(AV191:BT191))))</f>
        <v>9.0292328091193834</v>
      </c>
    </row>
    <row r="192" spans="3:74" x14ac:dyDescent="0.2">
      <c r="C192" s="60" t="s">
        <v>408</v>
      </c>
      <c r="D192" s="60">
        <v>0</v>
      </c>
      <c r="E192" s="60">
        <v>-2</v>
      </c>
      <c r="F192" s="60">
        <v>-5</v>
      </c>
      <c r="G192" s="60">
        <v>-7</v>
      </c>
      <c r="H192" s="60">
        <v>-9</v>
      </c>
      <c r="I192" s="60">
        <v>-12</v>
      </c>
      <c r="J192" s="60">
        <v>-14</v>
      </c>
      <c r="K192" s="60">
        <v>-12</v>
      </c>
      <c r="L192" s="60">
        <v>-10</v>
      </c>
      <c r="M192" s="60">
        <v>-4</v>
      </c>
      <c r="N192" s="60">
        <v>0</v>
      </c>
      <c r="O192" s="60">
        <v>2</v>
      </c>
      <c r="P192" s="60">
        <v>0</v>
      </c>
      <c r="R192" s="61">
        <f>(ROW(R192)-ROW($C$6))</f>
        <v>186</v>
      </c>
      <c r="S192" s="60">
        <f ca="1">100+HLOOKUP(S$4,$D$7:$P$336,$R192,FALSE)-HLOOKUP(S$3,$D$7:$P$336,$R192,FALSE)</f>
        <v>95</v>
      </c>
      <c r="T192" s="60">
        <f ca="1">100+HLOOKUP(T$4,$D$7:$P$336,$R192,FALSE)-HLOOKUP(T$3,$D$7:$P$336,$R192,FALSE)</f>
        <v>84</v>
      </c>
      <c r="U192" s="60">
        <f ca="1">100+HLOOKUP(U$4,$D$7:$P$336,$R192,FALSE)-HLOOKUP(U$3,$D$7:$P$336,$R192,FALSE)</f>
        <v>92</v>
      </c>
      <c r="V192" s="60">
        <f ca="1">100+HLOOKUP(V$4,$D$7:$P$336,$R192,FALSE)-HLOOKUP(V$3,$D$7:$P$336,$R192,FALSE)</f>
        <v>88</v>
      </c>
      <c r="W192" s="60">
        <f ca="1">100+HLOOKUP(W$4,$D$7:$P$336,$R192,FALSE)-HLOOKUP(W$3,$D$7:$P$336,$R192,FALSE)</f>
        <v>88</v>
      </c>
      <c r="X192" s="60">
        <f ca="1">100+HLOOKUP(X$4,$D$7:$P$336,$R192,FALSE)-HLOOKUP(X$3,$D$7:$P$336,$R192,FALSE)</f>
        <v>95</v>
      </c>
      <c r="Y192" s="60">
        <f ca="1">100+HLOOKUP(Y$4,$D$7:$P$336,$R192,FALSE)-HLOOKUP(Y$3,$D$7:$P$336,$R192,FALSE)</f>
        <v>84</v>
      </c>
      <c r="Z192" s="60">
        <f ca="1">100+HLOOKUP(Z$4,$D$7:$P$336,$R192,FALSE)-HLOOKUP(Z$3,$D$7:$P$336,$R192,FALSE)</f>
        <v>92</v>
      </c>
      <c r="AA192" s="60">
        <f ca="1">100+HLOOKUP(AA$4,$D$7:$P$336,$R192,FALSE)-HLOOKUP(AA$3,$D$7:$P$336,$R192,FALSE)</f>
        <v>88</v>
      </c>
      <c r="AB192" s="60">
        <f ca="1">100+HLOOKUP(AB$4,$D$7:$P$336,$R192,FALSE)-HLOOKUP(AB$3,$D$7:$P$336,$R192,FALSE)</f>
        <v>88</v>
      </c>
      <c r="AC192" s="60">
        <f ca="1">100+HLOOKUP(AC$4,$D$7:$P$336,$R192,FALSE)-HLOOKUP(AC$3,$D$7:$P$336,$R192,FALSE)</f>
        <v>101</v>
      </c>
      <c r="AD192" s="60">
        <f ca="1">100+HLOOKUP(AD$4,$D$7:$P$336,$R192,FALSE)-HLOOKUP(AD$3,$D$7:$P$336,$R192,FALSE)</f>
        <v>111</v>
      </c>
      <c r="AE192" s="60">
        <f ca="1">100+HLOOKUP(AE$4,$D$7:$P$336,$R192,FALSE)-HLOOKUP(AE$3,$D$7:$P$336,$R192,FALSE)</f>
        <v>112</v>
      </c>
      <c r="AF192" s="60">
        <f ca="1">100+HLOOKUP(AF$4,$D$7:$P$336,$R192,FALSE)-HLOOKUP(AF$3,$D$7:$P$336,$R192,FALSE)</f>
        <v>103</v>
      </c>
      <c r="AG192" s="60">
        <f ca="1">100+HLOOKUP(AG$4,$D$7:$P$336,$R192,FALSE)-HLOOKUP(AG$3,$D$7:$P$336,$R192,FALSE)</f>
        <v>88</v>
      </c>
      <c r="AH192" s="60" t="e">
        <f>100+HLOOKUP(AH$4,$D$7:$P$336,$R192,FALSE)-HLOOKUP(AH$3,$D$7:$P$336,$R192,FALSE)</f>
        <v>#N/A</v>
      </c>
      <c r="AI192" s="60" t="e">
        <f>100+HLOOKUP(AI$4,$D$7:$P$336,$R192,FALSE)-HLOOKUP(AI$3,$D$7:$P$336,$R192,FALSE)</f>
        <v>#N/A</v>
      </c>
      <c r="AJ192" s="60" t="e">
        <f>100+HLOOKUP(AJ$4,$D$7:$P$336,$R192,FALSE)-HLOOKUP(AJ$3,$D$7:$P$336,$R192,FALSE)</f>
        <v>#N/A</v>
      </c>
      <c r="AK192" s="60" t="e">
        <f>100+HLOOKUP(AK$4,$D$7:$P$336,$R192,FALSE)-HLOOKUP(AK$3,$D$7:$P$336,$R192,FALSE)</f>
        <v>#N/A</v>
      </c>
      <c r="AL192" s="60" t="e">
        <f>100+HLOOKUP(AL$4,$D$7:$P$336,$R192,FALSE)-HLOOKUP(AL$3,$D$7:$P$336,$R192,FALSE)</f>
        <v>#N/A</v>
      </c>
      <c r="AM192" s="60" t="e">
        <f>100+HLOOKUP(AM$4,$D$7:$P$336,$R192,FALSE)-HLOOKUP(AM$3,$D$7:$P$336,$R192,FALSE)</f>
        <v>#N/A</v>
      </c>
      <c r="AN192" s="60" t="e">
        <f>100+HLOOKUP(AN$4,$D$7:$P$336,$R192,FALSE)-HLOOKUP(AN$3,$D$7:$P$336,$R192,FALSE)</f>
        <v>#N/A</v>
      </c>
      <c r="AO192" s="60" t="e">
        <f>100+HLOOKUP(AO$4,$D$7:$P$336,$R192,FALSE)-HLOOKUP(AO$3,$D$7:$P$336,$R192,FALSE)</f>
        <v>#N/A</v>
      </c>
      <c r="AP192" s="60" t="e">
        <f>100+HLOOKUP(AP$4,$D$7:$P$336,$R192,FALSE)-HLOOKUP(AP$3,$D$7:$P$336,$R192,FALSE)</f>
        <v>#N/A</v>
      </c>
      <c r="AQ192" s="60" t="e">
        <f>100+HLOOKUP(AQ$4,$D$7:$P$336,$R192,FALSE)-HLOOKUP(AQ$3,$D$7:$P$336,$R192,FALSE)</f>
        <v>#N/A</v>
      </c>
      <c r="AV192" s="60">
        <f ca="1">AV$5-S192</f>
        <v>8.1903994267964322</v>
      </c>
      <c r="AW192" s="60">
        <f ca="1">AW$5-T192</f>
        <v>10.220650529757748</v>
      </c>
      <c r="AX192" s="60">
        <f ca="1">AX$5-U192</f>
        <v>9.7759154036680513</v>
      </c>
      <c r="AY192" s="60">
        <f ca="1">AY$5-V192</f>
        <v>5.6030144015278012</v>
      </c>
      <c r="AZ192" s="60">
        <f ca="1">AZ$5-W192</f>
        <v>9.4544821725960304</v>
      </c>
      <c r="BA192" s="60">
        <f ca="1">BA$5-X192</f>
        <v>3.4650590589827033</v>
      </c>
      <c r="BB192" s="60">
        <f ca="1">BB$5-Y192</f>
        <v>9.3505927273811267</v>
      </c>
      <c r="BC192" s="60">
        <f ca="1">BC$5-Z192</f>
        <v>15.437465909882164</v>
      </c>
      <c r="BD192" s="60">
        <f ca="1">BD$5-AA192</f>
        <v>9.936518664382362</v>
      </c>
      <c r="BE192" s="60">
        <f ca="1">BE$5-AB192</f>
        <v>3.829390591992194</v>
      </c>
      <c r="BF192" s="60">
        <f ca="1">BF$5-AC192</f>
        <v>1.7304316477080306E-2</v>
      </c>
      <c r="BG192" s="60">
        <f ca="1">BG$5-AD192</f>
        <v>-7.0147412949814907</v>
      </c>
      <c r="BH192" s="60">
        <f ca="1">BH$5-AE192</f>
        <v>-13.045407769632433</v>
      </c>
      <c r="BI192" s="60">
        <f ca="1">BI$5-AF192</f>
        <v>-12.391494488745195</v>
      </c>
      <c r="BJ192" s="60">
        <f ca="1">BJ$5-AG192</f>
        <v>3.43955105767877</v>
      </c>
      <c r="BK192" s="60" t="e">
        <f>BK$5-AH192</f>
        <v>#N/A</v>
      </c>
      <c r="BL192" s="60" t="e">
        <f>BL$5-AI192</f>
        <v>#N/A</v>
      </c>
      <c r="BM192" s="60" t="e">
        <f>BM$5-AJ192</f>
        <v>#N/A</v>
      </c>
      <c r="BN192" s="60" t="e">
        <f>BN$5-AK192</f>
        <v>#N/A</v>
      </c>
      <c r="BO192" s="60" t="e">
        <f>BO$5-AL192</f>
        <v>#N/A</v>
      </c>
      <c r="BP192" s="60" t="e">
        <f>BP$5-AM192</f>
        <v>#N/A</v>
      </c>
      <c r="BQ192" s="60" t="e">
        <f>BQ$5-AN192</f>
        <v>#N/A</v>
      </c>
      <c r="BR192" s="60" t="e">
        <f>BR$5-AO192</f>
        <v>#N/A</v>
      </c>
      <c r="BS192" s="60" t="e">
        <f>BS$5-AP192</f>
        <v>#N/A</v>
      </c>
      <c r="BT192" s="60" t="e">
        <f>BT$5-AQ192</f>
        <v>#N/A</v>
      </c>
      <c r="BV192" s="60" cm="1">
        <f t="array" aca="1" ref="BV192" ca="1">SQRT(SUMSQ(_xlfn._xlws.FILTER(AV192:BT192,ISNUMBER(AV192:BT192)))/COUNT(_xlfn._xlws.FILTER(AV192:BT192,ISNUMBER(AV192:BT192))))</f>
        <v>9.0325975564770236</v>
      </c>
    </row>
    <row r="193" spans="3:74" x14ac:dyDescent="0.2">
      <c r="C193" s="60" t="s">
        <v>352</v>
      </c>
      <c r="D193" s="60">
        <v>0</v>
      </c>
      <c r="E193" s="60">
        <v>-2</v>
      </c>
      <c r="F193" s="60">
        <v>-5</v>
      </c>
      <c r="G193" s="60">
        <v>-7</v>
      </c>
      <c r="H193" s="60">
        <v>-9</v>
      </c>
      <c r="I193" s="60">
        <v>-12</v>
      </c>
      <c r="J193" s="60">
        <v>-12</v>
      </c>
      <c r="K193" s="60">
        <v>-12</v>
      </c>
      <c r="L193" s="60">
        <v>-3</v>
      </c>
      <c r="M193" s="60">
        <v>3</v>
      </c>
      <c r="N193" s="60">
        <v>3</v>
      </c>
      <c r="O193" s="60">
        <v>3</v>
      </c>
      <c r="P193" s="60">
        <v>0</v>
      </c>
      <c r="R193" s="61">
        <f>(ROW(R193)-ROW($C$6))</f>
        <v>187</v>
      </c>
      <c r="S193" s="60">
        <f ca="1">100+HLOOKUP(S$4,$D$7:$P$336,$R193,FALSE)-HLOOKUP(S$3,$D$7:$P$336,$R193,FALSE)</f>
        <v>88</v>
      </c>
      <c r="T193" s="60">
        <f ca="1">100+HLOOKUP(T$4,$D$7:$P$336,$R193,FALSE)-HLOOKUP(T$3,$D$7:$P$336,$R193,FALSE)</f>
        <v>85</v>
      </c>
      <c r="U193" s="60">
        <f ca="1">100+HLOOKUP(U$4,$D$7:$P$336,$R193,FALSE)-HLOOKUP(U$3,$D$7:$P$336,$R193,FALSE)</f>
        <v>99</v>
      </c>
      <c r="V193" s="60">
        <f ca="1">100+HLOOKUP(V$4,$D$7:$P$336,$R193,FALSE)-HLOOKUP(V$3,$D$7:$P$336,$R193,FALSE)</f>
        <v>85</v>
      </c>
      <c r="W193" s="60">
        <f ca="1">100+HLOOKUP(W$4,$D$7:$P$336,$R193,FALSE)-HLOOKUP(W$3,$D$7:$P$336,$R193,FALSE)</f>
        <v>88</v>
      </c>
      <c r="X193" s="60">
        <f ca="1">100+HLOOKUP(X$4,$D$7:$P$336,$R193,FALSE)-HLOOKUP(X$3,$D$7:$P$336,$R193,FALSE)</f>
        <v>88</v>
      </c>
      <c r="Y193" s="60">
        <f ca="1">100+HLOOKUP(Y$4,$D$7:$P$336,$R193,FALSE)-HLOOKUP(Y$3,$D$7:$P$336,$R193,FALSE)</f>
        <v>85</v>
      </c>
      <c r="Z193" s="60">
        <f ca="1">100+HLOOKUP(Z$4,$D$7:$P$336,$R193,FALSE)-HLOOKUP(Z$3,$D$7:$P$336,$R193,FALSE)</f>
        <v>99</v>
      </c>
      <c r="AA193" s="60">
        <f ca="1">100+HLOOKUP(AA$4,$D$7:$P$336,$R193,FALSE)-HLOOKUP(AA$3,$D$7:$P$336,$R193,FALSE)</f>
        <v>85</v>
      </c>
      <c r="AB193" s="60">
        <f ca="1">100+HLOOKUP(AB$4,$D$7:$P$336,$R193,FALSE)-HLOOKUP(AB$3,$D$7:$P$336,$R193,FALSE)</f>
        <v>88</v>
      </c>
      <c r="AC193" s="60">
        <f ca="1">100+HLOOKUP(AC$4,$D$7:$P$336,$R193,FALSE)-HLOOKUP(AC$3,$D$7:$P$336,$R193,FALSE)</f>
        <v>108</v>
      </c>
      <c r="AD193" s="60">
        <f ca="1">100+HLOOKUP(AD$4,$D$7:$P$336,$R193,FALSE)-HLOOKUP(AD$3,$D$7:$P$336,$R193,FALSE)</f>
        <v>112</v>
      </c>
      <c r="AE193" s="60">
        <f ca="1">100+HLOOKUP(AE$4,$D$7:$P$336,$R193,FALSE)-HLOOKUP(AE$3,$D$7:$P$336,$R193,FALSE)</f>
        <v>110</v>
      </c>
      <c r="AF193" s="60">
        <f ca="1">100+HLOOKUP(AF$4,$D$7:$P$336,$R193,FALSE)-HLOOKUP(AF$3,$D$7:$P$336,$R193,FALSE)</f>
        <v>96</v>
      </c>
      <c r="AG193" s="60">
        <f ca="1">100+HLOOKUP(AG$4,$D$7:$P$336,$R193,FALSE)-HLOOKUP(AG$3,$D$7:$P$336,$R193,FALSE)</f>
        <v>85</v>
      </c>
      <c r="AH193" s="60" t="e">
        <f>100+HLOOKUP(AH$4,$D$7:$P$336,$R193,FALSE)-HLOOKUP(AH$3,$D$7:$P$336,$R193,FALSE)</f>
        <v>#N/A</v>
      </c>
      <c r="AI193" s="60" t="e">
        <f>100+HLOOKUP(AI$4,$D$7:$P$336,$R193,FALSE)-HLOOKUP(AI$3,$D$7:$P$336,$R193,FALSE)</f>
        <v>#N/A</v>
      </c>
      <c r="AJ193" s="60" t="e">
        <f>100+HLOOKUP(AJ$4,$D$7:$P$336,$R193,FALSE)-HLOOKUP(AJ$3,$D$7:$P$336,$R193,FALSE)</f>
        <v>#N/A</v>
      </c>
      <c r="AK193" s="60" t="e">
        <f>100+HLOOKUP(AK$4,$D$7:$P$336,$R193,FALSE)-HLOOKUP(AK$3,$D$7:$P$336,$R193,FALSE)</f>
        <v>#N/A</v>
      </c>
      <c r="AL193" s="60" t="e">
        <f>100+HLOOKUP(AL$4,$D$7:$P$336,$R193,FALSE)-HLOOKUP(AL$3,$D$7:$P$336,$R193,FALSE)</f>
        <v>#N/A</v>
      </c>
      <c r="AM193" s="60" t="e">
        <f>100+HLOOKUP(AM$4,$D$7:$P$336,$R193,FALSE)-HLOOKUP(AM$3,$D$7:$P$336,$R193,FALSE)</f>
        <v>#N/A</v>
      </c>
      <c r="AN193" s="60" t="e">
        <f>100+HLOOKUP(AN$4,$D$7:$P$336,$R193,FALSE)-HLOOKUP(AN$3,$D$7:$P$336,$R193,FALSE)</f>
        <v>#N/A</v>
      </c>
      <c r="AO193" s="60" t="e">
        <f>100+HLOOKUP(AO$4,$D$7:$P$336,$R193,FALSE)-HLOOKUP(AO$3,$D$7:$P$336,$R193,FALSE)</f>
        <v>#N/A</v>
      </c>
      <c r="AP193" s="60" t="e">
        <f>100+HLOOKUP(AP$4,$D$7:$P$336,$R193,FALSE)-HLOOKUP(AP$3,$D$7:$P$336,$R193,FALSE)</f>
        <v>#N/A</v>
      </c>
      <c r="AQ193" s="60" t="e">
        <f>100+HLOOKUP(AQ$4,$D$7:$P$336,$R193,FALSE)-HLOOKUP(AQ$3,$D$7:$P$336,$R193,FALSE)</f>
        <v>#N/A</v>
      </c>
      <c r="AV193" s="60">
        <f ca="1">AV$5-S193</f>
        <v>15.190399426796432</v>
      </c>
      <c r="AW193" s="60">
        <f ca="1">AW$5-T193</f>
        <v>9.2206505297577479</v>
      </c>
      <c r="AX193" s="60">
        <f ca="1">AX$5-U193</f>
        <v>2.7759154036680513</v>
      </c>
      <c r="AY193" s="60">
        <f ca="1">AY$5-V193</f>
        <v>8.6030144015278012</v>
      </c>
      <c r="AZ193" s="60">
        <f ca="1">AZ$5-W193</f>
        <v>9.4544821725960304</v>
      </c>
      <c r="BA193" s="60">
        <f ca="1">BA$5-X193</f>
        <v>10.465059058982703</v>
      </c>
      <c r="BB193" s="60">
        <f ca="1">BB$5-Y193</f>
        <v>8.3505927273811267</v>
      </c>
      <c r="BC193" s="60">
        <f ca="1">BC$5-Z193</f>
        <v>8.4374659098821638</v>
      </c>
      <c r="BD193" s="60">
        <f ca="1">BD$5-AA193</f>
        <v>12.936518664382362</v>
      </c>
      <c r="BE193" s="60">
        <f ca="1">BE$5-AB193</f>
        <v>3.829390591992194</v>
      </c>
      <c r="BF193" s="60">
        <f ca="1">BF$5-AC193</f>
        <v>-6.9826956835229197</v>
      </c>
      <c r="BG193" s="60">
        <f ca="1">BG$5-AD193</f>
        <v>-8.0147412949814907</v>
      </c>
      <c r="BH193" s="60">
        <f ca="1">BH$5-AE193</f>
        <v>-11.045407769632433</v>
      </c>
      <c r="BI193" s="60">
        <f ca="1">BI$5-AF193</f>
        <v>-5.3914944887451952</v>
      </c>
      <c r="BJ193" s="60">
        <f ca="1">BJ$5-AG193</f>
        <v>6.43955105767877</v>
      </c>
      <c r="BK193" s="60" t="e">
        <f>BK$5-AH193</f>
        <v>#N/A</v>
      </c>
      <c r="BL193" s="60" t="e">
        <f>BL$5-AI193</f>
        <v>#N/A</v>
      </c>
      <c r="BM193" s="60" t="e">
        <f>BM$5-AJ193</f>
        <v>#N/A</v>
      </c>
      <c r="BN193" s="60" t="e">
        <f>BN$5-AK193</f>
        <v>#N/A</v>
      </c>
      <c r="BO193" s="60" t="e">
        <f>BO$5-AL193</f>
        <v>#N/A</v>
      </c>
      <c r="BP193" s="60" t="e">
        <f>BP$5-AM193</f>
        <v>#N/A</v>
      </c>
      <c r="BQ193" s="60" t="e">
        <f>BQ$5-AN193</f>
        <v>#N/A</v>
      </c>
      <c r="BR193" s="60" t="e">
        <f>BR$5-AO193</f>
        <v>#N/A</v>
      </c>
      <c r="BS193" s="60" t="e">
        <f>BS$5-AP193</f>
        <v>#N/A</v>
      </c>
      <c r="BT193" s="60" t="e">
        <f>BT$5-AQ193</f>
        <v>#N/A</v>
      </c>
      <c r="BV193" s="60" cm="1">
        <f t="array" aca="1" ref="BV193" ca="1">SQRT(SUMSQ(_xlfn._xlws.FILTER(AV193:BT193,ISNUMBER(AV193:BT193)))/COUNT(_xlfn._xlws.FILTER(AV193:BT193,ISNUMBER(AV193:BT193))))</f>
        <v>9.0364559650927401</v>
      </c>
    </row>
    <row r="194" spans="3:74" x14ac:dyDescent="0.2">
      <c r="C194" s="60" t="s">
        <v>256</v>
      </c>
      <c r="D194" s="60">
        <v>0</v>
      </c>
      <c r="E194" s="60">
        <v>-3</v>
      </c>
      <c r="F194" s="60">
        <v>-7</v>
      </c>
      <c r="G194" s="60">
        <v>-10</v>
      </c>
      <c r="H194" s="60">
        <v>-14</v>
      </c>
      <c r="I194" s="60">
        <v>-17</v>
      </c>
      <c r="J194" s="60">
        <v>-15</v>
      </c>
      <c r="K194" s="60">
        <v>-13</v>
      </c>
      <c r="L194" s="60">
        <v>-11</v>
      </c>
      <c r="M194" s="60">
        <v>-6</v>
      </c>
      <c r="N194" s="60">
        <v>-4</v>
      </c>
      <c r="O194" s="60">
        <v>-2</v>
      </c>
      <c r="P194" s="60">
        <v>0</v>
      </c>
      <c r="R194" s="61">
        <f>(ROW(R194)-ROW($C$6))</f>
        <v>188</v>
      </c>
      <c r="S194" s="60">
        <f ca="1">100+HLOOKUP(S$4,$D$7:$P$336,$R194,FALSE)-HLOOKUP(S$3,$D$7:$P$336,$R194,FALSE)</f>
        <v>92</v>
      </c>
      <c r="T194" s="60">
        <f ca="1">100+HLOOKUP(T$4,$D$7:$P$336,$R194,FALSE)-HLOOKUP(T$3,$D$7:$P$336,$R194,FALSE)</f>
        <v>87</v>
      </c>
      <c r="U194" s="60">
        <f ca="1">100+HLOOKUP(U$4,$D$7:$P$336,$R194,FALSE)-HLOOKUP(U$3,$D$7:$P$336,$R194,FALSE)</f>
        <v>92</v>
      </c>
      <c r="V194" s="60">
        <f ca="1">100+HLOOKUP(V$4,$D$7:$P$336,$R194,FALSE)-HLOOKUP(V$3,$D$7:$P$336,$R194,FALSE)</f>
        <v>87</v>
      </c>
      <c r="W194" s="60">
        <f ca="1">100+HLOOKUP(W$4,$D$7:$P$336,$R194,FALSE)-HLOOKUP(W$3,$D$7:$P$336,$R194,FALSE)</f>
        <v>87</v>
      </c>
      <c r="X194" s="60">
        <f ca="1">100+HLOOKUP(X$4,$D$7:$P$336,$R194,FALSE)-HLOOKUP(X$3,$D$7:$P$336,$R194,FALSE)</f>
        <v>92</v>
      </c>
      <c r="Y194" s="60">
        <f ca="1">100+HLOOKUP(Y$4,$D$7:$P$336,$R194,FALSE)-HLOOKUP(Y$3,$D$7:$P$336,$R194,FALSE)</f>
        <v>87</v>
      </c>
      <c r="Z194" s="60">
        <f ca="1">100+HLOOKUP(Z$4,$D$7:$P$336,$R194,FALSE)-HLOOKUP(Z$3,$D$7:$P$336,$R194,FALSE)</f>
        <v>92</v>
      </c>
      <c r="AA194" s="60">
        <f ca="1">100+HLOOKUP(AA$4,$D$7:$P$336,$R194,FALSE)-HLOOKUP(AA$3,$D$7:$P$336,$R194,FALSE)</f>
        <v>87</v>
      </c>
      <c r="AB194" s="60">
        <f ca="1">100+HLOOKUP(AB$4,$D$7:$P$336,$R194,FALSE)-HLOOKUP(AB$3,$D$7:$P$336,$R194,FALSE)</f>
        <v>87</v>
      </c>
      <c r="AC194" s="60">
        <f ca="1">100+HLOOKUP(AC$4,$D$7:$P$336,$R194,FALSE)-HLOOKUP(AC$3,$D$7:$P$336,$R194,FALSE)</f>
        <v>101</v>
      </c>
      <c r="AD194" s="60">
        <f ca="1">100+HLOOKUP(AD$4,$D$7:$P$336,$R194,FALSE)-HLOOKUP(AD$3,$D$7:$P$336,$R194,FALSE)</f>
        <v>112</v>
      </c>
      <c r="AE194" s="60">
        <f ca="1">100+HLOOKUP(AE$4,$D$7:$P$336,$R194,FALSE)-HLOOKUP(AE$3,$D$7:$P$336,$R194,FALSE)</f>
        <v>112</v>
      </c>
      <c r="AF194" s="60">
        <f ca="1">100+HLOOKUP(AF$4,$D$7:$P$336,$R194,FALSE)-HLOOKUP(AF$3,$D$7:$P$336,$R194,FALSE)</f>
        <v>101</v>
      </c>
      <c r="AG194" s="60">
        <f ca="1">100+HLOOKUP(AG$4,$D$7:$P$336,$R194,FALSE)-HLOOKUP(AG$3,$D$7:$P$336,$R194,FALSE)</f>
        <v>87</v>
      </c>
      <c r="AH194" s="60" t="e">
        <f>100+HLOOKUP(AH$4,$D$7:$P$336,$R194,FALSE)-HLOOKUP(AH$3,$D$7:$P$336,$R194,FALSE)</f>
        <v>#N/A</v>
      </c>
      <c r="AI194" s="60" t="e">
        <f>100+HLOOKUP(AI$4,$D$7:$P$336,$R194,FALSE)-HLOOKUP(AI$3,$D$7:$P$336,$R194,FALSE)</f>
        <v>#N/A</v>
      </c>
      <c r="AJ194" s="60" t="e">
        <f>100+HLOOKUP(AJ$4,$D$7:$P$336,$R194,FALSE)-HLOOKUP(AJ$3,$D$7:$P$336,$R194,FALSE)</f>
        <v>#N/A</v>
      </c>
      <c r="AK194" s="60" t="e">
        <f>100+HLOOKUP(AK$4,$D$7:$P$336,$R194,FALSE)-HLOOKUP(AK$3,$D$7:$P$336,$R194,FALSE)</f>
        <v>#N/A</v>
      </c>
      <c r="AL194" s="60" t="e">
        <f>100+HLOOKUP(AL$4,$D$7:$P$336,$R194,FALSE)-HLOOKUP(AL$3,$D$7:$P$336,$R194,FALSE)</f>
        <v>#N/A</v>
      </c>
      <c r="AM194" s="60" t="e">
        <f>100+HLOOKUP(AM$4,$D$7:$P$336,$R194,FALSE)-HLOOKUP(AM$3,$D$7:$P$336,$R194,FALSE)</f>
        <v>#N/A</v>
      </c>
      <c r="AN194" s="60" t="e">
        <f>100+HLOOKUP(AN$4,$D$7:$P$336,$R194,FALSE)-HLOOKUP(AN$3,$D$7:$P$336,$R194,FALSE)</f>
        <v>#N/A</v>
      </c>
      <c r="AO194" s="60" t="e">
        <f>100+HLOOKUP(AO$4,$D$7:$P$336,$R194,FALSE)-HLOOKUP(AO$3,$D$7:$P$336,$R194,FALSE)</f>
        <v>#N/A</v>
      </c>
      <c r="AP194" s="60" t="e">
        <f>100+HLOOKUP(AP$4,$D$7:$P$336,$R194,FALSE)-HLOOKUP(AP$3,$D$7:$P$336,$R194,FALSE)</f>
        <v>#N/A</v>
      </c>
      <c r="AQ194" s="60" t="e">
        <f>100+HLOOKUP(AQ$4,$D$7:$P$336,$R194,FALSE)-HLOOKUP(AQ$3,$D$7:$P$336,$R194,FALSE)</f>
        <v>#N/A</v>
      </c>
      <c r="AV194" s="60">
        <f ca="1">AV$5-S194</f>
        <v>11.190399426796432</v>
      </c>
      <c r="AW194" s="60">
        <f ca="1">AW$5-T194</f>
        <v>7.2206505297577479</v>
      </c>
      <c r="AX194" s="60">
        <f ca="1">AX$5-U194</f>
        <v>9.7759154036680513</v>
      </c>
      <c r="AY194" s="60">
        <f ca="1">AY$5-V194</f>
        <v>6.6030144015278012</v>
      </c>
      <c r="AZ194" s="60">
        <f ca="1">AZ$5-W194</f>
        <v>10.45448217259603</v>
      </c>
      <c r="BA194" s="60">
        <f ca="1">BA$5-X194</f>
        <v>6.4650590589827033</v>
      </c>
      <c r="BB194" s="60">
        <f ca="1">BB$5-Y194</f>
        <v>6.3505927273811267</v>
      </c>
      <c r="BC194" s="60">
        <f ca="1">BC$5-Z194</f>
        <v>15.437465909882164</v>
      </c>
      <c r="BD194" s="60">
        <f ca="1">BD$5-AA194</f>
        <v>10.936518664382362</v>
      </c>
      <c r="BE194" s="60">
        <f ca="1">BE$5-AB194</f>
        <v>4.829390591992194</v>
      </c>
      <c r="BF194" s="60">
        <f ca="1">BF$5-AC194</f>
        <v>1.7304316477080306E-2</v>
      </c>
      <c r="BG194" s="60">
        <f ca="1">BG$5-AD194</f>
        <v>-8.0147412949814907</v>
      </c>
      <c r="BH194" s="60">
        <f ca="1">BH$5-AE194</f>
        <v>-13.045407769632433</v>
      </c>
      <c r="BI194" s="60">
        <f ca="1">BI$5-AF194</f>
        <v>-10.391494488745195</v>
      </c>
      <c r="BJ194" s="60">
        <f ca="1">BJ$5-AG194</f>
        <v>4.43955105767877</v>
      </c>
      <c r="BK194" s="60" t="e">
        <f>BK$5-AH194</f>
        <v>#N/A</v>
      </c>
      <c r="BL194" s="60" t="e">
        <f>BL$5-AI194</f>
        <v>#N/A</v>
      </c>
      <c r="BM194" s="60" t="e">
        <f>BM$5-AJ194</f>
        <v>#N/A</v>
      </c>
      <c r="BN194" s="60" t="e">
        <f>BN$5-AK194</f>
        <v>#N/A</v>
      </c>
      <c r="BO194" s="60" t="e">
        <f>BO$5-AL194</f>
        <v>#N/A</v>
      </c>
      <c r="BP194" s="60" t="e">
        <f>BP$5-AM194</f>
        <v>#N/A</v>
      </c>
      <c r="BQ194" s="60" t="e">
        <f>BQ$5-AN194</f>
        <v>#N/A</v>
      </c>
      <c r="BR194" s="60" t="e">
        <f>BR$5-AO194</f>
        <v>#N/A</v>
      </c>
      <c r="BS194" s="60" t="e">
        <f>BS$5-AP194</f>
        <v>#N/A</v>
      </c>
      <c r="BT194" s="60" t="e">
        <f>BT$5-AQ194</f>
        <v>#N/A</v>
      </c>
      <c r="BV194" s="60" cm="1">
        <f t="array" aca="1" ref="BV194" ca="1">SQRT(SUMSQ(_xlfn._xlws.FILTER(AV194:BT194,ISNUMBER(AV194:BT194)))/COUNT(_xlfn._xlws.FILTER(AV194:BT194,ISNUMBER(AV194:BT194))))</f>
        <v>9.1334987419655675</v>
      </c>
    </row>
    <row r="195" spans="3:74" x14ac:dyDescent="0.2">
      <c r="C195" s="60" t="s">
        <v>377</v>
      </c>
      <c r="D195" s="60">
        <v>0</v>
      </c>
      <c r="E195" s="60">
        <v>-3</v>
      </c>
      <c r="F195" s="60">
        <v>-7</v>
      </c>
      <c r="G195" s="60">
        <v>-13</v>
      </c>
      <c r="H195" s="60">
        <v>-13</v>
      </c>
      <c r="I195" s="60">
        <v>-24</v>
      </c>
      <c r="J195" s="60">
        <v>-13</v>
      </c>
      <c r="K195" s="60">
        <v>2</v>
      </c>
      <c r="L195" s="60">
        <v>-8</v>
      </c>
      <c r="M195" s="60">
        <v>-7</v>
      </c>
      <c r="N195" s="60">
        <v>-5</v>
      </c>
      <c r="O195" s="60">
        <v>-1</v>
      </c>
      <c r="P195" s="60">
        <v>0</v>
      </c>
      <c r="R195" s="61">
        <f>(ROW(R195)-ROW($C$6))</f>
        <v>189</v>
      </c>
      <c r="S195" s="60">
        <f ca="1">100+HLOOKUP(S$4,$D$7:$P$336,$R195,FALSE)-HLOOKUP(S$3,$D$7:$P$336,$R195,FALSE)</f>
        <v>94</v>
      </c>
      <c r="T195" s="60">
        <f ca="1">100+HLOOKUP(T$4,$D$7:$P$336,$R195,FALSE)-HLOOKUP(T$3,$D$7:$P$336,$R195,FALSE)</f>
        <v>88</v>
      </c>
      <c r="U195" s="60">
        <f ca="1">100+HLOOKUP(U$4,$D$7:$P$336,$R195,FALSE)-HLOOKUP(U$3,$D$7:$P$336,$R195,FALSE)</f>
        <v>95</v>
      </c>
      <c r="V195" s="60">
        <f ca="1">100+HLOOKUP(V$4,$D$7:$P$336,$R195,FALSE)-HLOOKUP(V$3,$D$7:$P$336,$R195,FALSE)</f>
        <v>81</v>
      </c>
      <c r="W195" s="60">
        <f ca="1">100+HLOOKUP(W$4,$D$7:$P$336,$R195,FALSE)-HLOOKUP(W$3,$D$7:$P$336,$R195,FALSE)</f>
        <v>102</v>
      </c>
      <c r="X195" s="60">
        <f ca="1">100+HLOOKUP(X$4,$D$7:$P$336,$R195,FALSE)-HLOOKUP(X$3,$D$7:$P$336,$R195,FALSE)</f>
        <v>94</v>
      </c>
      <c r="Y195" s="60">
        <f ca="1">100+HLOOKUP(Y$4,$D$7:$P$336,$R195,FALSE)-HLOOKUP(Y$3,$D$7:$P$336,$R195,FALSE)</f>
        <v>88</v>
      </c>
      <c r="Z195" s="60">
        <f ca="1">100+HLOOKUP(Z$4,$D$7:$P$336,$R195,FALSE)-HLOOKUP(Z$3,$D$7:$P$336,$R195,FALSE)</f>
        <v>95</v>
      </c>
      <c r="AA195" s="60">
        <f ca="1">100+HLOOKUP(AA$4,$D$7:$P$336,$R195,FALSE)-HLOOKUP(AA$3,$D$7:$P$336,$R195,FALSE)</f>
        <v>81</v>
      </c>
      <c r="AB195" s="60">
        <f ca="1">100+HLOOKUP(AB$4,$D$7:$P$336,$R195,FALSE)-HLOOKUP(AB$3,$D$7:$P$336,$R195,FALSE)</f>
        <v>102</v>
      </c>
      <c r="AC195" s="60">
        <f ca="1">100+HLOOKUP(AC$4,$D$7:$P$336,$R195,FALSE)-HLOOKUP(AC$3,$D$7:$P$336,$R195,FALSE)</f>
        <v>100</v>
      </c>
      <c r="AD195" s="60">
        <f ca="1">100+HLOOKUP(AD$4,$D$7:$P$336,$R195,FALSE)-HLOOKUP(AD$3,$D$7:$P$336,$R195,FALSE)</f>
        <v>112</v>
      </c>
      <c r="AE195" s="60">
        <f ca="1">100+HLOOKUP(AE$4,$D$7:$P$336,$R195,FALSE)-HLOOKUP(AE$3,$D$7:$P$336,$R195,FALSE)</f>
        <v>110</v>
      </c>
      <c r="AF195" s="60">
        <f ca="1">100+HLOOKUP(AF$4,$D$7:$P$336,$R195,FALSE)-HLOOKUP(AF$3,$D$7:$P$336,$R195,FALSE)</f>
        <v>95</v>
      </c>
      <c r="AG195" s="60">
        <f ca="1">100+HLOOKUP(AG$4,$D$7:$P$336,$R195,FALSE)-HLOOKUP(AG$3,$D$7:$P$336,$R195,FALSE)</f>
        <v>81</v>
      </c>
      <c r="AH195" s="60" t="e">
        <f>100+HLOOKUP(AH$4,$D$7:$P$336,$R195,FALSE)-HLOOKUP(AH$3,$D$7:$P$336,$R195,FALSE)</f>
        <v>#N/A</v>
      </c>
      <c r="AI195" s="60" t="e">
        <f>100+HLOOKUP(AI$4,$D$7:$P$336,$R195,FALSE)-HLOOKUP(AI$3,$D$7:$P$336,$R195,FALSE)</f>
        <v>#N/A</v>
      </c>
      <c r="AJ195" s="60" t="e">
        <f>100+HLOOKUP(AJ$4,$D$7:$P$336,$R195,FALSE)-HLOOKUP(AJ$3,$D$7:$P$336,$R195,FALSE)</f>
        <v>#N/A</v>
      </c>
      <c r="AK195" s="60" t="e">
        <f>100+HLOOKUP(AK$4,$D$7:$P$336,$R195,FALSE)-HLOOKUP(AK$3,$D$7:$P$336,$R195,FALSE)</f>
        <v>#N/A</v>
      </c>
      <c r="AL195" s="60" t="e">
        <f>100+HLOOKUP(AL$4,$D$7:$P$336,$R195,FALSE)-HLOOKUP(AL$3,$D$7:$P$336,$R195,FALSE)</f>
        <v>#N/A</v>
      </c>
      <c r="AM195" s="60" t="e">
        <f>100+HLOOKUP(AM$4,$D$7:$P$336,$R195,FALSE)-HLOOKUP(AM$3,$D$7:$P$336,$R195,FALSE)</f>
        <v>#N/A</v>
      </c>
      <c r="AN195" s="60" t="e">
        <f>100+HLOOKUP(AN$4,$D$7:$P$336,$R195,FALSE)-HLOOKUP(AN$3,$D$7:$P$336,$R195,FALSE)</f>
        <v>#N/A</v>
      </c>
      <c r="AO195" s="60" t="e">
        <f>100+HLOOKUP(AO$4,$D$7:$P$336,$R195,FALSE)-HLOOKUP(AO$3,$D$7:$P$336,$R195,FALSE)</f>
        <v>#N/A</v>
      </c>
      <c r="AP195" s="60" t="e">
        <f>100+HLOOKUP(AP$4,$D$7:$P$336,$R195,FALSE)-HLOOKUP(AP$3,$D$7:$P$336,$R195,FALSE)</f>
        <v>#N/A</v>
      </c>
      <c r="AQ195" s="60" t="e">
        <f>100+HLOOKUP(AQ$4,$D$7:$P$336,$R195,FALSE)-HLOOKUP(AQ$3,$D$7:$P$336,$R195,FALSE)</f>
        <v>#N/A</v>
      </c>
      <c r="AV195" s="60">
        <f ca="1">AV$5-S195</f>
        <v>9.1903994267964322</v>
      </c>
      <c r="AW195" s="60">
        <f ca="1">AW$5-T195</f>
        <v>6.2206505297577479</v>
      </c>
      <c r="AX195" s="60">
        <f ca="1">AX$5-U195</f>
        <v>6.7759154036680513</v>
      </c>
      <c r="AY195" s="60">
        <f ca="1">AY$5-V195</f>
        <v>12.603014401527801</v>
      </c>
      <c r="AZ195" s="60">
        <f ca="1">AZ$5-W195</f>
        <v>-4.5455178274039696</v>
      </c>
      <c r="BA195" s="60">
        <f ca="1">BA$5-X195</f>
        <v>4.4650590589827033</v>
      </c>
      <c r="BB195" s="60">
        <f ca="1">BB$5-Y195</f>
        <v>5.3505927273811267</v>
      </c>
      <c r="BC195" s="60">
        <f ca="1">BC$5-Z195</f>
        <v>12.437465909882164</v>
      </c>
      <c r="BD195" s="60">
        <f ca="1">BD$5-AA195</f>
        <v>16.936518664382362</v>
      </c>
      <c r="BE195" s="60">
        <f ca="1">BE$5-AB195</f>
        <v>-10.170609408007806</v>
      </c>
      <c r="BF195" s="60">
        <f ca="1">BF$5-AC195</f>
        <v>1.0173043164770803</v>
      </c>
      <c r="BG195" s="60">
        <f ca="1">BG$5-AD195</f>
        <v>-8.0147412949814907</v>
      </c>
      <c r="BH195" s="60">
        <f ca="1">BH$5-AE195</f>
        <v>-11.045407769632433</v>
      </c>
      <c r="BI195" s="60">
        <f ca="1">BI$5-AF195</f>
        <v>-4.3914944887451952</v>
      </c>
      <c r="BJ195" s="60">
        <f ca="1">BJ$5-AG195</f>
        <v>10.43955105767877</v>
      </c>
      <c r="BK195" s="60" t="e">
        <f>BK$5-AH195</f>
        <v>#N/A</v>
      </c>
      <c r="BL195" s="60" t="e">
        <f>BL$5-AI195</f>
        <v>#N/A</v>
      </c>
      <c r="BM195" s="60" t="e">
        <f>BM$5-AJ195</f>
        <v>#N/A</v>
      </c>
      <c r="BN195" s="60" t="e">
        <f>BN$5-AK195</f>
        <v>#N/A</v>
      </c>
      <c r="BO195" s="60" t="e">
        <f>BO$5-AL195</f>
        <v>#N/A</v>
      </c>
      <c r="BP195" s="60" t="e">
        <f>BP$5-AM195</f>
        <v>#N/A</v>
      </c>
      <c r="BQ195" s="60" t="e">
        <f>BQ$5-AN195</f>
        <v>#N/A</v>
      </c>
      <c r="BR195" s="60" t="e">
        <f>BR$5-AO195</f>
        <v>#N/A</v>
      </c>
      <c r="BS195" s="60" t="e">
        <f>BS$5-AP195</f>
        <v>#N/A</v>
      </c>
      <c r="BT195" s="60" t="e">
        <f>BT$5-AQ195</f>
        <v>#N/A</v>
      </c>
      <c r="BV195" s="60" cm="1">
        <f t="array" aca="1" ref="BV195" ca="1">SQRT(SUMSQ(_xlfn._xlws.FILTER(AV195:BT195,ISNUMBER(AV195:BT195)))/COUNT(_xlfn._xlws.FILTER(AV195:BT195,ISNUMBER(AV195:BT195))))</f>
        <v>9.1566196489698299</v>
      </c>
    </row>
    <row r="196" spans="3:74" x14ac:dyDescent="0.2">
      <c r="C196" s="60" t="s">
        <v>409</v>
      </c>
      <c r="D196" s="60">
        <v>0</v>
      </c>
      <c r="E196" s="60">
        <v>-2.35</v>
      </c>
      <c r="F196" s="60">
        <v>-4.6900000000000004</v>
      </c>
      <c r="G196" s="60">
        <v>-7.04</v>
      </c>
      <c r="H196" s="60">
        <v>-9.39</v>
      </c>
      <c r="I196" s="60">
        <v>-11.73</v>
      </c>
      <c r="J196" s="60">
        <v>-14.08</v>
      </c>
      <c r="K196" s="60">
        <v>-12.12</v>
      </c>
      <c r="L196" s="60">
        <v>-10.17</v>
      </c>
      <c r="M196" s="60">
        <v>-3.91</v>
      </c>
      <c r="N196" s="60">
        <v>0.4</v>
      </c>
      <c r="O196" s="60">
        <v>2.35</v>
      </c>
      <c r="P196" s="60">
        <v>0</v>
      </c>
      <c r="R196" s="61">
        <f>(ROW(R196)-ROW($C$6))</f>
        <v>190</v>
      </c>
      <c r="S196" s="60">
        <f ca="1">100+HLOOKUP(S$4,$D$7:$P$336,$R196,FALSE)-HLOOKUP(S$3,$D$7:$P$336,$R196,FALSE)</f>
        <v>94.52</v>
      </c>
      <c r="T196" s="60">
        <f ca="1">100+HLOOKUP(T$4,$D$7:$P$336,$R196,FALSE)-HLOOKUP(T$3,$D$7:$P$336,$R196,FALSE)</f>
        <v>83.570000000000007</v>
      </c>
      <c r="U196" s="60">
        <f ca="1">100+HLOOKUP(U$4,$D$7:$P$336,$R196,FALSE)-HLOOKUP(U$3,$D$7:$P$336,$R196,FALSE)</f>
        <v>92.179999999999993</v>
      </c>
      <c r="V196" s="60">
        <f ca="1">100+HLOOKUP(V$4,$D$7:$P$336,$R196,FALSE)-HLOOKUP(V$3,$D$7:$P$336,$R196,FALSE)</f>
        <v>87.86999999999999</v>
      </c>
      <c r="W196" s="60">
        <f ca="1">100+HLOOKUP(W$4,$D$7:$P$336,$R196,FALSE)-HLOOKUP(W$3,$D$7:$P$336,$R196,FALSE)</f>
        <v>87.88</v>
      </c>
      <c r="X196" s="60">
        <f ca="1">100+HLOOKUP(X$4,$D$7:$P$336,$R196,FALSE)-HLOOKUP(X$3,$D$7:$P$336,$R196,FALSE)</f>
        <v>94.52</v>
      </c>
      <c r="Y196" s="60">
        <f ca="1">100+HLOOKUP(Y$4,$D$7:$P$336,$R196,FALSE)-HLOOKUP(Y$3,$D$7:$P$336,$R196,FALSE)</f>
        <v>83.570000000000007</v>
      </c>
      <c r="Z196" s="60">
        <f ca="1">100+HLOOKUP(Z$4,$D$7:$P$336,$R196,FALSE)-HLOOKUP(Z$3,$D$7:$P$336,$R196,FALSE)</f>
        <v>92.179999999999993</v>
      </c>
      <c r="AA196" s="60">
        <f ca="1">100+HLOOKUP(AA$4,$D$7:$P$336,$R196,FALSE)-HLOOKUP(AA$3,$D$7:$P$336,$R196,FALSE)</f>
        <v>87.86999999999999</v>
      </c>
      <c r="AB196" s="60">
        <f ca="1">100+HLOOKUP(AB$4,$D$7:$P$336,$R196,FALSE)-HLOOKUP(AB$3,$D$7:$P$336,$R196,FALSE)</f>
        <v>87.88</v>
      </c>
      <c r="AC196" s="60">
        <f ca="1">100+HLOOKUP(AC$4,$D$7:$P$336,$R196,FALSE)-HLOOKUP(AC$3,$D$7:$P$336,$R196,FALSE)</f>
        <v>100.78</v>
      </c>
      <c r="AD196" s="60">
        <f ca="1">100+HLOOKUP(AD$4,$D$7:$P$336,$R196,FALSE)-HLOOKUP(AD$3,$D$7:$P$336,$R196,FALSE)</f>
        <v>111.74</v>
      </c>
      <c r="AE196" s="60">
        <f ca="1">100+HLOOKUP(AE$4,$D$7:$P$336,$R196,FALSE)-HLOOKUP(AE$3,$D$7:$P$336,$R196,FALSE)</f>
        <v>111.73</v>
      </c>
      <c r="AF196" s="60">
        <f ca="1">100+HLOOKUP(AF$4,$D$7:$P$336,$R196,FALSE)-HLOOKUP(AF$3,$D$7:$P$336,$R196,FALSE)</f>
        <v>103.13</v>
      </c>
      <c r="AG196" s="60">
        <f ca="1">100+HLOOKUP(AG$4,$D$7:$P$336,$R196,FALSE)-HLOOKUP(AG$3,$D$7:$P$336,$R196,FALSE)</f>
        <v>87.86999999999999</v>
      </c>
      <c r="AH196" s="60" t="e">
        <f>100+HLOOKUP(AH$4,$D$7:$P$336,$R196,FALSE)-HLOOKUP(AH$3,$D$7:$P$336,$R196,FALSE)</f>
        <v>#N/A</v>
      </c>
      <c r="AI196" s="60" t="e">
        <f>100+HLOOKUP(AI$4,$D$7:$P$336,$R196,FALSE)-HLOOKUP(AI$3,$D$7:$P$336,$R196,FALSE)</f>
        <v>#N/A</v>
      </c>
      <c r="AJ196" s="60" t="e">
        <f>100+HLOOKUP(AJ$4,$D$7:$P$336,$R196,FALSE)-HLOOKUP(AJ$3,$D$7:$P$336,$R196,FALSE)</f>
        <v>#N/A</v>
      </c>
      <c r="AK196" s="60" t="e">
        <f>100+HLOOKUP(AK$4,$D$7:$P$336,$R196,FALSE)-HLOOKUP(AK$3,$D$7:$P$336,$R196,FALSE)</f>
        <v>#N/A</v>
      </c>
      <c r="AL196" s="60" t="e">
        <f>100+HLOOKUP(AL$4,$D$7:$P$336,$R196,FALSE)-HLOOKUP(AL$3,$D$7:$P$336,$R196,FALSE)</f>
        <v>#N/A</v>
      </c>
      <c r="AM196" s="60" t="e">
        <f>100+HLOOKUP(AM$4,$D$7:$P$336,$R196,FALSE)-HLOOKUP(AM$3,$D$7:$P$336,$R196,FALSE)</f>
        <v>#N/A</v>
      </c>
      <c r="AN196" s="60" t="e">
        <f>100+HLOOKUP(AN$4,$D$7:$P$336,$R196,FALSE)-HLOOKUP(AN$3,$D$7:$P$336,$R196,FALSE)</f>
        <v>#N/A</v>
      </c>
      <c r="AO196" s="60" t="e">
        <f>100+HLOOKUP(AO$4,$D$7:$P$336,$R196,FALSE)-HLOOKUP(AO$3,$D$7:$P$336,$R196,FALSE)</f>
        <v>#N/A</v>
      </c>
      <c r="AP196" s="60" t="e">
        <f>100+HLOOKUP(AP$4,$D$7:$P$336,$R196,FALSE)-HLOOKUP(AP$3,$D$7:$P$336,$R196,FALSE)</f>
        <v>#N/A</v>
      </c>
      <c r="AQ196" s="60" t="e">
        <f>100+HLOOKUP(AQ$4,$D$7:$P$336,$R196,FALSE)-HLOOKUP(AQ$3,$D$7:$P$336,$R196,FALSE)</f>
        <v>#N/A</v>
      </c>
      <c r="AV196" s="60">
        <f ca="1">AV$5-S196</f>
        <v>8.6703994267964362</v>
      </c>
      <c r="AW196" s="60">
        <f ca="1">AW$5-T196</f>
        <v>10.650650529757741</v>
      </c>
      <c r="AX196" s="60">
        <f ca="1">AX$5-U196</f>
        <v>9.5959154036680587</v>
      </c>
      <c r="AY196" s="60">
        <f ca="1">AY$5-V196</f>
        <v>5.7330144015278108</v>
      </c>
      <c r="AZ196" s="60">
        <f ca="1">AZ$5-W196</f>
        <v>9.574482172596035</v>
      </c>
      <c r="BA196" s="60">
        <f ca="1">BA$5-X196</f>
        <v>3.9450590589827073</v>
      </c>
      <c r="BB196" s="60">
        <f ca="1">BB$5-Y196</f>
        <v>9.7805927273811193</v>
      </c>
      <c r="BC196" s="60">
        <f ca="1">BC$5-Z196</f>
        <v>15.257465909882171</v>
      </c>
      <c r="BD196" s="60">
        <f ca="1">BD$5-AA196</f>
        <v>10.066518664382372</v>
      </c>
      <c r="BE196" s="60">
        <f ca="1">BE$5-AB196</f>
        <v>3.9493905919921986</v>
      </c>
      <c r="BF196" s="60">
        <f ca="1">BF$5-AC196</f>
        <v>0.23730431647707917</v>
      </c>
      <c r="BG196" s="60">
        <f ca="1">BG$5-AD196</f>
        <v>-7.7547412949814856</v>
      </c>
      <c r="BH196" s="60">
        <f ca="1">BH$5-AE196</f>
        <v>-12.775407769632437</v>
      </c>
      <c r="BI196" s="60">
        <f ca="1">BI$5-AF196</f>
        <v>-12.521494488745191</v>
      </c>
      <c r="BJ196" s="60">
        <f ca="1">BJ$5-AG196</f>
        <v>3.5695510576787797</v>
      </c>
      <c r="BK196" s="60" t="e">
        <f>BK$5-AH196</f>
        <v>#N/A</v>
      </c>
      <c r="BL196" s="60" t="e">
        <f>BL$5-AI196</f>
        <v>#N/A</v>
      </c>
      <c r="BM196" s="60" t="e">
        <f>BM$5-AJ196</f>
        <v>#N/A</v>
      </c>
      <c r="BN196" s="60" t="e">
        <f>BN$5-AK196</f>
        <v>#N/A</v>
      </c>
      <c r="BO196" s="60" t="e">
        <f>BO$5-AL196</f>
        <v>#N/A</v>
      </c>
      <c r="BP196" s="60" t="e">
        <f>BP$5-AM196</f>
        <v>#N/A</v>
      </c>
      <c r="BQ196" s="60" t="e">
        <f>BQ$5-AN196</f>
        <v>#N/A</v>
      </c>
      <c r="BR196" s="60" t="e">
        <f>BR$5-AO196</f>
        <v>#N/A</v>
      </c>
      <c r="BS196" s="60" t="e">
        <f>BS$5-AP196</f>
        <v>#N/A</v>
      </c>
      <c r="BT196" s="60" t="e">
        <f>BT$5-AQ196</f>
        <v>#N/A</v>
      </c>
      <c r="BV196" s="60" cm="1">
        <f t="array" aca="1" ref="BV196" ca="1">SQRT(SUMSQ(_xlfn._xlws.FILTER(AV196:BT196,ISNUMBER(AV196:BT196)))/COUNT(_xlfn._xlws.FILTER(AV196:BT196,ISNUMBER(AV196:BT196))))</f>
        <v>9.1619177834361718</v>
      </c>
    </row>
    <row r="197" spans="3:74" x14ac:dyDescent="0.2">
      <c r="C197" s="60" t="s">
        <v>261</v>
      </c>
      <c r="D197" s="60">
        <v>0</v>
      </c>
      <c r="E197" s="60">
        <v>2</v>
      </c>
      <c r="F197" s="60">
        <v>4</v>
      </c>
      <c r="G197" s="60">
        <v>-16</v>
      </c>
      <c r="H197" s="60">
        <v>-14</v>
      </c>
      <c r="I197" s="60">
        <v>-12</v>
      </c>
      <c r="J197" s="60">
        <v>3</v>
      </c>
      <c r="K197" s="60">
        <v>5</v>
      </c>
      <c r="L197" s="60">
        <v>-5</v>
      </c>
      <c r="M197" s="60">
        <v>-3</v>
      </c>
      <c r="N197" s="60">
        <v>-11</v>
      </c>
      <c r="O197" s="60">
        <v>-2</v>
      </c>
      <c r="P197" s="60">
        <v>0</v>
      </c>
      <c r="R197" s="61">
        <f>(ROW(R197)-ROW($C$6))</f>
        <v>191</v>
      </c>
      <c r="S197" s="60">
        <f ca="1">100+HLOOKUP(S$4,$D$7:$P$336,$R197,FALSE)-HLOOKUP(S$3,$D$7:$P$336,$R197,FALSE)</f>
        <v>89</v>
      </c>
      <c r="T197" s="60">
        <f ca="1">100+HLOOKUP(T$4,$D$7:$P$336,$R197,FALSE)-HLOOKUP(T$3,$D$7:$P$336,$R197,FALSE)</f>
        <v>105</v>
      </c>
      <c r="U197" s="60">
        <f ca="1">100+HLOOKUP(U$4,$D$7:$P$336,$R197,FALSE)-HLOOKUP(U$3,$D$7:$P$336,$R197,FALSE)</f>
        <v>93</v>
      </c>
      <c r="V197" s="60">
        <f ca="1">100+HLOOKUP(V$4,$D$7:$P$336,$R197,FALSE)-HLOOKUP(V$3,$D$7:$P$336,$R197,FALSE)</f>
        <v>99</v>
      </c>
      <c r="W197" s="60">
        <f ca="1">100+HLOOKUP(W$4,$D$7:$P$336,$R197,FALSE)-HLOOKUP(W$3,$D$7:$P$336,$R197,FALSE)</f>
        <v>105</v>
      </c>
      <c r="X197" s="60">
        <f ca="1">100+HLOOKUP(X$4,$D$7:$P$336,$R197,FALSE)-HLOOKUP(X$3,$D$7:$P$336,$R197,FALSE)</f>
        <v>89</v>
      </c>
      <c r="Y197" s="60">
        <f ca="1">100+HLOOKUP(Y$4,$D$7:$P$336,$R197,FALSE)-HLOOKUP(Y$3,$D$7:$P$336,$R197,FALSE)</f>
        <v>105</v>
      </c>
      <c r="Z197" s="60">
        <f ca="1">100+HLOOKUP(Z$4,$D$7:$P$336,$R197,FALSE)-HLOOKUP(Z$3,$D$7:$P$336,$R197,FALSE)</f>
        <v>93</v>
      </c>
      <c r="AA197" s="60">
        <f ca="1">100+HLOOKUP(AA$4,$D$7:$P$336,$R197,FALSE)-HLOOKUP(AA$3,$D$7:$P$336,$R197,FALSE)</f>
        <v>99</v>
      </c>
      <c r="AB197" s="60">
        <f ca="1">100+HLOOKUP(AB$4,$D$7:$P$336,$R197,FALSE)-HLOOKUP(AB$3,$D$7:$P$336,$R197,FALSE)</f>
        <v>105</v>
      </c>
      <c r="AC197" s="60">
        <f ca="1">100+HLOOKUP(AC$4,$D$7:$P$336,$R197,FALSE)-HLOOKUP(AC$3,$D$7:$P$336,$R197,FALSE)</f>
        <v>93</v>
      </c>
      <c r="AD197" s="60">
        <f ca="1">100+HLOOKUP(AD$4,$D$7:$P$336,$R197,FALSE)-HLOOKUP(AD$3,$D$7:$P$336,$R197,FALSE)</f>
        <v>112</v>
      </c>
      <c r="AE197" s="60">
        <f ca="1">100+HLOOKUP(AE$4,$D$7:$P$336,$R197,FALSE)-HLOOKUP(AE$3,$D$7:$P$336,$R197,FALSE)</f>
        <v>99</v>
      </c>
      <c r="AF197" s="60">
        <f ca="1">100+HLOOKUP(AF$4,$D$7:$P$336,$R197,FALSE)-HLOOKUP(AF$3,$D$7:$P$336,$R197,FALSE)</f>
        <v>89</v>
      </c>
      <c r="AG197" s="60">
        <f ca="1">100+HLOOKUP(AG$4,$D$7:$P$336,$R197,FALSE)-HLOOKUP(AG$3,$D$7:$P$336,$R197,FALSE)</f>
        <v>99</v>
      </c>
      <c r="AH197" s="60" t="e">
        <f>100+HLOOKUP(AH$4,$D$7:$P$336,$R197,FALSE)-HLOOKUP(AH$3,$D$7:$P$336,$R197,FALSE)</f>
        <v>#N/A</v>
      </c>
      <c r="AI197" s="60" t="e">
        <f>100+HLOOKUP(AI$4,$D$7:$P$336,$R197,FALSE)-HLOOKUP(AI$3,$D$7:$P$336,$R197,FALSE)</f>
        <v>#N/A</v>
      </c>
      <c r="AJ197" s="60" t="e">
        <f>100+HLOOKUP(AJ$4,$D$7:$P$336,$R197,FALSE)-HLOOKUP(AJ$3,$D$7:$P$336,$R197,FALSE)</f>
        <v>#N/A</v>
      </c>
      <c r="AK197" s="60" t="e">
        <f>100+HLOOKUP(AK$4,$D$7:$P$336,$R197,FALSE)-HLOOKUP(AK$3,$D$7:$P$336,$R197,FALSE)</f>
        <v>#N/A</v>
      </c>
      <c r="AL197" s="60" t="e">
        <f>100+HLOOKUP(AL$4,$D$7:$P$336,$R197,FALSE)-HLOOKUP(AL$3,$D$7:$P$336,$R197,FALSE)</f>
        <v>#N/A</v>
      </c>
      <c r="AM197" s="60" t="e">
        <f>100+HLOOKUP(AM$4,$D$7:$P$336,$R197,FALSE)-HLOOKUP(AM$3,$D$7:$P$336,$R197,FALSE)</f>
        <v>#N/A</v>
      </c>
      <c r="AN197" s="60" t="e">
        <f>100+HLOOKUP(AN$4,$D$7:$P$336,$R197,FALSE)-HLOOKUP(AN$3,$D$7:$P$336,$R197,FALSE)</f>
        <v>#N/A</v>
      </c>
      <c r="AO197" s="60" t="e">
        <f>100+HLOOKUP(AO$4,$D$7:$P$336,$R197,FALSE)-HLOOKUP(AO$3,$D$7:$P$336,$R197,FALSE)</f>
        <v>#N/A</v>
      </c>
      <c r="AP197" s="60" t="e">
        <f>100+HLOOKUP(AP$4,$D$7:$P$336,$R197,FALSE)-HLOOKUP(AP$3,$D$7:$P$336,$R197,FALSE)</f>
        <v>#N/A</v>
      </c>
      <c r="AQ197" s="60" t="e">
        <f>100+HLOOKUP(AQ$4,$D$7:$P$336,$R197,FALSE)-HLOOKUP(AQ$3,$D$7:$P$336,$R197,FALSE)</f>
        <v>#N/A</v>
      </c>
      <c r="AV197" s="60">
        <f ca="1">AV$5-S197</f>
        <v>14.190399426796432</v>
      </c>
      <c r="AW197" s="60">
        <f ca="1">AW$5-T197</f>
        <v>-10.779349470242252</v>
      </c>
      <c r="AX197" s="60">
        <f ca="1">AX$5-U197</f>
        <v>8.7759154036680513</v>
      </c>
      <c r="AY197" s="60">
        <f ca="1">AY$5-V197</f>
        <v>-5.3969855984721988</v>
      </c>
      <c r="AZ197" s="60">
        <f ca="1">AZ$5-W197</f>
        <v>-7.5455178274039696</v>
      </c>
      <c r="BA197" s="60">
        <f ca="1">BA$5-X197</f>
        <v>9.4650590589827033</v>
      </c>
      <c r="BB197" s="60">
        <f ca="1">BB$5-Y197</f>
        <v>-11.649407272618873</v>
      </c>
      <c r="BC197" s="60">
        <f ca="1">BC$5-Z197</f>
        <v>14.437465909882164</v>
      </c>
      <c r="BD197" s="60">
        <f ca="1">BD$5-AA197</f>
        <v>-1.063481335617638</v>
      </c>
      <c r="BE197" s="60">
        <f ca="1">BE$5-AB197</f>
        <v>-13.170609408007806</v>
      </c>
      <c r="BF197" s="60">
        <f ca="1">BF$5-AC197</f>
        <v>8.0173043164770803</v>
      </c>
      <c r="BG197" s="60">
        <f ca="1">BG$5-AD197</f>
        <v>-8.0147412949814907</v>
      </c>
      <c r="BH197" s="60">
        <f ca="1">BH$5-AE197</f>
        <v>-4.5407769632433315E-2</v>
      </c>
      <c r="BI197" s="60">
        <f ca="1">BI$5-AF197</f>
        <v>1.6085055112548048</v>
      </c>
      <c r="BJ197" s="60">
        <f ca="1">BJ$5-AG197</f>
        <v>-7.56044894232123</v>
      </c>
      <c r="BK197" s="60" t="e">
        <f>BK$5-AH197</f>
        <v>#N/A</v>
      </c>
      <c r="BL197" s="60" t="e">
        <f>BL$5-AI197</f>
        <v>#N/A</v>
      </c>
      <c r="BM197" s="60" t="e">
        <f>BM$5-AJ197</f>
        <v>#N/A</v>
      </c>
      <c r="BN197" s="60" t="e">
        <f>BN$5-AK197</f>
        <v>#N/A</v>
      </c>
      <c r="BO197" s="60" t="e">
        <f>BO$5-AL197</f>
        <v>#N/A</v>
      </c>
      <c r="BP197" s="60" t="e">
        <f>BP$5-AM197</f>
        <v>#N/A</v>
      </c>
      <c r="BQ197" s="60" t="e">
        <f>BQ$5-AN197</f>
        <v>#N/A</v>
      </c>
      <c r="BR197" s="60" t="e">
        <f>BR$5-AO197</f>
        <v>#N/A</v>
      </c>
      <c r="BS197" s="60" t="e">
        <f>BS$5-AP197</f>
        <v>#N/A</v>
      </c>
      <c r="BT197" s="60" t="e">
        <f>BT$5-AQ197</f>
        <v>#N/A</v>
      </c>
      <c r="BV197" s="60" cm="1">
        <f t="array" aca="1" ref="BV197" ca="1">SQRT(SUMSQ(_xlfn._xlws.FILTER(AV197:BT197,ISNUMBER(AV197:BT197)))/COUNT(_xlfn._xlws.FILTER(AV197:BT197,ISNUMBER(AV197:BT197))))</f>
        <v>9.2276258445491397</v>
      </c>
    </row>
    <row r="198" spans="3:74" x14ac:dyDescent="0.2">
      <c r="C198" s="60" t="s">
        <v>348</v>
      </c>
      <c r="D198" s="60">
        <v>0</v>
      </c>
      <c r="E198" s="60">
        <v>-2</v>
      </c>
      <c r="F198" s="60">
        <v>-4</v>
      </c>
      <c r="G198" s="60">
        <v>-6</v>
      </c>
      <c r="H198" s="60">
        <v>-8</v>
      </c>
      <c r="I198" s="60">
        <v>-10</v>
      </c>
      <c r="J198" s="60">
        <v>-12</v>
      </c>
      <c r="K198" s="60">
        <v>-15</v>
      </c>
      <c r="L198" s="60">
        <v>0</v>
      </c>
      <c r="M198" s="60">
        <v>6</v>
      </c>
      <c r="N198" s="60">
        <v>4</v>
      </c>
      <c r="O198" s="60">
        <v>2</v>
      </c>
      <c r="P198" s="60">
        <v>0</v>
      </c>
      <c r="R198" s="61">
        <f>(ROW(R198)-ROW($C$6))</f>
        <v>192</v>
      </c>
      <c r="S198" s="60">
        <f ca="1">100+HLOOKUP(S$4,$D$7:$P$336,$R198,FALSE)-HLOOKUP(S$3,$D$7:$P$336,$R198,FALSE)</f>
        <v>86</v>
      </c>
      <c r="T198" s="60">
        <f ca="1">100+HLOOKUP(T$4,$D$7:$P$336,$R198,FALSE)-HLOOKUP(T$3,$D$7:$P$336,$R198,FALSE)</f>
        <v>86</v>
      </c>
      <c r="U198" s="60">
        <f ca="1">100+HLOOKUP(U$4,$D$7:$P$336,$R198,FALSE)-HLOOKUP(U$3,$D$7:$P$336,$R198,FALSE)</f>
        <v>102</v>
      </c>
      <c r="V198" s="60">
        <f ca="1">100+HLOOKUP(V$4,$D$7:$P$336,$R198,FALSE)-HLOOKUP(V$3,$D$7:$P$336,$R198,FALSE)</f>
        <v>86</v>
      </c>
      <c r="W198" s="60">
        <f ca="1">100+HLOOKUP(W$4,$D$7:$P$336,$R198,FALSE)-HLOOKUP(W$3,$D$7:$P$336,$R198,FALSE)</f>
        <v>85</v>
      </c>
      <c r="X198" s="60">
        <f ca="1">100+HLOOKUP(X$4,$D$7:$P$336,$R198,FALSE)-HLOOKUP(X$3,$D$7:$P$336,$R198,FALSE)</f>
        <v>86</v>
      </c>
      <c r="Y198" s="60">
        <f ca="1">100+HLOOKUP(Y$4,$D$7:$P$336,$R198,FALSE)-HLOOKUP(Y$3,$D$7:$P$336,$R198,FALSE)</f>
        <v>86</v>
      </c>
      <c r="Z198" s="60">
        <f ca="1">100+HLOOKUP(Z$4,$D$7:$P$336,$R198,FALSE)-HLOOKUP(Z$3,$D$7:$P$336,$R198,FALSE)</f>
        <v>102</v>
      </c>
      <c r="AA198" s="60">
        <f ca="1">100+HLOOKUP(AA$4,$D$7:$P$336,$R198,FALSE)-HLOOKUP(AA$3,$D$7:$P$336,$R198,FALSE)</f>
        <v>86</v>
      </c>
      <c r="AB198" s="60">
        <f ca="1">100+HLOOKUP(AB$4,$D$7:$P$336,$R198,FALSE)-HLOOKUP(AB$3,$D$7:$P$336,$R198,FALSE)</f>
        <v>85</v>
      </c>
      <c r="AC198" s="60">
        <f ca="1">100+HLOOKUP(AC$4,$D$7:$P$336,$R198,FALSE)-HLOOKUP(AC$3,$D$7:$P$336,$R198,FALSE)</f>
        <v>110</v>
      </c>
      <c r="AD198" s="60">
        <f ca="1">100+HLOOKUP(AD$4,$D$7:$P$336,$R198,FALSE)-HLOOKUP(AD$3,$D$7:$P$336,$R198,FALSE)</f>
        <v>110</v>
      </c>
      <c r="AE198" s="60">
        <f ca="1">100+HLOOKUP(AE$4,$D$7:$P$336,$R198,FALSE)-HLOOKUP(AE$3,$D$7:$P$336,$R198,FALSE)</f>
        <v>110</v>
      </c>
      <c r="AF198" s="60">
        <f ca="1">100+HLOOKUP(AF$4,$D$7:$P$336,$R198,FALSE)-HLOOKUP(AF$3,$D$7:$P$336,$R198,FALSE)</f>
        <v>94</v>
      </c>
      <c r="AG198" s="60">
        <f ca="1">100+HLOOKUP(AG$4,$D$7:$P$336,$R198,FALSE)-HLOOKUP(AG$3,$D$7:$P$336,$R198,FALSE)</f>
        <v>86</v>
      </c>
      <c r="AH198" s="60" t="e">
        <f>100+HLOOKUP(AH$4,$D$7:$P$336,$R198,FALSE)-HLOOKUP(AH$3,$D$7:$P$336,$R198,FALSE)</f>
        <v>#N/A</v>
      </c>
      <c r="AI198" s="60" t="e">
        <f>100+HLOOKUP(AI$4,$D$7:$P$336,$R198,FALSE)-HLOOKUP(AI$3,$D$7:$P$336,$R198,FALSE)</f>
        <v>#N/A</v>
      </c>
      <c r="AJ198" s="60" t="e">
        <f>100+HLOOKUP(AJ$4,$D$7:$P$336,$R198,FALSE)-HLOOKUP(AJ$3,$D$7:$P$336,$R198,FALSE)</f>
        <v>#N/A</v>
      </c>
      <c r="AK198" s="60" t="e">
        <f>100+HLOOKUP(AK$4,$D$7:$P$336,$R198,FALSE)-HLOOKUP(AK$3,$D$7:$P$336,$R198,FALSE)</f>
        <v>#N/A</v>
      </c>
      <c r="AL198" s="60" t="e">
        <f>100+HLOOKUP(AL$4,$D$7:$P$336,$R198,FALSE)-HLOOKUP(AL$3,$D$7:$P$336,$R198,FALSE)</f>
        <v>#N/A</v>
      </c>
      <c r="AM198" s="60" t="e">
        <f>100+HLOOKUP(AM$4,$D$7:$P$336,$R198,FALSE)-HLOOKUP(AM$3,$D$7:$P$336,$R198,FALSE)</f>
        <v>#N/A</v>
      </c>
      <c r="AN198" s="60" t="e">
        <f>100+HLOOKUP(AN$4,$D$7:$P$336,$R198,FALSE)-HLOOKUP(AN$3,$D$7:$P$336,$R198,FALSE)</f>
        <v>#N/A</v>
      </c>
      <c r="AO198" s="60" t="e">
        <f>100+HLOOKUP(AO$4,$D$7:$P$336,$R198,FALSE)-HLOOKUP(AO$3,$D$7:$P$336,$R198,FALSE)</f>
        <v>#N/A</v>
      </c>
      <c r="AP198" s="60" t="e">
        <f>100+HLOOKUP(AP$4,$D$7:$P$336,$R198,FALSE)-HLOOKUP(AP$3,$D$7:$P$336,$R198,FALSE)</f>
        <v>#N/A</v>
      </c>
      <c r="AQ198" s="60" t="e">
        <f>100+HLOOKUP(AQ$4,$D$7:$P$336,$R198,FALSE)-HLOOKUP(AQ$3,$D$7:$P$336,$R198,FALSE)</f>
        <v>#N/A</v>
      </c>
      <c r="AV198" s="60">
        <f ca="1">AV$5-S198</f>
        <v>17.190399426796432</v>
      </c>
      <c r="AW198" s="60">
        <f ca="1">AW$5-T198</f>
        <v>8.2206505297577479</v>
      </c>
      <c r="AX198" s="60">
        <f ca="1">AX$5-U198</f>
        <v>-0.22408459633194866</v>
      </c>
      <c r="AY198" s="60">
        <f ca="1">AY$5-V198</f>
        <v>7.6030144015278012</v>
      </c>
      <c r="AZ198" s="60">
        <f ca="1">AZ$5-W198</f>
        <v>12.45448217259603</v>
      </c>
      <c r="BA198" s="60">
        <f ca="1">BA$5-X198</f>
        <v>12.465059058982703</v>
      </c>
      <c r="BB198" s="60">
        <f ca="1">BB$5-Y198</f>
        <v>7.3505927273811267</v>
      </c>
      <c r="BC198" s="60">
        <f ca="1">BC$5-Z198</f>
        <v>5.4374659098821638</v>
      </c>
      <c r="BD198" s="60">
        <f ca="1">BD$5-AA198</f>
        <v>11.936518664382362</v>
      </c>
      <c r="BE198" s="60">
        <f ca="1">BE$5-AB198</f>
        <v>6.829390591992194</v>
      </c>
      <c r="BF198" s="60">
        <f ca="1">BF$5-AC198</f>
        <v>-8.9826956835229197</v>
      </c>
      <c r="BG198" s="60">
        <f ca="1">BG$5-AD198</f>
        <v>-6.0147412949814907</v>
      </c>
      <c r="BH198" s="60">
        <f ca="1">BH$5-AE198</f>
        <v>-11.045407769632433</v>
      </c>
      <c r="BI198" s="60">
        <f ca="1">BI$5-AF198</f>
        <v>-3.3914944887451952</v>
      </c>
      <c r="BJ198" s="60">
        <f ca="1">BJ$5-AG198</f>
        <v>5.43955105767877</v>
      </c>
      <c r="BK198" s="60" t="e">
        <f>BK$5-AH198</f>
        <v>#N/A</v>
      </c>
      <c r="BL198" s="60" t="e">
        <f>BL$5-AI198</f>
        <v>#N/A</v>
      </c>
      <c r="BM198" s="60" t="e">
        <f>BM$5-AJ198</f>
        <v>#N/A</v>
      </c>
      <c r="BN198" s="60" t="e">
        <f>BN$5-AK198</f>
        <v>#N/A</v>
      </c>
      <c r="BO198" s="60" t="e">
        <f>BO$5-AL198</f>
        <v>#N/A</v>
      </c>
      <c r="BP198" s="60" t="e">
        <f>BP$5-AM198</f>
        <v>#N/A</v>
      </c>
      <c r="BQ198" s="60" t="e">
        <f>BQ$5-AN198</f>
        <v>#N/A</v>
      </c>
      <c r="BR198" s="60" t="e">
        <f>BR$5-AO198</f>
        <v>#N/A</v>
      </c>
      <c r="BS198" s="60" t="e">
        <f>BS$5-AP198</f>
        <v>#N/A</v>
      </c>
      <c r="BT198" s="60" t="e">
        <f>BT$5-AQ198</f>
        <v>#N/A</v>
      </c>
      <c r="BV198" s="60" cm="1">
        <f t="array" aca="1" ref="BV198" ca="1">SQRT(SUMSQ(_xlfn._xlws.FILTER(AV198:BT198,ISNUMBER(AV198:BT198)))/COUNT(_xlfn._xlws.FILTER(AV198:BT198,ISNUMBER(AV198:BT198))))</f>
        <v>9.2524339631002928</v>
      </c>
    </row>
    <row r="199" spans="3:74" x14ac:dyDescent="0.2">
      <c r="C199" s="60" t="s">
        <v>511</v>
      </c>
      <c r="D199" s="60">
        <v>0</v>
      </c>
      <c r="E199" s="60">
        <v>0</v>
      </c>
      <c r="F199" s="60">
        <v>0</v>
      </c>
      <c r="G199" s="60">
        <v>-6</v>
      </c>
      <c r="H199" s="60">
        <v>-12</v>
      </c>
      <c r="I199" s="60">
        <v>-12</v>
      </c>
      <c r="J199" s="60">
        <v>-9</v>
      </c>
      <c r="K199" s="60">
        <v>-15</v>
      </c>
      <c r="L199" s="60">
        <v>-12</v>
      </c>
      <c r="M199" s="60">
        <v>-9</v>
      </c>
      <c r="N199" s="60">
        <v>-6</v>
      </c>
      <c r="O199" s="60">
        <v>-3</v>
      </c>
      <c r="P199" s="60">
        <v>0</v>
      </c>
      <c r="R199" s="61">
        <f>(ROW(R199)-ROW($C$6))</f>
        <v>193</v>
      </c>
      <c r="S199" s="60">
        <f ca="1">100+HLOOKUP(S$4,$D$7:$P$336,$R199,FALSE)-HLOOKUP(S$3,$D$7:$P$336,$R199,FALSE)</f>
        <v>97</v>
      </c>
      <c r="T199" s="60">
        <f ca="1">100+HLOOKUP(T$4,$D$7:$P$336,$R199,FALSE)-HLOOKUP(T$3,$D$7:$P$336,$R199,FALSE)</f>
        <v>94</v>
      </c>
      <c r="U199" s="60">
        <f ca="1">100+HLOOKUP(U$4,$D$7:$P$336,$R199,FALSE)-HLOOKUP(U$3,$D$7:$P$336,$R199,FALSE)</f>
        <v>88</v>
      </c>
      <c r="V199" s="60">
        <f ca="1">100+HLOOKUP(V$4,$D$7:$P$336,$R199,FALSE)-HLOOKUP(V$3,$D$7:$P$336,$R199,FALSE)</f>
        <v>94</v>
      </c>
      <c r="W199" s="60">
        <f ca="1">100+HLOOKUP(W$4,$D$7:$P$336,$R199,FALSE)-HLOOKUP(W$3,$D$7:$P$336,$R199,FALSE)</f>
        <v>85</v>
      </c>
      <c r="X199" s="60">
        <f ca="1">100+HLOOKUP(X$4,$D$7:$P$336,$R199,FALSE)-HLOOKUP(X$3,$D$7:$P$336,$R199,FALSE)</f>
        <v>97</v>
      </c>
      <c r="Y199" s="60">
        <f ca="1">100+HLOOKUP(Y$4,$D$7:$P$336,$R199,FALSE)-HLOOKUP(Y$3,$D$7:$P$336,$R199,FALSE)</f>
        <v>94</v>
      </c>
      <c r="Z199" s="60">
        <f ca="1">100+HLOOKUP(Z$4,$D$7:$P$336,$R199,FALSE)-HLOOKUP(Z$3,$D$7:$P$336,$R199,FALSE)</f>
        <v>88</v>
      </c>
      <c r="AA199" s="60">
        <f ca="1">100+HLOOKUP(AA$4,$D$7:$P$336,$R199,FALSE)-HLOOKUP(AA$3,$D$7:$P$336,$R199,FALSE)</f>
        <v>94</v>
      </c>
      <c r="AB199" s="60">
        <f ca="1">100+HLOOKUP(AB$4,$D$7:$P$336,$R199,FALSE)-HLOOKUP(AB$3,$D$7:$P$336,$R199,FALSE)</f>
        <v>85</v>
      </c>
      <c r="AC199" s="60">
        <f ca="1">100+HLOOKUP(AC$4,$D$7:$P$336,$R199,FALSE)-HLOOKUP(AC$3,$D$7:$P$336,$R199,FALSE)</f>
        <v>91</v>
      </c>
      <c r="AD199" s="60">
        <f ca="1">100+HLOOKUP(AD$4,$D$7:$P$336,$R199,FALSE)-HLOOKUP(AD$3,$D$7:$P$336,$R199,FALSE)</f>
        <v>109</v>
      </c>
      <c r="AE199" s="60">
        <f ca="1">100+HLOOKUP(AE$4,$D$7:$P$336,$R199,FALSE)-HLOOKUP(AE$3,$D$7:$P$336,$R199,FALSE)</f>
        <v>109</v>
      </c>
      <c r="AF199" s="60">
        <f ca="1">100+HLOOKUP(AF$4,$D$7:$P$336,$R199,FALSE)-HLOOKUP(AF$3,$D$7:$P$336,$R199,FALSE)</f>
        <v>106</v>
      </c>
      <c r="AG199" s="60">
        <f ca="1">100+HLOOKUP(AG$4,$D$7:$P$336,$R199,FALSE)-HLOOKUP(AG$3,$D$7:$P$336,$R199,FALSE)</f>
        <v>94</v>
      </c>
      <c r="AH199" s="60" t="e">
        <f>100+HLOOKUP(AH$4,$D$7:$P$336,$R199,FALSE)-HLOOKUP(AH$3,$D$7:$P$336,$R199,FALSE)</f>
        <v>#N/A</v>
      </c>
      <c r="AI199" s="60" t="e">
        <f>100+HLOOKUP(AI$4,$D$7:$P$336,$R199,FALSE)-HLOOKUP(AI$3,$D$7:$P$336,$R199,FALSE)</f>
        <v>#N/A</v>
      </c>
      <c r="AJ199" s="60" t="e">
        <f>100+HLOOKUP(AJ$4,$D$7:$P$336,$R199,FALSE)-HLOOKUP(AJ$3,$D$7:$P$336,$R199,FALSE)</f>
        <v>#N/A</v>
      </c>
      <c r="AK199" s="60" t="e">
        <f>100+HLOOKUP(AK$4,$D$7:$P$336,$R199,FALSE)-HLOOKUP(AK$3,$D$7:$P$336,$R199,FALSE)</f>
        <v>#N/A</v>
      </c>
      <c r="AL199" s="60" t="e">
        <f>100+HLOOKUP(AL$4,$D$7:$P$336,$R199,FALSE)-HLOOKUP(AL$3,$D$7:$P$336,$R199,FALSE)</f>
        <v>#N/A</v>
      </c>
      <c r="AM199" s="60" t="e">
        <f>100+HLOOKUP(AM$4,$D$7:$P$336,$R199,FALSE)-HLOOKUP(AM$3,$D$7:$P$336,$R199,FALSE)</f>
        <v>#N/A</v>
      </c>
      <c r="AN199" s="60" t="e">
        <f>100+HLOOKUP(AN$4,$D$7:$P$336,$R199,FALSE)-HLOOKUP(AN$3,$D$7:$P$336,$R199,FALSE)</f>
        <v>#N/A</v>
      </c>
      <c r="AO199" s="60" t="e">
        <f>100+HLOOKUP(AO$4,$D$7:$P$336,$R199,FALSE)-HLOOKUP(AO$3,$D$7:$P$336,$R199,FALSE)</f>
        <v>#N/A</v>
      </c>
      <c r="AP199" s="60" t="e">
        <f>100+HLOOKUP(AP$4,$D$7:$P$336,$R199,FALSE)-HLOOKUP(AP$3,$D$7:$P$336,$R199,FALSE)</f>
        <v>#N/A</v>
      </c>
      <c r="AQ199" s="60" t="e">
        <f>100+HLOOKUP(AQ$4,$D$7:$P$336,$R199,FALSE)-HLOOKUP(AQ$3,$D$7:$P$336,$R199,FALSE)</f>
        <v>#N/A</v>
      </c>
      <c r="AV199" s="60">
        <f ca="1">AV$5-S199</f>
        <v>6.1903994267964322</v>
      </c>
      <c r="AW199" s="60">
        <f ca="1">AW$5-T199</f>
        <v>0.2206505297577479</v>
      </c>
      <c r="AX199" s="60">
        <f ca="1">AX$5-U199</f>
        <v>13.775915403668051</v>
      </c>
      <c r="AY199" s="60">
        <f ca="1">AY$5-V199</f>
        <v>-0.39698559847219883</v>
      </c>
      <c r="AZ199" s="60">
        <f ca="1">AZ$5-W199</f>
        <v>12.45448217259603</v>
      </c>
      <c r="BA199" s="60">
        <f ca="1">BA$5-X199</f>
        <v>1.4650590589827033</v>
      </c>
      <c r="BB199" s="60">
        <f ca="1">BB$5-Y199</f>
        <v>-0.64940727261887332</v>
      </c>
      <c r="BC199" s="60">
        <f ca="1">BC$5-Z199</f>
        <v>19.437465909882164</v>
      </c>
      <c r="BD199" s="60">
        <f ca="1">BD$5-AA199</f>
        <v>3.936518664382362</v>
      </c>
      <c r="BE199" s="60">
        <f ca="1">BE$5-AB199</f>
        <v>6.829390591992194</v>
      </c>
      <c r="BF199" s="60">
        <f ca="1">BF$5-AC199</f>
        <v>10.01730431647708</v>
      </c>
      <c r="BG199" s="60">
        <f ca="1">BG$5-AD199</f>
        <v>-5.0147412949814907</v>
      </c>
      <c r="BH199" s="60">
        <f ca="1">BH$5-AE199</f>
        <v>-10.045407769632433</v>
      </c>
      <c r="BI199" s="60">
        <f ca="1">BI$5-AF199</f>
        <v>-15.391494488745195</v>
      </c>
      <c r="BJ199" s="60">
        <f ca="1">BJ$5-AG199</f>
        <v>-2.56044894232123</v>
      </c>
      <c r="BK199" s="60" t="e">
        <f>BK$5-AH199</f>
        <v>#N/A</v>
      </c>
      <c r="BL199" s="60" t="e">
        <f>BL$5-AI199</f>
        <v>#N/A</v>
      </c>
      <c r="BM199" s="60" t="e">
        <f>BM$5-AJ199</f>
        <v>#N/A</v>
      </c>
      <c r="BN199" s="60" t="e">
        <f>BN$5-AK199</f>
        <v>#N/A</v>
      </c>
      <c r="BO199" s="60" t="e">
        <f>BO$5-AL199</f>
        <v>#N/A</v>
      </c>
      <c r="BP199" s="60" t="e">
        <f>BP$5-AM199</f>
        <v>#N/A</v>
      </c>
      <c r="BQ199" s="60" t="e">
        <f>BQ$5-AN199</f>
        <v>#N/A</v>
      </c>
      <c r="BR199" s="60" t="e">
        <f>BR$5-AO199</f>
        <v>#N/A</v>
      </c>
      <c r="BS199" s="60" t="e">
        <f>BS$5-AP199</f>
        <v>#N/A</v>
      </c>
      <c r="BT199" s="60" t="e">
        <f>BT$5-AQ199</f>
        <v>#N/A</v>
      </c>
      <c r="BV199" s="60" cm="1">
        <f t="array" aca="1" ref="BV199" ca="1">SQRT(SUMSQ(_xlfn._xlws.FILTER(AV199:BT199,ISNUMBER(AV199:BT199)))/COUNT(_xlfn._xlws.FILTER(AV199:BT199,ISNUMBER(AV199:BT199))))</f>
        <v>9.2944266427086379</v>
      </c>
    </row>
    <row r="200" spans="3:74" x14ac:dyDescent="0.2">
      <c r="C200" s="60" t="s">
        <v>513</v>
      </c>
      <c r="D200" s="60">
        <v>0</v>
      </c>
      <c r="E200" s="60">
        <v>0</v>
      </c>
      <c r="F200" s="60">
        <v>0</v>
      </c>
      <c r="G200" s="60">
        <v>-5</v>
      </c>
      <c r="H200" s="60">
        <v>-10</v>
      </c>
      <c r="I200" s="60">
        <v>-10</v>
      </c>
      <c r="J200" s="60">
        <v>-10</v>
      </c>
      <c r="K200" s="60">
        <v>-15</v>
      </c>
      <c r="L200" s="60">
        <v>-12</v>
      </c>
      <c r="M200" s="60">
        <v>-9</v>
      </c>
      <c r="N200" s="60">
        <v>-6</v>
      </c>
      <c r="O200" s="60">
        <v>-3</v>
      </c>
      <c r="P200" s="60">
        <v>0</v>
      </c>
      <c r="R200" s="61">
        <f>(ROW(R200)-ROW($C$6))</f>
        <v>194</v>
      </c>
      <c r="S200" s="60">
        <f ca="1">100+HLOOKUP(S$4,$D$7:$P$336,$R200,FALSE)-HLOOKUP(S$3,$D$7:$P$336,$R200,FALSE)</f>
        <v>99</v>
      </c>
      <c r="T200" s="60">
        <f ca="1">100+HLOOKUP(T$4,$D$7:$P$336,$R200,FALSE)-HLOOKUP(T$3,$D$7:$P$336,$R200,FALSE)</f>
        <v>93</v>
      </c>
      <c r="U200" s="60">
        <f ca="1">100+HLOOKUP(U$4,$D$7:$P$336,$R200,FALSE)-HLOOKUP(U$3,$D$7:$P$336,$R200,FALSE)</f>
        <v>88</v>
      </c>
      <c r="V200" s="60">
        <f ca="1">100+HLOOKUP(V$4,$D$7:$P$336,$R200,FALSE)-HLOOKUP(V$3,$D$7:$P$336,$R200,FALSE)</f>
        <v>96</v>
      </c>
      <c r="W200" s="60">
        <f ca="1">100+HLOOKUP(W$4,$D$7:$P$336,$R200,FALSE)-HLOOKUP(W$3,$D$7:$P$336,$R200,FALSE)</f>
        <v>85</v>
      </c>
      <c r="X200" s="60">
        <f ca="1">100+HLOOKUP(X$4,$D$7:$P$336,$R200,FALSE)-HLOOKUP(X$3,$D$7:$P$336,$R200,FALSE)</f>
        <v>99</v>
      </c>
      <c r="Y200" s="60">
        <f ca="1">100+HLOOKUP(Y$4,$D$7:$P$336,$R200,FALSE)-HLOOKUP(Y$3,$D$7:$P$336,$R200,FALSE)</f>
        <v>93</v>
      </c>
      <c r="Z200" s="60">
        <f ca="1">100+HLOOKUP(Z$4,$D$7:$P$336,$R200,FALSE)-HLOOKUP(Z$3,$D$7:$P$336,$R200,FALSE)</f>
        <v>88</v>
      </c>
      <c r="AA200" s="60">
        <f ca="1">100+HLOOKUP(AA$4,$D$7:$P$336,$R200,FALSE)-HLOOKUP(AA$3,$D$7:$P$336,$R200,FALSE)</f>
        <v>96</v>
      </c>
      <c r="AB200" s="60">
        <f ca="1">100+HLOOKUP(AB$4,$D$7:$P$336,$R200,FALSE)-HLOOKUP(AB$3,$D$7:$P$336,$R200,FALSE)</f>
        <v>85</v>
      </c>
      <c r="AC200" s="60">
        <f ca="1">100+HLOOKUP(AC$4,$D$7:$P$336,$R200,FALSE)-HLOOKUP(AC$3,$D$7:$P$336,$R200,FALSE)</f>
        <v>91</v>
      </c>
      <c r="AD200" s="60">
        <f ca="1">100+HLOOKUP(AD$4,$D$7:$P$336,$R200,FALSE)-HLOOKUP(AD$3,$D$7:$P$336,$R200,FALSE)</f>
        <v>107</v>
      </c>
      <c r="AE200" s="60">
        <f ca="1">100+HLOOKUP(AE$4,$D$7:$P$336,$R200,FALSE)-HLOOKUP(AE$3,$D$7:$P$336,$R200,FALSE)</f>
        <v>110</v>
      </c>
      <c r="AF200" s="60">
        <f ca="1">100+HLOOKUP(AF$4,$D$7:$P$336,$R200,FALSE)-HLOOKUP(AF$3,$D$7:$P$336,$R200,FALSE)</f>
        <v>107</v>
      </c>
      <c r="AG200" s="60">
        <f ca="1">100+HLOOKUP(AG$4,$D$7:$P$336,$R200,FALSE)-HLOOKUP(AG$3,$D$7:$P$336,$R200,FALSE)</f>
        <v>96</v>
      </c>
      <c r="AH200" s="60" t="e">
        <f>100+HLOOKUP(AH$4,$D$7:$P$336,$R200,FALSE)-HLOOKUP(AH$3,$D$7:$P$336,$R200,FALSE)</f>
        <v>#N/A</v>
      </c>
      <c r="AI200" s="60" t="e">
        <f>100+HLOOKUP(AI$4,$D$7:$P$336,$R200,FALSE)-HLOOKUP(AI$3,$D$7:$P$336,$R200,FALSE)</f>
        <v>#N/A</v>
      </c>
      <c r="AJ200" s="60" t="e">
        <f>100+HLOOKUP(AJ$4,$D$7:$P$336,$R200,FALSE)-HLOOKUP(AJ$3,$D$7:$P$336,$R200,FALSE)</f>
        <v>#N/A</v>
      </c>
      <c r="AK200" s="60" t="e">
        <f>100+HLOOKUP(AK$4,$D$7:$P$336,$R200,FALSE)-HLOOKUP(AK$3,$D$7:$P$336,$R200,FALSE)</f>
        <v>#N/A</v>
      </c>
      <c r="AL200" s="60" t="e">
        <f>100+HLOOKUP(AL$4,$D$7:$P$336,$R200,FALSE)-HLOOKUP(AL$3,$D$7:$P$336,$R200,FALSE)</f>
        <v>#N/A</v>
      </c>
      <c r="AM200" s="60" t="e">
        <f>100+HLOOKUP(AM$4,$D$7:$P$336,$R200,FALSE)-HLOOKUP(AM$3,$D$7:$P$336,$R200,FALSE)</f>
        <v>#N/A</v>
      </c>
      <c r="AN200" s="60" t="e">
        <f>100+HLOOKUP(AN$4,$D$7:$P$336,$R200,FALSE)-HLOOKUP(AN$3,$D$7:$P$336,$R200,FALSE)</f>
        <v>#N/A</v>
      </c>
      <c r="AO200" s="60" t="e">
        <f>100+HLOOKUP(AO$4,$D$7:$P$336,$R200,FALSE)-HLOOKUP(AO$3,$D$7:$P$336,$R200,FALSE)</f>
        <v>#N/A</v>
      </c>
      <c r="AP200" s="60" t="e">
        <f>100+HLOOKUP(AP$4,$D$7:$P$336,$R200,FALSE)-HLOOKUP(AP$3,$D$7:$P$336,$R200,FALSE)</f>
        <v>#N/A</v>
      </c>
      <c r="AQ200" s="60" t="e">
        <f>100+HLOOKUP(AQ$4,$D$7:$P$336,$R200,FALSE)-HLOOKUP(AQ$3,$D$7:$P$336,$R200,FALSE)</f>
        <v>#N/A</v>
      </c>
      <c r="AV200" s="60">
        <f ca="1">AV$5-S200</f>
        <v>4.1903994267964322</v>
      </c>
      <c r="AW200" s="60">
        <f ca="1">AW$5-T200</f>
        <v>1.2206505297577479</v>
      </c>
      <c r="AX200" s="60">
        <f ca="1">AX$5-U200</f>
        <v>13.775915403668051</v>
      </c>
      <c r="AY200" s="60">
        <f ca="1">AY$5-V200</f>
        <v>-2.3969855984721988</v>
      </c>
      <c r="AZ200" s="60">
        <f ca="1">AZ$5-W200</f>
        <v>12.45448217259603</v>
      </c>
      <c r="BA200" s="60">
        <f ca="1">BA$5-X200</f>
        <v>-0.53494094101729672</v>
      </c>
      <c r="BB200" s="60">
        <f ca="1">BB$5-Y200</f>
        <v>0.35059272738112668</v>
      </c>
      <c r="BC200" s="60">
        <f ca="1">BC$5-Z200</f>
        <v>19.437465909882164</v>
      </c>
      <c r="BD200" s="60">
        <f ca="1">BD$5-AA200</f>
        <v>1.936518664382362</v>
      </c>
      <c r="BE200" s="60">
        <f ca="1">BE$5-AB200</f>
        <v>6.829390591992194</v>
      </c>
      <c r="BF200" s="60">
        <f ca="1">BF$5-AC200</f>
        <v>10.01730431647708</v>
      </c>
      <c r="BG200" s="60">
        <f ca="1">BG$5-AD200</f>
        <v>-3.0147412949814907</v>
      </c>
      <c r="BH200" s="60">
        <f ca="1">BH$5-AE200</f>
        <v>-11.045407769632433</v>
      </c>
      <c r="BI200" s="60">
        <f ca="1">BI$5-AF200</f>
        <v>-16.391494488745195</v>
      </c>
      <c r="BJ200" s="60">
        <f ca="1">BJ$5-AG200</f>
        <v>-4.56044894232123</v>
      </c>
      <c r="BK200" s="60" t="e">
        <f>BK$5-AH200</f>
        <v>#N/A</v>
      </c>
      <c r="BL200" s="60" t="e">
        <f>BL$5-AI200</f>
        <v>#N/A</v>
      </c>
      <c r="BM200" s="60" t="e">
        <f>BM$5-AJ200</f>
        <v>#N/A</v>
      </c>
      <c r="BN200" s="60" t="e">
        <f>BN$5-AK200</f>
        <v>#N/A</v>
      </c>
      <c r="BO200" s="60" t="e">
        <f>BO$5-AL200</f>
        <v>#N/A</v>
      </c>
      <c r="BP200" s="60" t="e">
        <f>BP$5-AM200</f>
        <v>#N/A</v>
      </c>
      <c r="BQ200" s="60" t="e">
        <f>BQ$5-AN200</f>
        <v>#N/A</v>
      </c>
      <c r="BR200" s="60" t="e">
        <f>BR$5-AO200</f>
        <v>#N/A</v>
      </c>
      <c r="BS200" s="60" t="e">
        <f>BS$5-AP200</f>
        <v>#N/A</v>
      </c>
      <c r="BT200" s="60" t="e">
        <f>BT$5-AQ200</f>
        <v>#N/A</v>
      </c>
      <c r="BV200" s="60" cm="1">
        <f t="array" aca="1" ref="BV200" ca="1">SQRT(SUMSQ(_xlfn._xlws.FILTER(AV200:BT200,ISNUMBER(AV200:BT200)))/COUNT(_xlfn._xlws.FILTER(AV200:BT200,ISNUMBER(AV200:BT200))))</f>
        <v>9.3780405013130448</v>
      </c>
    </row>
    <row r="201" spans="3:74" x14ac:dyDescent="0.2">
      <c r="C201" s="60" t="s">
        <v>322</v>
      </c>
      <c r="D201" s="60">
        <v>0</v>
      </c>
      <c r="E201" s="60">
        <v>1.9550000000000001</v>
      </c>
      <c r="F201" s="60">
        <v>3.91</v>
      </c>
      <c r="G201" s="60">
        <v>-15.641</v>
      </c>
      <c r="H201" s="60">
        <v>-13.686</v>
      </c>
      <c r="I201" s="60">
        <v>-11.728999999999999</v>
      </c>
      <c r="J201" s="60">
        <v>-3</v>
      </c>
      <c r="K201" s="60">
        <v>-1.0449999999999999</v>
      </c>
      <c r="L201" s="60">
        <v>-9.2439999999999998</v>
      </c>
      <c r="M201" s="60">
        <v>-7.2889999999999997</v>
      </c>
      <c r="N201" s="60">
        <v>-16.687000000000001</v>
      </c>
      <c r="O201" s="60">
        <v>-1.9550000000000001</v>
      </c>
      <c r="P201" s="60">
        <v>0</v>
      </c>
      <c r="R201" s="61">
        <f>(ROW(R201)-ROW($C$6))</f>
        <v>195</v>
      </c>
      <c r="S201" s="60">
        <f ca="1">100+HLOOKUP(S$4,$D$7:$P$336,$R201,FALSE)-HLOOKUP(S$3,$D$7:$P$336,$R201,FALSE)</f>
        <v>93.602999999999994</v>
      </c>
      <c r="T201" s="60">
        <f ca="1">100+HLOOKUP(T$4,$D$7:$P$336,$R201,FALSE)-HLOOKUP(T$3,$D$7:$P$336,$R201,FALSE)</f>
        <v>98.954999999999998</v>
      </c>
      <c r="U201" s="60">
        <f ca="1">100+HLOOKUP(U$4,$D$7:$P$336,$R201,FALSE)-HLOOKUP(U$3,$D$7:$P$336,$R201,FALSE)</f>
        <v>88.801000000000002</v>
      </c>
      <c r="V201" s="60">
        <f ca="1">100+HLOOKUP(V$4,$D$7:$P$336,$R201,FALSE)-HLOOKUP(V$3,$D$7:$P$336,$R201,FALSE)</f>
        <v>104.958</v>
      </c>
      <c r="W201" s="60">
        <f ca="1">100+HLOOKUP(W$4,$D$7:$P$336,$R201,FALSE)-HLOOKUP(W$3,$D$7:$P$336,$R201,FALSE)</f>
        <v>98.954999999999998</v>
      </c>
      <c r="X201" s="60">
        <f ca="1">100+HLOOKUP(X$4,$D$7:$P$336,$R201,FALSE)-HLOOKUP(X$3,$D$7:$P$336,$R201,FALSE)</f>
        <v>93.602999999999994</v>
      </c>
      <c r="Y201" s="60">
        <f ca="1">100+HLOOKUP(Y$4,$D$7:$P$336,$R201,FALSE)-HLOOKUP(Y$3,$D$7:$P$336,$R201,FALSE)</f>
        <v>98.954999999999998</v>
      </c>
      <c r="Z201" s="60">
        <f ca="1">100+HLOOKUP(Z$4,$D$7:$P$336,$R201,FALSE)-HLOOKUP(Z$3,$D$7:$P$336,$R201,FALSE)</f>
        <v>88.801000000000002</v>
      </c>
      <c r="AA201" s="60">
        <f ca="1">100+HLOOKUP(AA$4,$D$7:$P$336,$R201,FALSE)-HLOOKUP(AA$3,$D$7:$P$336,$R201,FALSE)</f>
        <v>104.958</v>
      </c>
      <c r="AB201" s="60">
        <f ca="1">100+HLOOKUP(AB$4,$D$7:$P$336,$R201,FALSE)-HLOOKUP(AB$3,$D$7:$P$336,$R201,FALSE)</f>
        <v>98.954999999999998</v>
      </c>
      <c r="AC201" s="60">
        <f ca="1">100+HLOOKUP(AC$4,$D$7:$P$336,$R201,FALSE)-HLOOKUP(AC$3,$D$7:$P$336,$R201,FALSE)</f>
        <v>88.801000000000002</v>
      </c>
      <c r="AD201" s="60">
        <f ca="1">100+HLOOKUP(AD$4,$D$7:$P$336,$R201,FALSE)-HLOOKUP(AD$3,$D$7:$P$336,$R201,FALSE)</f>
        <v>111.73099999999999</v>
      </c>
      <c r="AE201" s="60">
        <f ca="1">100+HLOOKUP(AE$4,$D$7:$P$336,$R201,FALSE)-HLOOKUP(AE$3,$D$7:$P$336,$R201,FALSE)</f>
        <v>104.955</v>
      </c>
      <c r="AF201" s="60">
        <f ca="1">100+HLOOKUP(AF$4,$D$7:$P$336,$R201,FALSE)-HLOOKUP(AF$3,$D$7:$P$336,$R201,FALSE)</f>
        <v>93.602999999999994</v>
      </c>
      <c r="AG201" s="60">
        <f ca="1">100+HLOOKUP(AG$4,$D$7:$P$336,$R201,FALSE)-HLOOKUP(AG$3,$D$7:$P$336,$R201,FALSE)</f>
        <v>104.958</v>
      </c>
      <c r="AH201" s="60" t="e">
        <f>100+HLOOKUP(AH$4,$D$7:$P$336,$R201,FALSE)-HLOOKUP(AH$3,$D$7:$P$336,$R201,FALSE)</f>
        <v>#N/A</v>
      </c>
      <c r="AI201" s="60" t="e">
        <f>100+HLOOKUP(AI$4,$D$7:$P$336,$R201,FALSE)-HLOOKUP(AI$3,$D$7:$P$336,$R201,FALSE)</f>
        <v>#N/A</v>
      </c>
      <c r="AJ201" s="60" t="e">
        <f>100+HLOOKUP(AJ$4,$D$7:$P$336,$R201,FALSE)-HLOOKUP(AJ$3,$D$7:$P$336,$R201,FALSE)</f>
        <v>#N/A</v>
      </c>
      <c r="AK201" s="60" t="e">
        <f>100+HLOOKUP(AK$4,$D$7:$P$336,$R201,FALSE)-HLOOKUP(AK$3,$D$7:$P$336,$R201,FALSE)</f>
        <v>#N/A</v>
      </c>
      <c r="AL201" s="60" t="e">
        <f>100+HLOOKUP(AL$4,$D$7:$P$336,$R201,FALSE)-HLOOKUP(AL$3,$D$7:$P$336,$R201,FALSE)</f>
        <v>#N/A</v>
      </c>
      <c r="AM201" s="60" t="e">
        <f>100+HLOOKUP(AM$4,$D$7:$P$336,$R201,FALSE)-HLOOKUP(AM$3,$D$7:$P$336,$R201,FALSE)</f>
        <v>#N/A</v>
      </c>
      <c r="AN201" s="60" t="e">
        <f>100+HLOOKUP(AN$4,$D$7:$P$336,$R201,FALSE)-HLOOKUP(AN$3,$D$7:$P$336,$R201,FALSE)</f>
        <v>#N/A</v>
      </c>
      <c r="AO201" s="60" t="e">
        <f>100+HLOOKUP(AO$4,$D$7:$P$336,$R201,FALSE)-HLOOKUP(AO$3,$D$7:$P$336,$R201,FALSE)</f>
        <v>#N/A</v>
      </c>
      <c r="AP201" s="60" t="e">
        <f>100+HLOOKUP(AP$4,$D$7:$P$336,$R201,FALSE)-HLOOKUP(AP$3,$D$7:$P$336,$R201,FALSE)</f>
        <v>#N/A</v>
      </c>
      <c r="AQ201" s="60" t="e">
        <f>100+HLOOKUP(AQ$4,$D$7:$P$336,$R201,FALSE)-HLOOKUP(AQ$3,$D$7:$P$336,$R201,FALSE)</f>
        <v>#N/A</v>
      </c>
      <c r="AV201" s="60">
        <f ca="1">AV$5-S201</f>
        <v>9.5873994267964378</v>
      </c>
      <c r="AW201" s="60">
        <f ca="1">AW$5-T201</f>
        <v>-4.7343494702422504</v>
      </c>
      <c r="AX201" s="60">
        <f ca="1">AX$5-U201</f>
        <v>12.974915403668049</v>
      </c>
      <c r="AY201" s="60">
        <f ca="1">AY$5-V201</f>
        <v>-11.354985598472197</v>
      </c>
      <c r="AZ201" s="60">
        <f ca="1">AZ$5-W201</f>
        <v>-1.5005178274039679</v>
      </c>
      <c r="BA201" s="60">
        <f ca="1">BA$5-X201</f>
        <v>4.8620590589827088</v>
      </c>
      <c r="BB201" s="60">
        <f ca="1">BB$5-Y201</f>
        <v>-5.6044072726188716</v>
      </c>
      <c r="BC201" s="60">
        <f ca="1">BC$5-Z201</f>
        <v>18.636465909882162</v>
      </c>
      <c r="BD201" s="60">
        <f ca="1">BD$5-AA201</f>
        <v>-7.0214813356176364</v>
      </c>
      <c r="BE201" s="60">
        <f ca="1">BE$5-AB201</f>
        <v>-7.1256094080078043</v>
      </c>
      <c r="BF201" s="60">
        <f ca="1">BF$5-AC201</f>
        <v>12.216304316477078</v>
      </c>
      <c r="BG201" s="60">
        <f ca="1">BG$5-AD201</f>
        <v>-7.7457412949814852</v>
      </c>
      <c r="BH201" s="60">
        <f ca="1">BH$5-AE201</f>
        <v>-6.0004077696324316</v>
      </c>
      <c r="BI201" s="60">
        <f ca="1">BI$5-AF201</f>
        <v>-2.9944944887451896</v>
      </c>
      <c r="BJ201" s="60">
        <f ca="1">BJ$5-AG201</f>
        <v>-13.518448942321228</v>
      </c>
      <c r="BK201" s="60" t="e">
        <f>BK$5-AH201</f>
        <v>#N/A</v>
      </c>
      <c r="BL201" s="60" t="e">
        <f>BL$5-AI201</f>
        <v>#N/A</v>
      </c>
      <c r="BM201" s="60" t="e">
        <f>BM$5-AJ201</f>
        <v>#N/A</v>
      </c>
      <c r="BN201" s="60" t="e">
        <f>BN$5-AK201</f>
        <v>#N/A</v>
      </c>
      <c r="BO201" s="60" t="e">
        <f>BO$5-AL201</f>
        <v>#N/A</v>
      </c>
      <c r="BP201" s="60" t="e">
        <f>BP$5-AM201</f>
        <v>#N/A</v>
      </c>
      <c r="BQ201" s="60" t="e">
        <f>BQ$5-AN201</f>
        <v>#N/A</v>
      </c>
      <c r="BR201" s="60" t="e">
        <f>BR$5-AO201</f>
        <v>#N/A</v>
      </c>
      <c r="BS201" s="60" t="e">
        <f>BS$5-AP201</f>
        <v>#N/A</v>
      </c>
      <c r="BT201" s="60" t="e">
        <f>BT$5-AQ201</f>
        <v>#N/A</v>
      </c>
      <c r="BV201" s="60" cm="1">
        <f t="array" aca="1" ref="BV201" ca="1">SQRT(SUMSQ(_xlfn._xlws.FILTER(AV201:BT201,ISNUMBER(AV201:BT201)))/COUNT(_xlfn._xlws.FILTER(AV201:BT201,ISNUMBER(AV201:BT201))))</f>
        <v>9.4982991329141306</v>
      </c>
    </row>
    <row r="202" spans="3:74" x14ac:dyDescent="0.2">
      <c r="C202" s="60" t="s">
        <v>349</v>
      </c>
      <c r="D202" s="60">
        <v>0</v>
      </c>
      <c r="E202" s="60">
        <v>-2.077</v>
      </c>
      <c r="F202" s="60">
        <v>-4.1539999999999999</v>
      </c>
      <c r="G202" s="60">
        <v>-6.2309999999999999</v>
      </c>
      <c r="H202" s="60">
        <v>-8.3079999999999998</v>
      </c>
      <c r="I202" s="60">
        <v>-10.385</v>
      </c>
      <c r="J202" s="60">
        <v>-12.462</v>
      </c>
      <c r="K202" s="60">
        <v>-14.539</v>
      </c>
      <c r="L202" s="60">
        <v>0.24399999999999999</v>
      </c>
      <c r="M202" s="60">
        <v>6.2309999999999999</v>
      </c>
      <c r="N202" s="60">
        <v>4.1539999999999999</v>
      </c>
      <c r="O202" s="60">
        <v>2.077</v>
      </c>
      <c r="P202" s="60">
        <v>0</v>
      </c>
      <c r="R202" s="61">
        <f>(ROW(R202)-ROW($C$6))</f>
        <v>196</v>
      </c>
      <c r="S202" s="60">
        <f ca="1">100+HLOOKUP(S$4,$D$7:$P$336,$R202,FALSE)-HLOOKUP(S$3,$D$7:$P$336,$R202,FALSE)</f>
        <v>85.461000000000013</v>
      </c>
      <c r="T202" s="60">
        <f ca="1">100+HLOOKUP(T$4,$D$7:$P$336,$R202,FALSE)-HLOOKUP(T$3,$D$7:$P$336,$R202,FALSE)</f>
        <v>85.460999999999999</v>
      </c>
      <c r="U202" s="60">
        <f ca="1">100+HLOOKUP(U$4,$D$7:$P$336,$R202,FALSE)-HLOOKUP(U$3,$D$7:$P$336,$R202,FALSE)</f>
        <v>102.321</v>
      </c>
      <c r="V202" s="60">
        <f ca="1">100+HLOOKUP(V$4,$D$7:$P$336,$R202,FALSE)-HLOOKUP(V$3,$D$7:$P$336,$R202,FALSE)</f>
        <v>85.460999999999999</v>
      </c>
      <c r="W202" s="60">
        <f ca="1">100+HLOOKUP(W$4,$D$7:$P$336,$R202,FALSE)-HLOOKUP(W$3,$D$7:$P$336,$R202,FALSE)</f>
        <v>85.460999999999999</v>
      </c>
      <c r="X202" s="60">
        <f ca="1">100+HLOOKUP(X$4,$D$7:$P$336,$R202,FALSE)-HLOOKUP(X$3,$D$7:$P$336,$R202,FALSE)</f>
        <v>85.461000000000013</v>
      </c>
      <c r="Y202" s="60">
        <f ca="1">100+HLOOKUP(Y$4,$D$7:$P$336,$R202,FALSE)-HLOOKUP(Y$3,$D$7:$P$336,$R202,FALSE)</f>
        <v>85.460999999999999</v>
      </c>
      <c r="Z202" s="60">
        <f ca="1">100+HLOOKUP(Z$4,$D$7:$P$336,$R202,FALSE)-HLOOKUP(Z$3,$D$7:$P$336,$R202,FALSE)</f>
        <v>102.321</v>
      </c>
      <c r="AA202" s="60">
        <f ca="1">100+HLOOKUP(AA$4,$D$7:$P$336,$R202,FALSE)-HLOOKUP(AA$3,$D$7:$P$336,$R202,FALSE)</f>
        <v>85.460999999999999</v>
      </c>
      <c r="AB202" s="60">
        <f ca="1">100+HLOOKUP(AB$4,$D$7:$P$336,$R202,FALSE)-HLOOKUP(AB$3,$D$7:$P$336,$R202,FALSE)</f>
        <v>85.460999999999999</v>
      </c>
      <c r="AC202" s="60">
        <f ca="1">100+HLOOKUP(AC$4,$D$7:$P$336,$R202,FALSE)-HLOOKUP(AC$3,$D$7:$P$336,$R202,FALSE)</f>
        <v>110.38499999999999</v>
      </c>
      <c r="AD202" s="60">
        <f ca="1">100+HLOOKUP(AD$4,$D$7:$P$336,$R202,FALSE)-HLOOKUP(AD$3,$D$7:$P$336,$R202,FALSE)</f>
        <v>110.38499999999999</v>
      </c>
      <c r="AE202" s="60">
        <f ca="1">100+HLOOKUP(AE$4,$D$7:$P$336,$R202,FALSE)-HLOOKUP(AE$3,$D$7:$P$336,$R202,FALSE)</f>
        <v>110.38500000000001</v>
      </c>
      <c r="AF202" s="60">
        <f ca="1">100+HLOOKUP(AF$4,$D$7:$P$336,$R202,FALSE)-HLOOKUP(AF$3,$D$7:$P$336,$R202,FALSE)</f>
        <v>93.525000000000006</v>
      </c>
      <c r="AG202" s="60">
        <f ca="1">100+HLOOKUP(AG$4,$D$7:$P$336,$R202,FALSE)-HLOOKUP(AG$3,$D$7:$P$336,$R202,FALSE)</f>
        <v>85.460999999999999</v>
      </c>
      <c r="AH202" s="60" t="e">
        <f>100+HLOOKUP(AH$4,$D$7:$P$336,$R202,FALSE)-HLOOKUP(AH$3,$D$7:$P$336,$R202,FALSE)</f>
        <v>#N/A</v>
      </c>
      <c r="AI202" s="60" t="e">
        <f>100+HLOOKUP(AI$4,$D$7:$P$336,$R202,FALSE)-HLOOKUP(AI$3,$D$7:$P$336,$R202,FALSE)</f>
        <v>#N/A</v>
      </c>
      <c r="AJ202" s="60" t="e">
        <f>100+HLOOKUP(AJ$4,$D$7:$P$336,$R202,FALSE)-HLOOKUP(AJ$3,$D$7:$P$336,$R202,FALSE)</f>
        <v>#N/A</v>
      </c>
      <c r="AK202" s="60" t="e">
        <f>100+HLOOKUP(AK$4,$D$7:$P$336,$R202,FALSE)-HLOOKUP(AK$3,$D$7:$P$336,$R202,FALSE)</f>
        <v>#N/A</v>
      </c>
      <c r="AL202" s="60" t="e">
        <f>100+HLOOKUP(AL$4,$D$7:$P$336,$R202,FALSE)-HLOOKUP(AL$3,$D$7:$P$336,$R202,FALSE)</f>
        <v>#N/A</v>
      </c>
      <c r="AM202" s="60" t="e">
        <f>100+HLOOKUP(AM$4,$D$7:$P$336,$R202,FALSE)-HLOOKUP(AM$3,$D$7:$P$336,$R202,FALSE)</f>
        <v>#N/A</v>
      </c>
      <c r="AN202" s="60" t="e">
        <f>100+HLOOKUP(AN$4,$D$7:$P$336,$R202,FALSE)-HLOOKUP(AN$3,$D$7:$P$336,$R202,FALSE)</f>
        <v>#N/A</v>
      </c>
      <c r="AO202" s="60" t="e">
        <f>100+HLOOKUP(AO$4,$D$7:$P$336,$R202,FALSE)-HLOOKUP(AO$3,$D$7:$P$336,$R202,FALSE)</f>
        <v>#N/A</v>
      </c>
      <c r="AP202" s="60" t="e">
        <f>100+HLOOKUP(AP$4,$D$7:$P$336,$R202,FALSE)-HLOOKUP(AP$3,$D$7:$P$336,$R202,FALSE)</f>
        <v>#N/A</v>
      </c>
      <c r="AQ202" s="60" t="e">
        <f>100+HLOOKUP(AQ$4,$D$7:$P$336,$R202,FALSE)-HLOOKUP(AQ$3,$D$7:$P$336,$R202,FALSE)</f>
        <v>#N/A</v>
      </c>
      <c r="AV202" s="60">
        <f ca="1">AV$5-S202</f>
        <v>17.729399426796419</v>
      </c>
      <c r="AW202" s="60">
        <f ca="1">AW$5-T202</f>
        <v>8.7596505297577494</v>
      </c>
      <c r="AX202" s="60">
        <f ca="1">AX$5-U202</f>
        <v>-0.54508459633194661</v>
      </c>
      <c r="AY202" s="60">
        <f ca="1">AY$5-V202</f>
        <v>8.1420144015278026</v>
      </c>
      <c r="AZ202" s="60">
        <f ca="1">AZ$5-W202</f>
        <v>11.993482172596032</v>
      </c>
      <c r="BA202" s="60">
        <f ca="1">BA$5-X202</f>
        <v>13.004059058982691</v>
      </c>
      <c r="BB202" s="60">
        <f ca="1">BB$5-Y202</f>
        <v>7.8895927273811282</v>
      </c>
      <c r="BC202" s="60">
        <f ca="1">BC$5-Z202</f>
        <v>5.1164659098821659</v>
      </c>
      <c r="BD202" s="60">
        <f ca="1">BD$5-AA202</f>
        <v>12.475518664382363</v>
      </c>
      <c r="BE202" s="60">
        <f ca="1">BE$5-AB202</f>
        <v>6.3683905919921955</v>
      </c>
      <c r="BF202" s="60">
        <f ca="1">BF$5-AC202</f>
        <v>-9.3676956835229106</v>
      </c>
      <c r="BG202" s="60">
        <f ca="1">BG$5-AD202</f>
        <v>-6.3997412949814816</v>
      </c>
      <c r="BH202" s="60">
        <f ca="1">BH$5-AE202</f>
        <v>-11.430407769632438</v>
      </c>
      <c r="BI202" s="60">
        <f ca="1">BI$5-AF202</f>
        <v>-2.9164944887452009</v>
      </c>
      <c r="BJ202" s="60">
        <f ca="1">BJ$5-AG202</f>
        <v>5.9785510576787715</v>
      </c>
      <c r="BK202" s="60" t="e">
        <f>BK$5-AH202</f>
        <v>#N/A</v>
      </c>
      <c r="BL202" s="60" t="e">
        <f>BL$5-AI202</f>
        <v>#N/A</v>
      </c>
      <c r="BM202" s="60" t="e">
        <f>BM$5-AJ202</f>
        <v>#N/A</v>
      </c>
      <c r="BN202" s="60" t="e">
        <f>BN$5-AK202</f>
        <v>#N/A</v>
      </c>
      <c r="BO202" s="60" t="e">
        <f>BO$5-AL202</f>
        <v>#N/A</v>
      </c>
      <c r="BP202" s="60" t="e">
        <f>BP$5-AM202</f>
        <v>#N/A</v>
      </c>
      <c r="BQ202" s="60" t="e">
        <f>BQ$5-AN202</f>
        <v>#N/A</v>
      </c>
      <c r="BR202" s="60" t="e">
        <f>BR$5-AO202</f>
        <v>#N/A</v>
      </c>
      <c r="BS202" s="60" t="e">
        <f>BS$5-AP202</f>
        <v>#N/A</v>
      </c>
      <c r="BT202" s="60" t="e">
        <f>BT$5-AQ202</f>
        <v>#N/A</v>
      </c>
      <c r="BV202" s="60" cm="1">
        <f t="array" aca="1" ref="BV202" ca="1">SQRT(SUMSQ(_xlfn._xlws.FILTER(AV202:BT202,ISNUMBER(AV202:BT202)))/COUNT(_xlfn._xlws.FILTER(AV202:BT202,ISNUMBER(AV202:BT202))))</f>
        <v>9.5178228287305924</v>
      </c>
    </row>
    <row r="203" spans="3:74" x14ac:dyDescent="0.2">
      <c r="C203" s="60" t="s">
        <v>321</v>
      </c>
      <c r="D203" s="60">
        <v>0</v>
      </c>
      <c r="E203" s="60">
        <v>2</v>
      </c>
      <c r="F203" s="60">
        <v>4</v>
      </c>
      <c r="G203" s="60">
        <v>-16</v>
      </c>
      <c r="H203" s="60">
        <v>-14</v>
      </c>
      <c r="I203" s="60">
        <v>-12</v>
      </c>
      <c r="J203" s="60">
        <v>-3</v>
      </c>
      <c r="K203" s="60">
        <v>-1</v>
      </c>
      <c r="L203" s="60">
        <v>-9</v>
      </c>
      <c r="M203" s="60">
        <v>-7</v>
      </c>
      <c r="N203" s="60">
        <v>-17</v>
      </c>
      <c r="O203" s="60">
        <v>-2</v>
      </c>
      <c r="P203" s="60">
        <v>0</v>
      </c>
      <c r="R203" s="61">
        <f>(ROW(R203)-ROW($C$6))</f>
        <v>197</v>
      </c>
      <c r="S203" s="60">
        <f ca="1">100+HLOOKUP(S$4,$D$7:$P$336,$R203,FALSE)-HLOOKUP(S$3,$D$7:$P$336,$R203,FALSE)</f>
        <v>93</v>
      </c>
      <c r="T203" s="60">
        <f ca="1">100+HLOOKUP(T$4,$D$7:$P$336,$R203,FALSE)-HLOOKUP(T$3,$D$7:$P$336,$R203,FALSE)</f>
        <v>99</v>
      </c>
      <c r="U203" s="60">
        <f ca="1">100+HLOOKUP(U$4,$D$7:$P$336,$R203,FALSE)-HLOOKUP(U$3,$D$7:$P$336,$R203,FALSE)</f>
        <v>89</v>
      </c>
      <c r="V203" s="60">
        <f ca="1">100+HLOOKUP(V$4,$D$7:$P$336,$R203,FALSE)-HLOOKUP(V$3,$D$7:$P$336,$R203,FALSE)</f>
        <v>105</v>
      </c>
      <c r="W203" s="60">
        <f ca="1">100+HLOOKUP(W$4,$D$7:$P$336,$R203,FALSE)-HLOOKUP(W$3,$D$7:$P$336,$R203,FALSE)</f>
        <v>99</v>
      </c>
      <c r="X203" s="60">
        <f ca="1">100+HLOOKUP(X$4,$D$7:$P$336,$R203,FALSE)-HLOOKUP(X$3,$D$7:$P$336,$R203,FALSE)</f>
        <v>93</v>
      </c>
      <c r="Y203" s="60">
        <f ca="1">100+HLOOKUP(Y$4,$D$7:$P$336,$R203,FALSE)-HLOOKUP(Y$3,$D$7:$P$336,$R203,FALSE)</f>
        <v>99</v>
      </c>
      <c r="Z203" s="60">
        <f ca="1">100+HLOOKUP(Z$4,$D$7:$P$336,$R203,FALSE)-HLOOKUP(Z$3,$D$7:$P$336,$R203,FALSE)</f>
        <v>89</v>
      </c>
      <c r="AA203" s="60">
        <f ca="1">100+HLOOKUP(AA$4,$D$7:$P$336,$R203,FALSE)-HLOOKUP(AA$3,$D$7:$P$336,$R203,FALSE)</f>
        <v>105</v>
      </c>
      <c r="AB203" s="60">
        <f ca="1">100+HLOOKUP(AB$4,$D$7:$P$336,$R203,FALSE)-HLOOKUP(AB$3,$D$7:$P$336,$R203,FALSE)</f>
        <v>99</v>
      </c>
      <c r="AC203" s="60">
        <f ca="1">100+HLOOKUP(AC$4,$D$7:$P$336,$R203,FALSE)-HLOOKUP(AC$3,$D$7:$P$336,$R203,FALSE)</f>
        <v>89</v>
      </c>
      <c r="AD203" s="60">
        <f ca="1">100+HLOOKUP(AD$4,$D$7:$P$336,$R203,FALSE)-HLOOKUP(AD$3,$D$7:$P$336,$R203,FALSE)</f>
        <v>112</v>
      </c>
      <c r="AE203" s="60">
        <f ca="1">100+HLOOKUP(AE$4,$D$7:$P$336,$R203,FALSE)-HLOOKUP(AE$3,$D$7:$P$336,$R203,FALSE)</f>
        <v>105</v>
      </c>
      <c r="AF203" s="60">
        <f ca="1">100+HLOOKUP(AF$4,$D$7:$P$336,$R203,FALSE)-HLOOKUP(AF$3,$D$7:$P$336,$R203,FALSE)</f>
        <v>93</v>
      </c>
      <c r="AG203" s="60">
        <f ca="1">100+HLOOKUP(AG$4,$D$7:$P$336,$R203,FALSE)-HLOOKUP(AG$3,$D$7:$P$336,$R203,FALSE)</f>
        <v>105</v>
      </c>
      <c r="AH203" s="60" t="e">
        <f>100+HLOOKUP(AH$4,$D$7:$P$336,$R203,FALSE)-HLOOKUP(AH$3,$D$7:$P$336,$R203,FALSE)</f>
        <v>#N/A</v>
      </c>
      <c r="AI203" s="60" t="e">
        <f>100+HLOOKUP(AI$4,$D$7:$P$336,$R203,FALSE)-HLOOKUP(AI$3,$D$7:$P$336,$R203,FALSE)</f>
        <v>#N/A</v>
      </c>
      <c r="AJ203" s="60" t="e">
        <f>100+HLOOKUP(AJ$4,$D$7:$P$336,$R203,FALSE)-HLOOKUP(AJ$3,$D$7:$P$336,$R203,FALSE)</f>
        <v>#N/A</v>
      </c>
      <c r="AK203" s="60" t="e">
        <f>100+HLOOKUP(AK$4,$D$7:$P$336,$R203,FALSE)-HLOOKUP(AK$3,$D$7:$P$336,$R203,FALSE)</f>
        <v>#N/A</v>
      </c>
      <c r="AL203" s="60" t="e">
        <f>100+HLOOKUP(AL$4,$D$7:$P$336,$R203,FALSE)-HLOOKUP(AL$3,$D$7:$P$336,$R203,FALSE)</f>
        <v>#N/A</v>
      </c>
      <c r="AM203" s="60" t="e">
        <f>100+HLOOKUP(AM$4,$D$7:$P$336,$R203,FALSE)-HLOOKUP(AM$3,$D$7:$P$336,$R203,FALSE)</f>
        <v>#N/A</v>
      </c>
      <c r="AN203" s="60" t="e">
        <f>100+HLOOKUP(AN$4,$D$7:$P$336,$R203,FALSE)-HLOOKUP(AN$3,$D$7:$P$336,$R203,FALSE)</f>
        <v>#N/A</v>
      </c>
      <c r="AO203" s="60" t="e">
        <f>100+HLOOKUP(AO$4,$D$7:$P$336,$R203,FALSE)-HLOOKUP(AO$3,$D$7:$P$336,$R203,FALSE)</f>
        <v>#N/A</v>
      </c>
      <c r="AP203" s="60" t="e">
        <f>100+HLOOKUP(AP$4,$D$7:$P$336,$R203,FALSE)-HLOOKUP(AP$3,$D$7:$P$336,$R203,FALSE)</f>
        <v>#N/A</v>
      </c>
      <c r="AQ203" s="60" t="e">
        <f>100+HLOOKUP(AQ$4,$D$7:$P$336,$R203,FALSE)-HLOOKUP(AQ$3,$D$7:$P$336,$R203,FALSE)</f>
        <v>#N/A</v>
      </c>
      <c r="AV203" s="60">
        <f ca="1">AV$5-S203</f>
        <v>10.190399426796432</v>
      </c>
      <c r="AW203" s="60">
        <f ca="1">AW$5-T203</f>
        <v>-4.7793494702422521</v>
      </c>
      <c r="AX203" s="60">
        <f ca="1">AX$5-U203</f>
        <v>12.775915403668051</v>
      </c>
      <c r="AY203" s="60">
        <f ca="1">AY$5-V203</f>
        <v>-11.396985598472199</v>
      </c>
      <c r="AZ203" s="60">
        <f ca="1">AZ$5-W203</f>
        <v>-1.5455178274039696</v>
      </c>
      <c r="BA203" s="60">
        <f ca="1">BA$5-X203</f>
        <v>5.4650590589827033</v>
      </c>
      <c r="BB203" s="60">
        <f ca="1">BB$5-Y203</f>
        <v>-5.6494072726188733</v>
      </c>
      <c r="BC203" s="60">
        <f ca="1">BC$5-Z203</f>
        <v>18.437465909882164</v>
      </c>
      <c r="BD203" s="60">
        <f ca="1">BD$5-AA203</f>
        <v>-7.063481335617638</v>
      </c>
      <c r="BE203" s="60">
        <f ca="1">BE$5-AB203</f>
        <v>-7.170609408007806</v>
      </c>
      <c r="BF203" s="60">
        <f ca="1">BF$5-AC203</f>
        <v>12.01730431647708</v>
      </c>
      <c r="BG203" s="60">
        <f ca="1">BG$5-AD203</f>
        <v>-8.0147412949814907</v>
      </c>
      <c r="BH203" s="60">
        <f ca="1">BH$5-AE203</f>
        <v>-6.0454077696324333</v>
      </c>
      <c r="BI203" s="60">
        <f ca="1">BI$5-AF203</f>
        <v>-2.3914944887451952</v>
      </c>
      <c r="BJ203" s="60">
        <f ca="1">BJ$5-AG203</f>
        <v>-13.56044894232123</v>
      </c>
      <c r="BK203" s="60" t="e">
        <f>BK$5-AH203</f>
        <v>#N/A</v>
      </c>
      <c r="BL203" s="60" t="e">
        <f>BL$5-AI203</f>
        <v>#N/A</v>
      </c>
      <c r="BM203" s="60" t="e">
        <f>BM$5-AJ203</f>
        <v>#N/A</v>
      </c>
      <c r="BN203" s="60" t="e">
        <f>BN$5-AK203</f>
        <v>#N/A</v>
      </c>
      <c r="BO203" s="60" t="e">
        <f>BO$5-AL203</f>
        <v>#N/A</v>
      </c>
      <c r="BP203" s="60" t="e">
        <f>BP$5-AM203</f>
        <v>#N/A</v>
      </c>
      <c r="BQ203" s="60" t="e">
        <f>BQ$5-AN203</f>
        <v>#N/A</v>
      </c>
      <c r="BR203" s="60" t="e">
        <f>BR$5-AO203</f>
        <v>#N/A</v>
      </c>
      <c r="BS203" s="60" t="e">
        <f>BS$5-AP203</f>
        <v>#N/A</v>
      </c>
      <c r="BT203" s="60" t="e">
        <f>BT$5-AQ203</f>
        <v>#N/A</v>
      </c>
      <c r="BV203" s="60" cm="1">
        <f t="array" aca="1" ref="BV203" ca="1">SQRT(SUMSQ(_xlfn._xlws.FILTER(AV203:BT203,ISNUMBER(AV203:BT203)))/COUNT(_xlfn._xlws.FILTER(AV203:BT203,ISNUMBER(AV203:BT203))))</f>
        <v>9.5219998949172524</v>
      </c>
    </row>
    <row r="204" spans="3:74" x14ac:dyDescent="0.2">
      <c r="C204" s="60" t="s">
        <v>248</v>
      </c>
      <c r="D204" s="60">
        <v>0</v>
      </c>
      <c r="E204" s="60">
        <v>1.9550000000000001</v>
      </c>
      <c r="F204" s="60">
        <v>3.91</v>
      </c>
      <c r="G204" s="60">
        <v>-5.8650000000000002</v>
      </c>
      <c r="H204" s="60">
        <v>-15.64</v>
      </c>
      <c r="I204" s="60">
        <v>-13.685</v>
      </c>
      <c r="J204" s="60">
        <v>-11.73</v>
      </c>
      <c r="K204" s="60">
        <v>-9.7750000000000004</v>
      </c>
      <c r="L204" s="60">
        <v>-7.82</v>
      </c>
      <c r="M204" s="60">
        <v>-5.8650000000000002</v>
      </c>
      <c r="N204" s="60">
        <v>-3.91</v>
      </c>
      <c r="O204" s="60">
        <v>-1.9550000000000001</v>
      </c>
      <c r="P204" s="60">
        <v>0</v>
      </c>
      <c r="R204" s="61">
        <f>(ROW(R204)-ROW($C$6))</f>
        <v>198</v>
      </c>
      <c r="S204" s="60">
        <f ca="1">100+HLOOKUP(S$4,$D$7:$P$336,$R204,FALSE)-HLOOKUP(S$3,$D$7:$P$336,$R204,FALSE)</f>
        <v>90.224999999999994</v>
      </c>
      <c r="T204" s="60">
        <f ca="1">100+HLOOKUP(T$4,$D$7:$P$336,$R204,FALSE)-HLOOKUP(T$3,$D$7:$P$336,$R204,FALSE)</f>
        <v>90.224999999999994</v>
      </c>
      <c r="U204" s="60">
        <f ca="1">100+HLOOKUP(U$4,$D$7:$P$336,$R204,FALSE)-HLOOKUP(U$3,$D$7:$P$336,$R204,FALSE)</f>
        <v>90.225000000000009</v>
      </c>
      <c r="V204" s="60">
        <f ca="1">100+HLOOKUP(V$4,$D$7:$P$336,$R204,FALSE)-HLOOKUP(V$3,$D$7:$P$336,$R204,FALSE)</f>
        <v>90.224999999999994</v>
      </c>
      <c r="W204" s="60">
        <f ca="1">100+HLOOKUP(W$4,$D$7:$P$336,$R204,FALSE)-HLOOKUP(W$3,$D$7:$P$336,$R204,FALSE)</f>
        <v>90.224999999999994</v>
      </c>
      <c r="X204" s="60">
        <f ca="1">100+HLOOKUP(X$4,$D$7:$P$336,$R204,FALSE)-HLOOKUP(X$3,$D$7:$P$336,$R204,FALSE)</f>
        <v>90.224999999999994</v>
      </c>
      <c r="Y204" s="60">
        <f ca="1">100+HLOOKUP(Y$4,$D$7:$P$336,$R204,FALSE)-HLOOKUP(Y$3,$D$7:$P$336,$R204,FALSE)</f>
        <v>90.224999999999994</v>
      </c>
      <c r="Z204" s="60">
        <f ca="1">100+HLOOKUP(Z$4,$D$7:$P$336,$R204,FALSE)-HLOOKUP(Z$3,$D$7:$P$336,$R204,FALSE)</f>
        <v>90.225000000000009</v>
      </c>
      <c r="AA204" s="60">
        <f ca="1">100+HLOOKUP(AA$4,$D$7:$P$336,$R204,FALSE)-HLOOKUP(AA$3,$D$7:$P$336,$R204,FALSE)</f>
        <v>90.224999999999994</v>
      </c>
      <c r="AB204" s="60">
        <f ca="1">100+HLOOKUP(AB$4,$D$7:$P$336,$R204,FALSE)-HLOOKUP(AB$3,$D$7:$P$336,$R204,FALSE)</f>
        <v>90.224999999999994</v>
      </c>
      <c r="AC204" s="60">
        <f ca="1">100+HLOOKUP(AC$4,$D$7:$P$336,$R204,FALSE)-HLOOKUP(AC$3,$D$7:$P$336,$R204,FALSE)</f>
        <v>90.225000000000009</v>
      </c>
      <c r="AD204" s="60">
        <f ca="1">100+HLOOKUP(AD$4,$D$7:$P$336,$R204,FALSE)-HLOOKUP(AD$3,$D$7:$P$336,$R204,FALSE)</f>
        <v>113.685</v>
      </c>
      <c r="AE204" s="60">
        <f ca="1">100+HLOOKUP(AE$4,$D$7:$P$336,$R204,FALSE)-HLOOKUP(AE$3,$D$7:$P$336,$R204,FALSE)</f>
        <v>113.685</v>
      </c>
      <c r="AF204" s="60">
        <f ca="1">100+HLOOKUP(AF$4,$D$7:$P$336,$R204,FALSE)-HLOOKUP(AF$3,$D$7:$P$336,$R204,FALSE)</f>
        <v>101.95500000000001</v>
      </c>
      <c r="AG204" s="60">
        <f ca="1">100+HLOOKUP(AG$4,$D$7:$P$336,$R204,FALSE)-HLOOKUP(AG$3,$D$7:$P$336,$R204,FALSE)</f>
        <v>90.224999999999994</v>
      </c>
      <c r="AH204" s="60" t="e">
        <f>100+HLOOKUP(AH$4,$D$7:$P$336,$R204,FALSE)-HLOOKUP(AH$3,$D$7:$P$336,$R204,FALSE)</f>
        <v>#N/A</v>
      </c>
      <c r="AI204" s="60" t="e">
        <f>100+HLOOKUP(AI$4,$D$7:$P$336,$R204,FALSE)-HLOOKUP(AI$3,$D$7:$P$336,$R204,FALSE)</f>
        <v>#N/A</v>
      </c>
      <c r="AJ204" s="60" t="e">
        <f>100+HLOOKUP(AJ$4,$D$7:$P$336,$R204,FALSE)-HLOOKUP(AJ$3,$D$7:$P$336,$R204,FALSE)</f>
        <v>#N/A</v>
      </c>
      <c r="AK204" s="60" t="e">
        <f>100+HLOOKUP(AK$4,$D$7:$P$336,$R204,FALSE)-HLOOKUP(AK$3,$D$7:$P$336,$R204,FALSE)</f>
        <v>#N/A</v>
      </c>
      <c r="AL204" s="60" t="e">
        <f>100+HLOOKUP(AL$4,$D$7:$P$336,$R204,FALSE)-HLOOKUP(AL$3,$D$7:$P$336,$R204,FALSE)</f>
        <v>#N/A</v>
      </c>
      <c r="AM204" s="60" t="e">
        <f>100+HLOOKUP(AM$4,$D$7:$P$336,$R204,FALSE)-HLOOKUP(AM$3,$D$7:$P$336,$R204,FALSE)</f>
        <v>#N/A</v>
      </c>
      <c r="AN204" s="60" t="e">
        <f>100+HLOOKUP(AN$4,$D$7:$P$336,$R204,FALSE)-HLOOKUP(AN$3,$D$7:$P$336,$R204,FALSE)</f>
        <v>#N/A</v>
      </c>
      <c r="AO204" s="60" t="e">
        <f>100+HLOOKUP(AO$4,$D$7:$P$336,$R204,FALSE)-HLOOKUP(AO$3,$D$7:$P$336,$R204,FALSE)</f>
        <v>#N/A</v>
      </c>
      <c r="AP204" s="60" t="e">
        <f>100+HLOOKUP(AP$4,$D$7:$P$336,$R204,FALSE)-HLOOKUP(AP$3,$D$7:$P$336,$R204,FALSE)</f>
        <v>#N/A</v>
      </c>
      <c r="AQ204" s="60" t="e">
        <f>100+HLOOKUP(AQ$4,$D$7:$P$336,$R204,FALSE)-HLOOKUP(AQ$3,$D$7:$P$336,$R204,FALSE)</f>
        <v>#N/A</v>
      </c>
      <c r="AV204" s="60">
        <f ca="1">AV$5-S204</f>
        <v>12.965399426796438</v>
      </c>
      <c r="AW204" s="60">
        <f ca="1">AW$5-T204</f>
        <v>3.9956505297577536</v>
      </c>
      <c r="AX204" s="60">
        <f ca="1">AX$5-U204</f>
        <v>11.550915403668043</v>
      </c>
      <c r="AY204" s="60">
        <f ca="1">AY$5-V204</f>
        <v>3.3780144015278069</v>
      </c>
      <c r="AZ204" s="60">
        <f ca="1">AZ$5-W204</f>
        <v>7.2294821725960361</v>
      </c>
      <c r="BA204" s="60">
        <f ca="1">BA$5-X204</f>
        <v>8.240059058982709</v>
      </c>
      <c r="BB204" s="60">
        <f ca="1">BB$5-Y204</f>
        <v>3.1255927273811324</v>
      </c>
      <c r="BC204" s="60">
        <f ca="1">BC$5-Z204</f>
        <v>17.212465909882155</v>
      </c>
      <c r="BD204" s="60">
        <f ca="1">BD$5-AA204</f>
        <v>7.7115186643823677</v>
      </c>
      <c r="BE204" s="60">
        <f ca="1">BE$5-AB204</f>
        <v>1.6043905919921997</v>
      </c>
      <c r="BF204" s="60">
        <f ca="1">BF$5-AC204</f>
        <v>10.792304316477072</v>
      </c>
      <c r="BG204" s="60">
        <f ca="1">BG$5-AD204</f>
        <v>-9.699741294981493</v>
      </c>
      <c r="BH204" s="60">
        <f ca="1">BH$5-AE204</f>
        <v>-14.730407769632436</v>
      </c>
      <c r="BI204" s="60">
        <f ca="1">BI$5-AF204</f>
        <v>-11.346494488745208</v>
      </c>
      <c r="BJ204" s="60">
        <f ca="1">BJ$5-AG204</f>
        <v>1.2145510576787757</v>
      </c>
      <c r="BK204" s="60" t="e">
        <f>BK$5-AH204</f>
        <v>#N/A</v>
      </c>
      <c r="BL204" s="60" t="e">
        <f>BL$5-AI204</f>
        <v>#N/A</v>
      </c>
      <c r="BM204" s="60" t="e">
        <f>BM$5-AJ204</f>
        <v>#N/A</v>
      </c>
      <c r="BN204" s="60" t="e">
        <f>BN$5-AK204</f>
        <v>#N/A</v>
      </c>
      <c r="BO204" s="60" t="e">
        <f>BO$5-AL204</f>
        <v>#N/A</v>
      </c>
      <c r="BP204" s="60" t="e">
        <f>BP$5-AM204</f>
        <v>#N/A</v>
      </c>
      <c r="BQ204" s="60" t="e">
        <f>BQ$5-AN204</f>
        <v>#N/A</v>
      </c>
      <c r="BR204" s="60" t="e">
        <f>BR$5-AO204</f>
        <v>#N/A</v>
      </c>
      <c r="BS204" s="60" t="e">
        <f>BS$5-AP204</f>
        <v>#N/A</v>
      </c>
      <c r="BT204" s="60" t="e">
        <f>BT$5-AQ204</f>
        <v>#N/A</v>
      </c>
      <c r="BV204" s="60" cm="1">
        <f t="array" aca="1" ref="BV204" ca="1">SQRT(SUMSQ(_xlfn._xlws.FILTER(AV204:BT204,ISNUMBER(AV204:BT204)))/COUNT(_xlfn._xlws.FILTER(AV204:BT204,ISNUMBER(AV204:BT204))))</f>
        <v>9.5739477027816253</v>
      </c>
    </row>
    <row r="205" spans="3:74" x14ac:dyDescent="0.2">
      <c r="C205" s="60" t="s">
        <v>249</v>
      </c>
      <c r="D205" s="60">
        <v>0</v>
      </c>
      <c r="E205" s="60">
        <v>2</v>
      </c>
      <c r="F205" s="60">
        <v>4</v>
      </c>
      <c r="G205" s="60">
        <v>-8</v>
      </c>
      <c r="H205" s="60">
        <v>-16</v>
      </c>
      <c r="I205" s="60">
        <v>-14</v>
      </c>
      <c r="J205" s="60">
        <v>-12</v>
      </c>
      <c r="K205" s="60">
        <v>-10</v>
      </c>
      <c r="L205" s="60">
        <v>-8</v>
      </c>
      <c r="M205" s="60">
        <v>-6</v>
      </c>
      <c r="N205" s="60">
        <v>-4</v>
      </c>
      <c r="O205" s="60">
        <v>-2</v>
      </c>
      <c r="P205" s="60">
        <v>0</v>
      </c>
      <c r="R205" s="61">
        <f>(ROW(R205)-ROW($C$6))</f>
        <v>199</v>
      </c>
      <c r="S205" s="60">
        <f ca="1">100+HLOOKUP(S$4,$D$7:$P$336,$R205,FALSE)-HLOOKUP(S$3,$D$7:$P$336,$R205,FALSE)</f>
        <v>90</v>
      </c>
      <c r="T205" s="60">
        <f ca="1">100+HLOOKUP(T$4,$D$7:$P$336,$R205,FALSE)-HLOOKUP(T$3,$D$7:$P$336,$R205,FALSE)</f>
        <v>90</v>
      </c>
      <c r="U205" s="60">
        <f ca="1">100+HLOOKUP(U$4,$D$7:$P$336,$R205,FALSE)-HLOOKUP(U$3,$D$7:$P$336,$R205,FALSE)</f>
        <v>90</v>
      </c>
      <c r="V205" s="60">
        <f ca="1">100+HLOOKUP(V$4,$D$7:$P$336,$R205,FALSE)-HLOOKUP(V$3,$D$7:$P$336,$R205,FALSE)</f>
        <v>90</v>
      </c>
      <c r="W205" s="60">
        <f ca="1">100+HLOOKUP(W$4,$D$7:$P$336,$R205,FALSE)-HLOOKUP(W$3,$D$7:$P$336,$R205,FALSE)</f>
        <v>90</v>
      </c>
      <c r="X205" s="60">
        <f ca="1">100+HLOOKUP(X$4,$D$7:$P$336,$R205,FALSE)-HLOOKUP(X$3,$D$7:$P$336,$R205,FALSE)</f>
        <v>90</v>
      </c>
      <c r="Y205" s="60">
        <f ca="1">100+HLOOKUP(Y$4,$D$7:$P$336,$R205,FALSE)-HLOOKUP(Y$3,$D$7:$P$336,$R205,FALSE)</f>
        <v>90</v>
      </c>
      <c r="Z205" s="60">
        <f ca="1">100+HLOOKUP(Z$4,$D$7:$P$336,$R205,FALSE)-HLOOKUP(Z$3,$D$7:$P$336,$R205,FALSE)</f>
        <v>90</v>
      </c>
      <c r="AA205" s="60">
        <f ca="1">100+HLOOKUP(AA$4,$D$7:$P$336,$R205,FALSE)-HLOOKUP(AA$3,$D$7:$P$336,$R205,FALSE)</f>
        <v>90</v>
      </c>
      <c r="AB205" s="60">
        <f ca="1">100+HLOOKUP(AB$4,$D$7:$P$336,$R205,FALSE)-HLOOKUP(AB$3,$D$7:$P$336,$R205,FALSE)</f>
        <v>90</v>
      </c>
      <c r="AC205" s="60">
        <f ca="1">100+HLOOKUP(AC$4,$D$7:$P$336,$R205,FALSE)-HLOOKUP(AC$3,$D$7:$P$336,$R205,FALSE)</f>
        <v>90</v>
      </c>
      <c r="AD205" s="60">
        <f ca="1">100+HLOOKUP(AD$4,$D$7:$P$336,$R205,FALSE)-HLOOKUP(AD$3,$D$7:$P$336,$R205,FALSE)</f>
        <v>114</v>
      </c>
      <c r="AE205" s="60">
        <f ca="1">100+HLOOKUP(AE$4,$D$7:$P$336,$R205,FALSE)-HLOOKUP(AE$3,$D$7:$P$336,$R205,FALSE)</f>
        <v>114</v>
      </c>
      <c r="AF205" s="60">
        <f ca="1">100+HLOOKUP(AF$4,$D$7:$P$336,$R205,FALSE)-HLOOKUP(AF$3,$D$7:$P$336,$R205,FALSE)</f>
        <v>100</v>
      </c>
      <c r="AG205" s="60">
        <f ca="1">100+HLOOKUP(AG$4,$D$7:$P$336,$R205,FALSE)-HLOOKUP(AG$3,$D$7:$P$336,$R205,FALSE)</f>
        <v>90</v>
      </c>
      <c r="AH205" s="60" t="e">
        <f>100+HLOOKUP(AH$4,$D$7:$P$336,$R205,FALSE)-HLOOKUP(AH$3,$D$7:$P$336,$R205,FALSE)</f>
        <v>#N/A</v>
      </c>
      <c r="AI205" s="60" t="e">
        <f>100+HLOOKUP(AI$4,$D$7:$P$336,$R205,FALSE)-HLOOKUP(AI$3,$D$7:$P$336,$R205,FALSE)</f>
        <v>#N/A</v>
      </c>
      <c r="AJ205" s="60" t="e">
        <f>100+HLOOKUP(AJ$4,$D$7:$P$336,$R205,FALSE)-HLOOKUP(AJ$3,$D$7:$P$336,$R205,FALSE)</f>
        <v>#N/A</v>
      </c>
      <c r="AK205" s="60" t="e">
        <f>100+HLOOKUP(AK$4,$D$7:$P$336,$R205,FALSE)-HLOOKUP(AK$3,$D$7:$P$336,$R205,FALSE)</f>
        <v>#N/A</v>
      </c>
      <c r="AL205" s="60" t="e">
        <f>100+HLOOKUP(AL$4,$D$7:$P$336,$R205,FALSE)-HLOOKUP(AL$3,$D$7:$P$336,$R205,FALSE)</f>
        <v>#N/A</v>
      </c>
      <c r="AM205" s="60" t="e">
        <f>100+HLOOKUP(AM$4,$D$7:$P$336,$R205,FALSE)-HLOOKUP(AM$3,$D$7:$P$336,$R205,FALSE)</f>
        <v>#N/A</v>
      </c>
      <c r="AN205" s="60" t="e">
        <f>100+HLOOKUP(AN$4,$D$7:$P$336,$R205,FALSE)-HLOOKUP(AN$3,$D$7:$P$336,$R205,FALSE)</f>
        <v>#N/A</v>
      </c>
      <c r="AO205" s="60" t="e">
        <f>100+HLOOKUP(AO$4,$D$7:$P$336,$R205,FALSE)-HLOOKUP(AO$3,$D$7:$P$336,$R205,FALSE)</f>
        <v>#N/A</v>
      </c>
      <c r="AP205" s="60" t="e">
        <f>100+HLOOKUP(AP$4,$D$7:$P$336,$R205,FALSE)-HLOOKUP(AP$3,$D$7:$P$336,$R205,FALSE)</f>
        <v>#N/A</v>
      </c>
      <c r="AQ205" s="60" t="e">
        <f>100+HLOOKUP(AQ$4,$D$7:$P$336,$R205,FALSE)-HLOOKUP(AQ$3,$D$7:$P$336,$R205,FALSE)</f>
        <v>#N/A</v>
      </c>
      <c r="AV205" s="60">
        <f ca="1">AV$5-S205</f>
        <v>13.190399426796432</v>
      </c>
      <c r="AW205" s="60">
        <f ca="1">AW$5-T205</f>
        <v>4.2206505297577479</v>
      </c>
      <c r="AX205" s="60">
        <f ca="1">AX$5-U205</f>
        <v>11.775915403668051</v>
      </c>
      <c r="AY205" s="60">
        <f ca="1">AY$5-V205</f>
        <v>3.6030144015278012</v>
      </c>
      <c r="AZ205" s="60">
        <f ca="1">AZ$5-W205</f>
        <v>7.4544821725960304</v>
      </c>
      <c r="BA205" s="60">
        <f ca="1">BA$5-X205</f>
        <v>8.4650590589827033</v>
      </c>
      <c r="BB205" s="60">
        <f ca="1">BB$5-Y205</f>
        <v>3.3505927273811267</v>
      </c>
      <c r="BC205" s="60">
        <f ca="1">BC$5-Z205</f>
        <v>17.437465909882164</v>
      </c>
      <c r="BD205" s="60">
        <f ca="1">BD$5-AA205</f>
        <v>7.936518664382362</v>
      </c>
      <c r="BE205" s="60">
        <f ca="1">BE$5-AB205</f>
        <v>1.829390591992194</v>
      </c>
      <c r="BF205" s="60">
        <f ca="1">BF$5-AC205</f>
        <v>11.01730431647708</v>
      </c>
      <c r="BG205" s="60">
        <f ca="1">BG$5-AD205</f>
        <v>-10.014741294981491</v>
      </c>
      <c r="BH205" s="60">
        <f ca="1">BH$5-AE205</f>
        <v>-15.045407769632433</v>
      </c>
      <c r="BI205" s="60">
        <f ca="1">BI$5-AF205</f>
        <v>-9.3914944887451952</v>
      </c>
      <c r="BJ205" s="60">
        <f ca="1">BJ$5-AG205</f>
        <v>1.43955105767877</v>
      </c>
      <c r="BK205" s="60" t="e">
        <f>BK$5-AH205</f>
        <v>#N/A</v>
      </c>
      <c r="BL205" s="60" t="e">
        <f>BL$5-AI205</f>
        <v>#N/A</v>
      </c>
      <c r="BM205" s="60" t="e">
        <f>BM$5-AJ205</f>
        <v>#N/A</v>
      </c>
      <c r="BN205" s="60" t="e">
        <f>BN$5-AK205</f>
        <v>#N/A</v>
      </c>
      <c r="BO205" s="60" t="e">
        <f>BO$5-AL205</f>
        <v>#N/A</v>
      </c>
      <c r="BP205" s="60" t="e">
        <f>BP$5-AM205</f>
        <v>#N/A</v>
      </c>
      <c r="BQ205" s="60" t="e">
        <f>BQ$5-AN205</f>
        <v>#N/A</v>
      </c>
      <c r="BR205" s="60" t="e">
        <f>BR$5-AO205</f>
        <v>#N/A</v>
      </c>
      <c r="BS205" s="60" t="e">
        <f>BS$5-AP205</f>
        <v>#N/A</v>
      </c>
      <c r="BT205" s="60" t="e">
        <f>BT$5-AQ205</f>
        <v>#N/A</v>
      </c>
      <c r="BV205" s="60" cm="1">
        <f t="array" aca="1" ref="BV205" ca="1">SQRT(SUMSQ(_xlfn._xlws.FILTER(AV205:BT205,ISNUMBER(AV205:BT205)))/COUNT(_xlfn._xlws.FILTER(AV205:BT205,ISNUMBER(AV205:BT205))))</f>
        <v>9.628500920396629</v>
      </c>
    </row>
    <row r="206" spans="3:74" x14ac:dyDescent="0.2">
      <c r="C206" s="60" t="s">
        <v>247</v>
      </c>
      <c r="D206" s="60">
        <v>0</v>
      </c>
      <c r="E206" s="60">
        <v>2</v>
      </c>
      <c r="F206" s="60">
        <v>4</v>
      </c>
      <c r="G206" s="60">
        <v>-6</v>
      </c>
      <c r="H206" s="60">
        <v>-16</v>
      </c>
      <c r="I206" s="60">
        <v>-14</v>
      </c>
      <c r="J206" s="60">
        <v>-12</v>
      </c>
      <c r="K206" s="60">
        <v>-10</v>
      </c>
      <c r="L206" s="60">
        <v>-8</v>
      </c>
      <c r="M206" s="60">
        <v>-6</v>
      </c>
      <c r="N206" s="60">
        <v>-4</v>
      </c>
      <c r="O206" s="60">
        <v>-2</v>
      </c>
      <c r="P206" s="60">
        <v>0</v>
      </c>
      <c r="R206" s="61">
        <f>(ROW(R206)-ROW($C$6))</f>
        <v>200</v>
      </c>
      <c r="S206" s="60">
        <f ca="1">100+HLOOKUP(S$4,$D$7:$P$336,$R206,FALSE)-HLOOKUP(S$3,$D$7:$P$336,$R206,FALSE)</f>
        <v>90</v>
      </c>
      <c r="T206" s="60">
        <f ca="1">100+HLOOKUP(T$4,$D$7:$P$336,$R206,FALSE)-HLOOKUP(T$3,$D$7:$P$336,$R206,FALSE)</f>
        <v>90</v>
      </c>
      <c r="U206" s="60">
        <f ca="1">100+HLOOKUP(U$4,$D$7:$P$336,$R206,FALSE)-HLOOKUP(U$3,$D$7:$P$336,$R206,FALSE)</f>
        <v>90</v>
      </c>
      <c r="V206" s="60">
        <f ca="1">100+HLOOKUP(V$4,$D$7:$P$336,$R206,FALSE)-HLOOKUP(V$3,$D$7:$P$336,$R206,FALSE)</f>
        <v>90</v>
      </c>
      <c r="W206" s="60">
        <f ca="1">100+HLOOKUP(W$4,$D$7:$P$336,$R206,FALSE)-HLOOKUP(W$3,$D$7:$P$336,$R206,FALSE)</f>
        <v>90</v>
      </c>
      <c r="X206" s="60">
        <f ca="1">100+HLOOKUP(X$4,$D$7:$P$336,$R206,FALSE)-HLOOKUP(X$3,$D$7:$P$336,$R206,FALSE)</f>
        <v>90</v>
      </c>
      <c r="Y206" s="60">
        <f ca="1">100+HLOOKUP(Y$4,$D$7:$P$336,$R206,FALSE)-HLOOKUP(Y$3,$D$7:$P$336,$R206,FALSE)</f>
        <v>90</v>
      </c>
      <c r="Z206" s="60">
        <f ca="1">100+HLOOKUP(Z$4,$D$7:$P$336,$R206,FALSE)-HLOOKUP(Z$3,$D$7:$P$336,$R206,FALSE)</f>
        <v>90</v>
      </c>
      <c r="AA206" s="60">
        <f ca="1">100+HLOOKUP(AA$4,$D$7:$P$336,$R206,FALSE)-HLOOKUP(AA$3,$D$7:$P$336,$R206,FALSE)</f>
        <v>90</v>
      </c>
      <c r="AB206" s="60">
        <f ca="1">100+HLOOKUP(AB$4,$D$7:$P$336,$R206,FALSE)-HLOOKUP(AB$3,$D$7:$P$336,$R206,FALSE)</f>
        <v>90</v>
      </c>
      <c r="AC206" s="60">
        <f ca="1">100+HLOOKUP(AC$4,$D$7:$P$336,$R206,FALSE)-HLOOKUP(AC$3,$D$7:$P$336,$R206,FALSE)</f>
        <v>90</v>
      </c>
      <c r="AD206" s="60">
        <f ca="1">100+HLOOKUP(AD$4,$D$7:$P$336,$R206,FALSE)-HLOOKUP(AD$3,$D$7:$P$336,$R206,FALSE)</f>
        <v>114</v>
      </c>
      <c r="AE206" s="60">
        <f ca="1">100+HLOOKUP(AE$4,$D$7:$P$336,$R206,FALSE)-HLOOKUP(AE$3,$D$7:$P$336,$R206,FALSE)</f>
        <v>114</v>
      </c>
      <c r="AF206" s="60">
        <f ca="1">100+HLOOKUP(AF$4,$D$7:$P$336,$R206,FALSE)-HLOOKUP(AF$3,$D$7:$P$336,$R206,FALSE)</f>
        <v>102</v>
      </c>
      <c r="AG206" s="60">
        <f ca="1">100+HLOOKUP(AG$4,$D$7:$P$336,$R206,FALSE)-HLOOKUP(AG$3,$D$7:$P$336,$R206,FALSE)</f>
        <v>90</v>
      </c>
      <c r="AH206" s="60" t="e">
        <f>100+HLOOKUP(AH$4,$D$7:$P$336,$R206,FALSE)-HLOOKUP(AH$3,$D$7:$P$336,$R206,FALSE)</f>
        <v>#N/A</v>
      </c>
      <c r="AI206" s="60" t="e">
        <f>100+HLOOKUP(AI$4,$D$7:$P$336,$R206,FALSE)-HLOOKUP(AI$3,$D$7:$P$336,$R206,FALSE)</f>
        <v>#N/A</v>
      </c>
      <c r="AJ206" s="60" t="e">
        <f>100+HLOOKUP(AJ$4,$D$7:$P$336,$R206,FALSE)-HLOOKUP(AJ$3,$D$7:$P$336,$R206,FALSE)</f>
        <v>#N/A</v>
      </c>
      <c r="AK206" s="60" t="e">
        <f>100+HLOOKUP(AK$4,$D$7:$P$336,$R206,FALSE)-HLOOKUP(AK$3,$D$7:$P$336,$R206,FALSE)</f>
        <v>#N/A</v>
      </c>
      <c r="AL206" s="60" t="e">
        <f>100+HLOOKUP(AL$4,$D$7:$P$336,$R206,FALSE)-HLOOKUP(AL$3,$D$7:$P$336,$R206,FALSE)</f>
        <v>#N/A</v>
      </c>
      <c r="AM206" s="60" t="e">
        <f>100+HLOOKUP(AM$4,$D$7:$P$336,$R206,FALSE)-HLOOKUP(AM$3,$D$7:$P$336,$R206,FALSE)</f>
        <v>#N/A</v>
      </c>
      <c r="AN206" s="60" t="e">
        <f>100+HLOOKUP(AN$4,$D$7:$P$336,$R206,FALSE)-HLOOKUP(AN$3,$D$7:$P$336,$R206,FALSE)</f>
        <v>#N/A</v>
      </c>
      <c r="AO206" s="60" t="e">
        <f>100+HLOOKUP(AO$4,$D$7:$P$336,$R206,FALSE)-HLOOKUP(AO$3,$D$7:$P$336,$R206,FALSE)</f>
        <v>#N/A</v>
      </c>
      <c r="AP206" s="60" t="e">
        <f>100+HLOOKUP(AP$4,$D$7:$P$336,$R206,FALSE)-HLOOKUP(AP$3,$D$7:$P$336,$R206,FALSE)</f>
        <v>#N/A</v>
      </c>
      <c r="AQ206" s="60" t="e">
        <f>100+HLOOKUP(AQ$4,$D$7:$P$336,$R206,FALSE)-HLOOKUP(AQ$3,$D$7:$P$336,$R206,FALSE)</f>
        <v>#N/A</v>
      </c>
      <c r="AV206" s="60">
        <f ca="1">AV$5-S206</f>
        <v>13.190399426796432</v>
      </c>
      <c r="AW206" s="60">
        <f ca="1">AW$5-T206</f>
        <v>4.2206505297577479</v>
      </c>
      <c r="AX206" s="60">
        <f ca="1">AX$5-U206</f>
        <v>11.775915403668051</v>
      </c>
      <c r="AY206" s="60">
        <f ca="1">AY$5-V206</f>
        <v>3.6030144015278012</v>
      </c>
      <c r="AZ206" s="60">
        <f ca="1">AZ$5-W206</f>
        <v>7.4544821725960304</v>
      </c>
      <c r="BA206" s="60">
        <f ca="1">BA$5-X206</f>
        <v>8.4650590589827033</v>
      </c>
      <c r="BB206" s="60">
        <f ca="1">BB$5-Y206</f>
        <v>3.3505927273811267</v>
      </c>
      <c r="BC206" s="60">
        <f ca="1">BC$5-Z206</f>
        <v>17.437465909882164</v>
      </c>
      <c r="BD206" s="60">
        <f ca="1">BD$5-AA206</f>
        <v>7.936518664382362</v>
      </c>
      <c r="BE206" s="60">
        <f ca="1">BE$5-AB206</f>
        <v>1.829390591992194</v>
      </c>
      <c r="BF206" s="60">
        <f ca="1">BF$5-AC206</f>
        <v>11.01730431647708</v>
      </c>
      <c r="BG206" s="60">
        <f ca="1">BG$5-AD206</f>
        <v>-10.014741294981491</v>
      </c>
      <c r="BH206" s="60">
        <f ca="1">BH$5-AE206</f>
        <v>-15.045407769632433</v>
      </c>
      <c r="BI206" s="60">
        <f ca="1">BI$5-AF206</f>
        <v>-11.391494488745195</v>
      </c>
      <c r="BJ206" s="60">
        <f ca="1">BJ$5-AG206</f>
        <v>1.43955105767877</v>
      </c>
      <c r="BK206" s="60" t="e">
        <f>BK$5-AH206</f>
        <v>#N/A</v>
      </c>
      <c r="BL206" s="60" t="e">
        <f>BL$5-AI206</f>
        <v>#N/A</v>
      </c>
      <c r="BM206" s="60" t="e">
        <f>BM$5-AJ206</f>
        <v>#N/A</v>
      </c>
      <c r="BN206" s="60" t="e">
        <f>BN$5-AK206</f>
        <v>#N/A</v>
      </c>
      <c r="BO206" s="60" t="e">
        <f>BO$5-AL206</f>
        <v>#N/A</v>
      </c>
      <c r="BP206" s="60" t="e">
        <f>BP$5-AM206</f>
        <v>#N/A</v>
      </c>
      <c r="BQ206" s="60" t="e">
        <f>BQ$5-AN206</f>
        <v>#N/A</v>
      </c>
      <c r="BR206" s="60" t="e">
        <f>BR$5-AO206</f>
        <v>#N/A</v>
      </c>
      <c r="BS206" s="60" t="e">
        <f>BS$5-AP206</f>
        <v>#N/A</v>
      </c>
      <c r="BT206" s="60" t="e">
        <f>BT$5-AQ206</f>
        <v>#N/A</v>
      </c>
      <c r="BV206" s="60" cm="1">
        <f t="array" aca="1" ref="BV206" ca="1">SQRT(SUMSQ(_xlfn._xlws.FILTER(AV206:BT206,ISNUMBER(AV206:BT206)))/COUNT(_xlfn._xlws.FILTER(AV206:BT206,ISNUMBER(AV206:BT206))))</f>
        <v>9.7713405002117018</v>
      </c>
    </row>
    <row r="207" spans="3:74" x14ac:dyDescent="0.2">
      <c r="C207" s="60" t="s">
        <v>434</v>
      </c>
      <c r="D207" s="60">
        <v>0</v>
      </c>
      <c r="E207" s="60">
        <v>2</v>
      </c>
      <c r="F207" s="60">
        <v>4</v>
      </c>
      <c r="G207" s="60">
        <v>-6</v>
      </c>
      <c r="H207" s="60">
        <v>-16</v>
      </c>
      <c r="I207" s="60">
        <v>-14</v>
      </c>
      <c r="J207" s="60">
        <v>-12</v>
      </c>
      <c r="K207" s="60">
        <v>-10</v>
      </c>
      <c r="L207" s="60">
        <v>-8</v>
      </c>
      <c r="M207" s="60">
        <v>-6</v>
      </c>
      <c r="N207" s="60">
        <v>-4</v>
      </c>
      <c r="O207" s="60">
        <v>-2</v>
      </c>
      <c r="P207" s="60">
        <v>0</v>
      </c>
      <c r="R207" s="61">
        <f>(ROW(R207)-ROW($C$6))</f>
        <v>201</v>
      </c>
      <c r="S207" s="60">
        <f ca="1">100+HLOOKUP(S$4,$D$7:$P$336,$R207,FALSE)-HLOOKUP(S$3,$D$7:$P$336,$R207,FALSE)</f>
        <v>90</v>
      </c>
      <c r="T207" s="60">
        <f ca="1">100+HLOOKUP(T$4,$D$7:$P$336,$R207,FALSE)-HLOOKUP(T$3,$D$7:$P$336,$R207,FALSE)</f>
        <v>90</v>
      </c>
      <c r="U207" s="60">
        <f ca="1">100+HLOOKUP(U$4,$D$7:$P$336,$R207,FALSE)-HLOOKUP(U$3,$D$7:$P$336,$R207,FALSE)</f>
        <v>90</v>
      </c>
      <c r="V207" s="60">
        <f ca="1">100+HLOOKUP(V$4,$D$7:$P$336,$R207,FALSE)-HLOOKUP(V$3,$D$7:$P$336,$R207,FALSE)</f>
        <v>90</v>
      </c>
      <c r="W207" s="60">
        <f ca="1">100+HLOOKUP(W$4,$D$7:$P$336,$R207,FALSE)-HLOOKUP(W$3,$D$7:$P$336,$R207,FALSE)</f>
        <v>90</v>
      </c>
      <c r="X207" s="60">
        <f ca="1">100+HLOOKUP(X$4,$D$7:$P$336,$R207,FALSE)-HLOOKUP(X$3,$D$7:$P$336,$R207,FALSE)</f>
        <v>90</v>
      </c>
      <c r="Y207" s="60">
        <f ca="1">100+HLOOKUP(Y$4,$D$7:$P$336,$R207,FALSE)-HLOOKUP(Y$3,$D$7:$P$336,$R207,FALSE)</f>
        <v>90</v>
      </c>
      <c r="Z207" s="60">
        <f ca="1">100+HLOOKUP(Z$4,$D$7:$P$336,$R207,FALSE)-HLOOKUP(Z$3,$D$7:$P$336,$R207,FALSE)</f>
        <v>90</v>
      </c>
      <c r="AA207" s="60">
        <f ca="1">100+HLOOKUP(AA$4,$D$7:$P$336,$R207,FALSE)-HLOOKUP(AA$3,$D$7:$P$336,$R207,FALSE)</f>
        <v>90</v>
      </c>
      <c r="AB207" s="60">
        <f ca="1">100+HLOOKUP(AB$4,$D$7:$P$336,$R207,FALSE)-HLOOKUP(AB$3,$D$7:$P$336,$R207,FALSE)</f>
        <v>90</v>
      </c>
      <c r="AC207" s="60">
        <f ca="1">100+HLOOKUP(AC$4,$D$7:$P$336,$R207,FALSE)-HLOOKUP(AC$3,$D$7:$P$336,$R207,FALSE)</f>
        <v>90</v>
      </c>
      <c r="AD207" s="60">
        <f ca="1">100+HLOOKUP(AD$4,$D$7:$P$336,$R207,FALSE)-HLOOKUP(AD$3,$D$7:$P$336,$R207,FALSE)</f>
        <v>114</v>
      </c>
      <c r="AE207" s="60">
        <f ca="1">100+HLOOKUP(AE$4,$D$7:$P$336,$R207,FALSE)-HLOOKUP(AE$3,$D$7:$P$336,$R207,FALSE)</f>
        <v>114</v>
      </c>
      <c r="AF207" s="60">
        <f ca="1">100+HLOOKUP(AF$4,$D$7:$P$336,$R207,FALSE)-HLOOKUP(AF$3,$D$7:$P$336,$R207,FALSE)</f>
        <v>102</v>
      </c>
      <c r="AG207" s="60">
        <f ca="1">100+HLOOKUP(AG$4,$D$7:$P$336,$R207,FALSE)-HLOOKUP(AG$3,$D$7:$P$336,$R207,FALSE)</f>
        <v>90</v>
      </c>
      <c r="AH207" s="60" t="e">
        <f>100+HLOOKUP(AH$4,$D$7:$P$336,$R207,FALSE)-HLOOKUP(AH$3,$D$7:$P$336,$R207,FALSE)</f>
        <v>#N/A</v>
      </c>
      <c r="AI207" s="60" t="e">
        <f>100+HLOOKUP(AI$4,$D$7:$P$336,$R207,FALSE)-HLOOKUP(AI$3,$D$7:$P$336,$R207,FALSE)</f>
        <v>#N/A</v>
      </c>
      <c r="AJ207" s="60" t="e">
        <f>100+HLOOKUP(AJ$4,$D$7:$P$336,$R207,FALSE)-HLOOKUP(AJ$3,$D$7:$P$336,$R207,FALSE)</f>
        <v>#N/A</v>
      </c>
      <c r="AK207" s="60" t="e">
        <f>100+HLOOKUP(AK$4,$D$7:$P$336,$R207,FALSE)-HLOOKUP(AK$3,$D$7:$P$336,$R207,FALSE)</f>
        <v>#N/A</v>
      </c>
      <c r="AL207" s="60" t="e">
        <f>100+HLOOKUP(AL$4,$D$7:$P$336,$R207,FALSE)-HLOOKUP(AL$3,$D$7:$P$336,$R207,FALSE)</f>
        <v>#N/A</v>
      </c>
      <c r="AM207" s="60" t="e">
        <f>100+HLOOKUP(AM$4,$D$7:$P$336,$R207,FALSE)-HLOOKUP(AM$3,$D$7:$P$336,$R207,FALSE)</f>
        <v>#N/A</v>
      </c>
      <c r="AN207" s="60" t="e">
        <f>100+HLOOKUP(AN$4,$D$7:$P$336,$R207,FALSE)-HLOOKUP(AN$3,$D$7:$P$336,$R207,FALSE)</f>
        <v>#N/A</v>
      </c>
      <c r="AO207" s="60" t="e">
        <f>100+HLOOKUP(AO$4,$D$7:$P$336,$R207,FALSE)-HLOOKUP(AO$3,$D$7:$P$336,$R207,FALSE)</f>
        <v>#N/A</v>
      </c>
      <c r="AP207" s="60" t="e">
        <f>100+HLOOKUP(AP$4,$D$7:$P$336,$R207,FALSE)-HLOOKUP(AP$3,$D$7:$P$336,$R207,FALSE)</f>
        <v>#N/A</v>
      </c>
      <c r="AQ207" s="60" t="e">
        <f>100+HLOOKUP(AQ$4,$D$7:$P$336,$R207,FALSE)-HLOOKUP(AQ$3,$D$7:$P$336,$R207,FALSE)</f>
        <v>#N/A</v>
      </c>
      <c r="AV207" s="60">
        <f ca="1">AV$5-S207</f>
        <v>13.190399426796432</v>
      </c>
      <c r="AW207" s="60">
        <f ca="1">AW$5-T207</f>
        <v>4.2206505297577479</v>
      </c>
      <c r="AX207" s="60">
        <f ca="1">AX$5-U207</f>
        <v>11.775915403668051</v>
      </c>
      <c r="AY207" s="60">
        <f ca="1">AY$5-V207</f>
        <v>3.6030144015278012</v>
      </c>
      <c r="AZ207" s="60">
        <f ca="1">AZ$5-W207</f>
        <v>7.4544821725960304</v>
      </c>
      <c r="BA207" s="60">
        <f ca="1">BA$5-X207</f>
        <v>8.4650590589827033</v>
      </c>
      <c r="BB207" s="60">
        <f ca="1">BB$5-Y207</f>
        <v>3.3505927273811267</v>
      </c>
      <c r="BC207" s="60">
        <f ca="1">BC$5-Z207</f>
        <v>17.437465909882164</v>
      </c>
      <c r="BD207" s="60">
        <f ca="1">BD$5-AA207</f>
        <v>7.936518664382362</v>
      </c>
      <c r="BE207" s="60">
        <f ca="1">BE$5-AB207</f>
        <v>1.829390591992194</v>
      </c>
      <c r="BF207" s="60">
        <f ca="1">BF$5-AC207</f>
        <v>11.01730431647708</v>
      </c>
      <c r="BG207" s="60">
        <f ca="1">BG$5-AD207</f>
        <v>-10.014741294981491</v>
      </c>
      <c r="BH207" s="60">
        <f ca="1">BH$5-AE207</f>
        <v>-15.045407769632433</v>
      </c>
      <c r="BI207" s="60">
        <f ca="1">BI$5-AF207</f>
        <v>-11.391494488745195</v>
      </c>
      <c r="BJ207" s="60">
        <f ca="1">BJ$5-AG207</f>
        <v>1.43955105767877</v>
      </c>
      <c r="BK207" s="60" t="e">
        <f>BK$5-AH207</f>
        <v>#N/A</v>
      </c>
      <c r="BL207" s="60" t="e">
        <f>BL$5-AI207</f>
        <v>#N/A</v>
      </c>
      <c r="BM207" s="60" t="e">
        <f>BM$5-AJ207</f>
        <v>#N/A</v>
      </c>
      <c r="BN207" s="60" t="e">
        <f>BN$5-AK207</f>
        <v>#N/A</v>
      </c>
      <c r="BO207" s="60" t="e">
        <f>BO$5-AL207</f>
        <v>#N/A</v>
      </c>
      <c r="BP207" s="60" t="e">
        <f>BP$5-AM207</f>
        <v>#N/A</v>
      </c>
      <c r="BQ207" s="60" t="e">
        <f>BQ$5-AN207</f>
        <v>#N/A</v>
      </c>
      <c r="BR207" s="60" t="e">
        <f>BR$5-AO207</f>
        <v>#N/A</v>
      </c>
      <c r="BS207" s="60" t="e">
        <f>BS$5-AP207</f>
        <v>#N/A</v>
      </c>
      <c r="BT207" s="60" t="e">
        <f>BT$5-AQ207</f>
        <v>#N/A</v>
      </c>
      <c r="BV207" s="60" cm="1">
        <f t="array" aca="1" ref="BV207" ca="1">SQRT(SUMSQ(_xlfn._xlws.FILTER(AV207:BT207,ISNUMBER(AV207:BT207)))/COUNT(_xlfn._xlws.FILTER(AV207:BT207,ISNUMBER(AV207:BT207))))</f>
        <v>9.7713405002117018</v>
      </c>
    </row>
    <row r="208" spans="3:74" x14ac:dyDescent="0.2">
      <c r="C208" s="60" t="s">
        <v>508</v>
      </c>
      <c r="D208" s="60">
        <v>0</v>
      </c>
      <c r="E208" s="60">
        <v>0</v>
      </c>
      <c r="F208" s="60">
        <v>0</v>
      </c>
      <c r="G208" s="60">
        <v>-4</v>
      </c>
      <c r="H208" s="60">
        <v>-8</v>
      </c>
      <c r="I208" s="60">
        <v>-8</v>
      </c>
      <c r="J208" s="60">
        <v>-12</v>
      </c>
      <c r="K208" s="60">
        <v>-16</v>
      </c>
      <c r="L208" s="60">
        <v>-12</v>
      </c>
      <c r="M208" s="60">
        <v>-8</v>
      </c>
      <c r="N208" s="60">
        <v>-4</v>
      </c>
      <c r="O208" s="60">
        <v>0</v>
      </c>
      <c r="P208" s="60">
        <v>0</v>
      </c>
      <c r="R208" s="61">
        <f>(ROW(R208)-ROW($C$6))</f>
        <v>202</v>
      </c>
      <c r="S208" s="60">
        <f ca="1">100+HLOOKUP(S$4,$D$7:$P$336,$R208,FALSE)-HLOOKUP(S$3,$D$7:$P$336,$R208,FALSE)</f>
        <v>100</v>
      </c>
      <c r="T208" s="60">
        <f ca="1">100+HLOOKUP(T$4,$D$7:$P$336,$R208,FALSE)-HLOOKUP(T$3,$D$7:$P$336,$R208,FALSE)</f>
        <v>88</v>
      </c>
      <c r="U208" s="60">
        <f ca="1">100+HLOOKUP(U$4,$D$7:$P$336,$R208,FALSE)-HLOOKUP(U$3,$D$7:$P$336,$R208,FALSE)</f>
        <v>88</v>
      </c>
      <c r="V208" s="60">
        <f ca="1">100+HLOOKUP(V$4,$D$7:$P$336,$R208,FALSE)-HLOOKUP(V$3,$D$7:$P$336,$R208,FALSE)</f>
        <v>96</v>
      </c>
      <c r="W208" s="60">
        <f ca="1">100+HLOOKUP(W$4,$D$7:$P$336,$R208,FALSE)-HLOOKUP(W$3,$D$7:$P$336,$R208,FALSE)</f>
        <v>84</v>
      </c>
      <c r="X208" s="60">
        <f ca="1">100+HLOOKUP(X$4,$D$7:$P$336,$R208,FALSE)-HLOOKUP(X$3,$D$7:$P$336,$R208,FALSE)</f>
        <v>100</v>
      </c>
      <c r="Y208" s="60">
        <f ca="1">100+HLOOKUP(Y$4,$D$7:$P$336,$R208,FALSE)-HLOOKUP(Y$3,$D$7:$P$336,$R208,FALSE)</f>
        <v>88</v>
      </c>
      <c r="Z208" s="60">
        <f ca="1">100+HLOOKUP(Z$4,$D$7:$P$336,$R208,FALSE)-HLOOKUP(Z$3,$D$7:$P$336,$R208,FALSE)</f>
        <v>88</v>
      </c>
      <c r="AA208" s="60">
        <f ca="1">100+HLOOKUP(AA$4,$D$7:$P$336,$R208,FALSE)-HLOOKUP(AA$3,$D$7:$P$336,$R208,FALSE)</f>
        <v>96</v>
      </c>
      <c r="AB208" s="60">
        <f ca="1">100+HLOOKUP(AB$4,$D$7:$P$336,$R208,FALSE)-HLOOKUP(AB$3,$D$7:$P$336,$R208,FALSE)</f>
        <v>84</v>
      </c>
      <c r="AC208" s="60">
        <f ca="1">100+HLOOKUP(AC$4,$D$7:$P$336,$R208,FALSE)-HLOOKUP(AC$3,$D$7:$P$336,$R208,FALSE)</f>
        <v>92</v>
      </c>
      <c r="AD208" s="60">
        <f ca="1">100+HLOOKUP(AD$4,$D$7:$P$336,$R208,FALSE)-HLOOKUP(AD$3,$D$7:$P$336,$R208,FALSE)</f>
        <v>108</v>
      </c>
      <c r="AE208" s="60">
        <f ca="1">100+HLOOKUP(AE$4,$D$7:$P$336,$R208,FALSE)-HLOOKUP(AE$3,$D$7:$P$336,$R208,FALSE)</f>
        <v>112</v>
      </c>
      <c r="AF208" s="60">
        <f ca="1">100+HLOOKUP(AF$4,$D$7:$P$336,$R208,FALSE)-HLOOKUP(AF$3,$D$7:$P$336,$R208,FALSE)</f>
        <v>108</v>
      </c>
      <c r="AG208" s="60">
        <f ca="1">100+HLOOKUP(AG$4,$D$7:$P$336,$R208,FALSE)-HLOOKUP(AG$3,$D$7:$P$336,$R208,FALSE)</f>
        <v>96</v>
      </c>
      <c r="AH208" s="60" t="e">
        <f>100+HLOOKUP(AH$4,$D$7:$P$336,$R208,FALSE)-HLOOKUP(AH$3,$D$7:$P$336,$R208,FALSE)</f>
        <v>#N/A</v>
      </c>
      <c r="AI208" s="60" t="e">
        <f>100+HLOOKUP(AI$4,$D$7:$P$336,$R208,FALSE)-HLOOKUP(AI$3,$D$7:$P$336,$R208,FALSE)</f>
        <v>#N/A</v>
      </c>
      <c r="AJ208" s="60" t="e">
        <f>100+HLOOKUP(AJ$4,$D$7:$P$336,$R208,FALSE)-HLOOKUP(AJ$3,$D$7:$P$336,$R208,FALSE)</f>
        <v>#N/A</v>
      </c>
      <c r="AK208" s="60" t="e">
        <f>100+HLOOKUP(AK$4,$D$7:$P$336,$R208,FALSE)-HLOOKUP(AK$3,$D$7:$P$336,$R208,FALSE)</f>
        <v>#N/A</v>
      </c>
      <c r="AL208" s="60" t="e">
        <f>100+HLOOKUP(AL$4,$D$7:$P$336,$R208,FALSE)-HLOOKUP(AL$3,$D$7:$P$336,$R208,FALSE)</f>
        <v>#N/A</v>
      </c>
      <c r="AM208" s="60" t="e">
        <f>100+HLOOKUP(AM$4,$D$7:$P$336,$R208,FALSE)-HLOOKUP(AM$3,$D$7:$P$336,$R208,FALSE)</f>
        <v>#N/A</v>
      </c>
      <c r="AN208" s="60" t="e">
        <f>100+HLOOKUP(AN$4,$D$7:$P$336,$R208,FALSE)-HLOOKUP(AN$3,$D$7:$P$336,$R208,FALSE)</f>
        <v>#N/A</v>
      </c>
      <c r="AO208" s="60" t="e">
        <f>100+HLOOKUP(AO$4,$D$7:$P$336,$R208,FALSE)-HLOOKUP(AO$3,$D$7:$P$336,$R208,FALSE)</f>
        <v>#N/A</v>
      </c>
      <c r="AP208" s="60" t="e">
        <f>100+HLOOKUP(AP$4,$D$7:$P$336,$R208,FALSE)-HLOOKUP(AP$3,$D$7:$P$336,$R208,FALSE)</f>
        <v>#N/A</v>
      </c>
      <c r="AQ208" s="60" t="e">
        <f>100+HLOOKUP(AQ$4,$D$7:$P$336,$R208,FALSE)-HLOOKUP(AQ$3,$D$7:$P$336,$R208,FALSE)</f>
        <v>#N/A</v>
      </c>
      <c r="AV208" s="60">
        <f ca="1">AV$5-S208</f>
        <v>3.1903994267964322</v>
      </c>
      <c r="AW208" s="60">
        <f ca="1">AW$5-T208</f>
        <v>6.2206505297577479</v>
      </c>
      <c r="AX208" s="60">
        <f ca="1">AX$5-U208</f>
        <v>13.775915403668051</v>
      </c>
      <c r="AY208" s="60">
        <f ca="1">AY$5-V208</f>
        <v>-2.3969855984721988</v>
      </c>
      <c r="AZ208" s="60">
        <f ca="1">AZ$5-W208</f>
        <v>13.45448217259603</v>
      </c>
      <c r="BA208" s="60">
        <f ca="1">BA$5-X208</f>
        <v>-1.5349409410172967</v>
      </c>
      <c r="BB208" s="60">
        <f ca="1">BB$5-Y208</f>
        <v>5.3505927273811267</v>
      </c>
      <c r="BC208" s="60">
        <f ca="1">BC$5-Z208</f>
        <v>19.437465909882164</v>
      </c>
      <c r="BD208" s="60">
        <f ca="1">BD$5-AA208</f>
        <v>1.936518664382362</v>
      </c>
      <c r="BE208" s="60">
        <f ca="1">BE$5-AB208</f>
        <v>7.829390591992194</v>
      </c>
      <c r="BF208" s="60">
        <f ca="1">BF$5-AC208</f>
        <v>9.0173043164770803</v>
      </c>
      <c r="BG208" s="60">
        <f ca="1">BG$5-AD208</f>
        <v>-4.0147412949814907</v>
      </c>
      <c r="BH208" s="60">
        <f ca="1">BH$5-AE208</f>
        <v>-13.045407769632433</v>
      </c>
      <c r="BI208" s="60">
        <f ca="1">BI$5-AF208</f>
        <v>-17.391494488745195</v>
      </c>
      <c r="BJ208" s="60">
        <f ca="1">BJ$5-AG208</f>
        <v>-4.56044894232123</v>
      </c>
      <c r="BK208" s="60" t="e">
        <f>BK$5-AH208</f>
        <v>#N/A</v>
      </c>
      <c r="BL208" s="60" t="e">
        <f>BL$5-AI208</f>
        <v>#N/A</v>
      </c>
      <c r="BM208" s="60" t="e">
        <f>BM$5-AJ208</f>
        <v>#N/A</v>
      </c>
      <c r="BN208" s="60" t="e">
        <f>BN$5-AK208</f>
        <v>#N/A</v>
      </c>
      <c r="BO208" s="60" t="e">
        <f>BO$5-AL208</f>
        <v>#N/A</v>
      </c>
      <c r="BP208" s="60" t="e">
        <f>BP$5-AM208</f>
        <v>#N/A</v>
      </c>
      <c r="BQ208" s="60" t="e">
        <f>BQ$5-AN208</f>
        <v>#N/A</v>
      </c>
      <c r="BR208" s="60" t="e">
        <f>BR$5-AO208</f>
        <v>#N/A</v>
      </c>
      <c r="BS208" s="60" t="e">
        <f>BS$5-AP208</f>
        <v>#N/A</v>
      </c>
      <c r="BT208" s="60" t="e">
        <f>BT$5-AQ208</f>
        <v>#N/A</v>
      </c>
      <c r="BV208" s="60" cm="1">
        <f t="array" aca="1" ref="BV208" ca="1">SQRT(SUMSQ(_xlfn._xlws.FILTER(AV208:BT208,ISNUMBER(AV208:BT208)))/COUNT(_xlfn._xlws.FILTER(AV208:BT208,ISNUMBER(AV208:BT208))))</f>
        <v>9.9670905477511447</v>
      </c>
    </row>
    <row r="209" spans="3:74" x14ac:dyDescent="0.2">
      <c r="C209" s="60" t="s">
        <v>369</v>
      </c>
      <c r="D209" s="60">
        <v>0</v>
      </c>
      <c r="E209" s="60">
        <v>-2</v>
      </c>
      <c r="F209" s="60">
        <v>-3</v>
      </c>
      <c r="G209" s="60">
        <v>-5</v>
      </c>
      <c r="H209" s="60">
        <v>-6</v>
      </c>
      <c r="I209" s="60">
        <v>-8</v>
      </c>
      <c r="J209" s="60">
        <v>-10</v>
      </c>
      <c r="K209" s="60">
        <v>-11</v>
      </c>
      <c r="L209" s="60">
        <v>-13</v>
      </c>
      <c r="M209" s="60">
        <v>5</v>
      </c>
      <c r="N209" s="60">
        <v>3</v>
      </c>
      <c r="O209" s="60">
        <v>2</v>
      </c>
      <c r="P209" s="60">
        <v>0</v>
      </c>
      <c r="R209" s="61">
        <f>(ROW(R209)-ROW($C$6))</f>
        <v>203</v>
      </c>
      <c r="S209" s="60">
        <f ca="1">100+HLOOKUP(S$4,$D$7:$P$336,$R209,FALSE)-HLOOKUP(S$3,$D$7:$P$336,$R209,FALSE)</f>
        <v>89</v>
      </c>
      <c r="T209" s="60">
        <f ca="1">100+HLOOKUP(T$4,$D$7:$P$336,$R209,FALSE)-HLOOKUP(T$3,$D$7:$P$336,$R209,FALSE)</f>
        <v>88</v>
      </c>
      <c r="U209" s="60">
        <f ca="1">100+HLOOKUP(U$4,$D$7:$P$336,$R209,FALSE)-HLOOKUP(U$3,$D$7:$P$336,$R209,FALSE)</f>
        <v>89</v>
      </c>
      <c r="V209" s="60">
        <f ca="1">100+HLOOKUP(V$4,$D$7:$P$336,$R209,FALSE)-HLOOKUP(V$3,$D$7:$P$336,$R209,FALSE)</f>
        <v>89</v>
      </c>
      <c r="W209" s="60">
        <f ca="1">100+HLOOKUP(W$4,$D$7:$P$336,$R209,FALSE)-HLOOKUP(W$3,$D$7:$P$336,$R209,FALSE)</f>
        <v>89</v>
      </c>
      <c r="X209" s="60">
        <f ca="1">100+HLOOKUP(X$4,$D$7:$P$336,$R209,FALSE)-HLOOKUP(X$3,$D$7:$P$336,$R209,FALSE)</f>
        <v>89</v>
      </c>
      <c r="Y209" s="60">
        <f ca="1">100+HLOOKUP(Y$4,$D$7:$P$336,$R209,FALSE)-HLOOKUP(Y$3,$D$7:$P$336,$R209,FALSE)</f>
        <v>88</v>
      </c>
      <c r="Z209" s="60">
        <f ca="1">100+HLOOKUP(Z$4,$D$7:$P$336,$R209,FALSE)-HLOOKUP(Z$3,$D$7:$P$336,$R209,FALSE)</f>
        <v>89</v>
      </c>
      <c r="AA209" s="60">
        <f ca="1">100+HLOOKUP(AA$4,$D$7:$P$336,$R209,FALSE)-HLOOKUP(AA$3,$D$7:$P$336,$R209,FALSE)</f>
        <v>89</v>
      </c>
      <c r="AB209" s="60">
        <f ca="1">100+HLOOKUP(AB$4,$D$7:$P$336,$R209,FALSE)-HLOOKUP(AB$3,$D$7:$P$336,$R209,FALSE)</f>
        <v>89</v>
      </c>
      <c r="AC209" s="60">
        <f ca="1">100+HLOOKUP(AC$4,$D$7:$P$336,$R209,FALSE)-HLOOKUP(AC$3,$D$7:$P$336,$R209,FALSE)</f>
        <v>108</v>
      </c>
      <c r="AD209" s="60">
        <f ca="1">100+HLOOKUP(AD$4,$D$7:$P$336,$R209,FALSE)-HLOOKUP(AD$3,$D$7:$P$336,$R209,FALSE)</f>
        <v>108</v>
      </c>
      <c r="AE209" s="60">
        <f ca="1">100+HLOOKUP(AE$4,$D$7:$P$336,$R209,FALSE)-HLOOKUP(AE$3,$D$7:$P$336,$R209,FALSE)</f>
        <v>108</v>
      </c>
      <c r="AF209" s="60">
        <f ca="1">100+HLOOKUP(AF$4,$D$7:$P$336,$R209,FALSE)-HLOOKUP(AF$3,$D$7:$P$336,$R209,FALSE)</f>
        <v>108</v>
      </c>
      <c r="AG209" s="60">
        <f ca="1">100+HLOOKUP(AG$4,$D$7:$P$336,$R209,FALSE)-HLOOKUP(AG$3,$D$7:$P$336,$R209,FALSE)</f>
        <v>89</v>
      </c>
      <c r="AH209" s="60" t="e">
        <f>100+HLOOKUP(AH$4,$D$7:$P$336,$R209,FALSE)-HLOOKUP(AH$3,$D$7:$P$336,$R209,FALSE)</f>
        <v>#N/A</v>
      </c>
      <c r="AI209" s="60" t="e">
        <f>100+HLOOKUP(AI$4,$D$7:$P$336,$R209,FALSE)-HLOOKUP(AI$3,$D$7:$P$336,$R209,FALSE)</f>
        <v>#N/A</v>
      </c>
      <c r="AJ209" s="60" t="e">
        <f>100+HLOOKUP(AJ$4,$D$7:$P$336,$R209,FALSE)-HLOOKUP(AJ$3,$D$7:$P$336,$R209,FALSE)</f>
        <v>#N/A</v>
      </c>
      <c r="AK209" s="60" t="e">
        <f>100+HLOOKUP(AK$4,$D$7:$P$336,$R209,FALSE)-HLOOKUP(AK$3,$D$7:$P$336,$R209,FALSE)</f>
        <v>#N/A</v>
      </c>
      <c r="AL209" s="60" t="e">
        <f>100+HLOOKUP(AL$4,$D$7:$P$336,$R209,FALSE)-HLOOKUP(AL$3,$D$7:$P$336,$R209,FALSE)</f>
        <v>#N/A</v>
      </c>
      <c r="AM209" s="60" t="e">
        <f>100+HLOOKUP(AM$4,$D$7:$P$336,$R209,FALSE)-HLOOKUP(AM$3,$D$7:$P$336,$R209,FALSE)</f>
        <v>#N/A</v>
      </c>
      <c r="AN209" s="60" t="e">
        <f>100+HLOOKUP(AN$4,$D$7:$P$336,$R209,FALSE)-HLOOKUP(AN$3,$D$7:$P$336,$R209,FALSE)</f>
        <v>#N/A</v>
      </c>
      <c r="AO209" s="60" t="e">
        <f>100+HLOOKUP(AO$4,$D$7:$P$336,$R209,FALSE)-HLOOKUP(AO$3,$D$7:$P$336,$R209,FALSE)</f>
        <v>#N/A</v>
      </c>
      <c r="AP209" s="60" t="e">
        <f>100+HLOOKUP(AP$4,$D$7:$P$336,$R209,FALSE)-HLOOKUP(AP$3,$D$7:$P$336,$R209,FALSE)</f>
        <v>#N/A</v>
      </c>
      <c r="AQ209" s="60" t="e">
        <f>100+HLOOKUP(AQ$4,$D$7:$P$336,$R209,FALSE)-HLOOKUP(AQ$3,$D$7:$P$336,$R209,FALSE)</f>
        <v>#N/A</v>
      </c>
      <c r="AV209" s="60">
        <f ca="1">AV$5-S209</f>
        <v>14.190399426796432</v>
      </c>
      <c r="AW209" s="60">
        <f ca="1">AW$5-T209</f>
        <v>6.2206505297577479</v>
      </c>
      <c r="AX209" s="60">
        <f ca="1">AX$5-U209</f>
        <v>12.775915403668051</v>
      </c>
      <c r="AY209" s="60">
        <f ca="1">AY$5-V209</f>
        <v>4.6030144015278012</v>
      </c>
      <c r="AZ209" s="60">
        <f ca="1">AZ$5-W209</f>
        <v>8.4544821725960304</v>
      </c>
      <c r="BA209" s="60">
        <f ca="1">BA$5-X209</f>
        <v>9.4650590589827033</v>
      </c>
      <c r="BB209" s="60">
        <f ca="1">BB$5-Y209</f>
        <v>5.3505927273811267</v>
      </c>
      <c r="BC209" s="60">
        <f ca="1">BC$5-Z209</f>
        <v>18.437465909882164</v>
      </c>
      <c r="BD209" s="60">
        <f ca="1">BD$5-AA209</f>
        <v>8.936518664382362</v>
      </c>
      <c r="BE209" s="60">
        <f ca="1">BE$5-AB209</f>
        <v>2.829390591992194</v>
      </c>
      <c r="BF209" s="60">
        <f ca="1">BF$5-AC209</f>
        <v>-6.9826956835229197</v>
      </c>
      <c r="BG209" s="60">
        <f ca="1">BG$5-AD209</f>
        <v>-4.0147412949814907</v>
      </c>
      <c r="BH209" s="60">
        <f ca="1">BH$5-AE209</f>
        <v>-9.0454077696324333</v>
      </c>
      <c r="BI209" s="60">
        <f ca="1">BI$5-AF209</f>
        <v>-17.391494488745195</v>
      </c>
      <c r="BJ209" s="60">
        <f ca="1">BJ$5-AG209</f>
        <v>2.43955105767877</v>
      </c>
      <c r="BK209" s="60" t="e">
        <f>BK$5-AH209</f>
        <v>#N/A</v>
      </c>
      <c r="BL209" s="60" t="e">
        <f>BL$5-AI209</f>
        <v>#N/A</v>
      </c>
      <c r="BM209" s="60" t="e">
        <f>BM$5-AJ209</f>
        <v>#N/A</v>
      </c>
      <c r="BN209" s="60" t="e">
        <f>BN$5-AK209</f>
        <v>#N/A</v>
      </c>
      <c r="BO209" s="60" t="e">
        <f>BO$5-AL209</f>
        <v>#N/A</v>
      </c>
      <c r="BP209" s="60" t="e">
        <f>BP$5-AM209</f>
        <v>#N/A</v>
      </c>
      <c r="BQ209" s="60" t="e">
        <f>BQ$5-AN209</f>
        <v>#N/A</v>
      </c>
      <c r="BR209" s="60" t="e">
        <f>BR$5-AO209</f>
        <v>#N/A</v>
      </c>
      <c r="BS209" s="60" t="e">
        <f>BS$5-AP209</f>
        <v>#N/A</v>
      </c>
      <c r="BT209" s="60" t="e">
        <f>BT$5-AQ209</f>
        <v>#N/A</v>
      </c>
      <c r="BV209" s="60" cm="1">
        <f t="array" aca="1" ref="BV209" ca="1">SQRT(SUMSQ(_xlfn._xlws.FILTER(AV209:BT209,ISNUMBER(AV209:BT209)))/COUNT(_xlfn._xlws.FILTER(AV209:BT209,ISNUMBER(AV209:BT209))))</f>
        <v>9.990289230601654</v>
      </c>
    </row>
    <row r="210" spans="3:74" x14ac:dyDescent="0.2">
      <c r="C210" s="60" t="s">
        <v>221</v>
      </c>
      <c r="D210" s="60">
        <v>0</v>
      </c>
      <c r="E210" s="60">
        <v>1.9550000000000001</v>
      </c>
      <c r="F210" s="60">
        <v>1.956</v>
      </c>
      <c r="G210" s="60">
        <v>3.911</v>
      </c>
      <c r="H210" s="60">
        <v>-13.686</v>
      </c>
      <c r="I210" s="60">
        <v>-11.731</v>
      </c>
      <c r="J210" s="60">
        <v>-11.73</v>
      </c>
      <c r="K210" s="60">
        <v>-9.7750000000000004</v>
      </c>
      <c r="L210" s="60">
        <v>-7.82</v>
      </c>
      <c r="M210" s="60">
        <v>-5.8650000000000002</v>
      </c>
      <c r="N210" s="60">
        <v>-3.91</v>
      </c>
      <c r="O210" s="60">
        <v>-1.9550000000000001</v>
      </c>
      <c r="P210" s="60">
        <v>0</v>
      </c>
      <c r="R210" s="61">
        <f>(ROW(R210)-ROW($C$6))</f>
        <v>204</v>
      </c>
      <c r="S210" s="60">
        <f ca="1">100+HLOOKUP(S$4,$D$7:$P$336,$R210,FALSE)-HLOOKUP(S$3,$D$7:$P$336,$R210,FALSE)</f>
        <v>92.178999999999988</v>
      </c>
      <c r="T210" s="60">
        <f ca="1">100+HLOOKUP(T$4,$D$7:$P$336,$R210,FALSE)-HLOOKUP(T$3,$D$7:$P$336,$R210,FALSE)</f>
        <v>90.224999999999994</v>
      </c>
      <c r="U210" s="60">
        <f ca="1">100+HLOOKUP(U$4,$D$7:$P$336,$R210,FALSE)-HLOOKUP(U$3,$D$7:$P$336,$R210,FALSE)</f>
        <v>90.225000000000009</v>
      </c>
      <c r="V210" s="60">
        <f ca="1">100+HLOOKUP(V$4,$D$7:$P$336,$R210,FALSE)-HLOOKUP(V$3,$D$7:$P$336,$R210,FALSE)</f>
        <v>92.179000000000002</v>
      </c>
      <c r="W210" s="60">
        <f ca="1">100+HLOOKUP(W$4,$D$7:$P$336,$R210,FALSE)-HLOOKUP(W$3,$D$7:$P$336,$R210,FALSE)</f>
        <v>90.224999999999994</v>
      </c>
      <c r="X210" s="60">
        <f ca="1">100+HLOOKUP(X$4,$D$7:$P$336,$R210,FALSE)-HLOOKUP(X$3,$D$7:$P$336,$R210,FALSE)</f>
        <v>92.178999999999988</v>
      </c>
      <c r="Y210" s="60">
        <f ca="1">100+HLOOKUP(Y$4,$D$7:$P$336,$R210,FALSE)-HLOOKUP(Y$3,$D$7:$P$336,$R210,FALSE)</f>
        <v>90.224999999999994</v>
      </c>
      <c r="Z210" s="60">
        <f ca="1">100+HLOOKUP(Z$4,$D$7:$P$336,$R210,FALSE)-HLOOKUP(Z$3,$D$7:$P$336,$R210,FALSE)</f>
        <v>90.225000000000009</v>
      </c>
      <c r="AA210" s="60">
        <f ca="1">100+HLOOKUP(AA$4,$D$7:$P$336,$R210,FALSE)-HLOOKUP(AA$3,$D$7:$P$336,$R210,FALSE)</f>
        <v>92.179000000000002</v>
      </c>
      <c r="AB210" s="60">
        <f ca="1">100+HLOOKUP(AB$4,$D$7:$P$336,$R210,FALSE)-HLOOKUP(AB$3,$D$7:$P$336,$R210,FALSE)</f>
        <v>90.224999999999994</v>
      </c>
      <c r="AC210" s="60">
        <f ca="1">100+HLOOKUP(AC$4,$D$7:$P$336,$R210,FALSE)-HLOOKUP(AC$3,$D$7:$P$336,$R210,FALSE)</f>
        <v>92.179000000000002</v>
      </c>
      <c r="AD210" s="60">
        <f ca="1">100+HLOOKUP(AD$4,$D$7:$P$336,$R210,FALSE)-HLOOKUP(AD$3,$D$7:$P$336,$R210,FALSE)</f>
        <v>111.73099999999999</v>
      </c>
      <c r="AE210" s="60">
        <f ca="1">100+HLOOKUP(AE$4,$D$7:$P$336,$R210,FALSE)-HLOOKUP(AE$3,$D$7:$P$336,$R210,FALSE)</f>
        <v>113.685</v>
      </c>
      <c r="AF210" s="60">
        <f ca="1">100+HLOOKUP(AF$4,$D$7:$P$336,$R210,FALSE)-HLOOKUP(AF$3,$D$7:$P$336,$R210,FALSE)</f>
        <v>111.73099999999999</v>
      </c>
      <c r="AG210" s="60">
        <f ca="1">100+HLOOKUP(AG$4,$D$7:$P$336,$R210,FALSE)-HLOOKUP(AG$3,$D$7:$P$336,$R210,FALSE)</f>
        <v>92.179000000000002</v>
      </c>
      <c r="AH210" s="60" t="e">
        <f>100+HLOOKUP(AH$4,$D$7:$P$336,$R210,FALSE)-HLOOKUP(AH$3,$D$7:$P$336,$R210,FALSE)</f>
        <v>#N/A</v>
      </c>
      <c r="AI210" s="60" t="e">
        <f>100+HLOOKUP(AI$4,$D$7:$P$336,$R210,FALSE)-HLOOKUP(AI$3,$D$7:$P$336,$R210,FALSE)</f>
        <v>#N/A</v>
      </c>
      <c r="AJ210" s="60" t="e">
        <f>100+HLOOKUP(AJ$4,$D$7:$P$336,$R210,FALSE)-HLOOKUP(AJ$3,$D$7:$P$336,$R210,FALSE)</f>
        <v>#N/A</v>
      </c>
      <c r="AK210" s="60" t="e">
        <f>100+HLOOKUP(AK$4,$D$7:$P$336,$R210,FALSE)-HLOOKUP(AK$3,$D$7:$P$336,$R210,FALSE)</f>
        <v>#N/A</v>
      </c>
      <c r="AL210" s="60" t="e">
        <f>100+HLOOKUP(AL$4,$D$7:$P$336,$R210,FALSE)-HLOOKUP(AL$3,$D$7:$P$336,$R210,FALSE)</f>
        <v>#N/A</v>
      </c>
      <c r="AM210" s="60" t="e">
        <f>100+HLOOKUP(AM$4,$D$7:$P$336,$R210,FALSE)-HLOOKUP(AM$3,$D$7:$P$336,$R210,FALSE)</f>
        <v>#N/A</v>
      </c>
      <c r="AN210" s="60" t="e">
        <f>100+HLOOKUP(AN$4,$D$7:$P$336,$R210,FALSE)-HLOOKUP(AN$3,$D$7:$P$336,$R210,FALSE)</f>
        <v>#N/A</v>
      </c>
      <c r="AO210" s="60" t="e">
        <f>100+HLOOKUP(AO$4,$D$7:$P$336,$R210,FALSE)-HLOOKUP(AO$3,$D$7:$P$336,$R210,FALSE)</f>
        <v>#N/A</v>
      </c>
      <c r="AP210" s="60" t="e">
        <f>100+HLOOKUP(AP$4,$D$7:$P$336,$R210,FALSE)-HLOOKUP(AP$3,$D$7:$P$336,$R210,FALSE)</f>
        <v>#N/A</v>
      </c>
      <c r="AQ210" s="60" t="e">
        <f>100+HLOOKUP(AQ$4,$D$7:$P$336,$R210,FALSE)-HLOOKUP(AQ$3,$D$7:$P$336,$R210,FALSE)</f>
        <v>#N/A</v>
      </c>
      <c r="AV210" s="60">
        <f ca="1">AV$5-S210</f>
        <v>11.011399426796444</v>
      </c>
      <c r="AW210" s="60">
        <f ca="1">AW$5-T210</f>
        <v>3.9956505297577536</v>
      </c>
      <c r="AX210" s="60">
        <f ca="1">AX$5-U210</f>
        <v>11.550915403668043</v>
      </c>
      <c r="AY210" s="60">
        <f ca="1">AY$5-V210</f>
        <v>1.4240144015277991</v>
      </c>
      <c r="AZ210" s="60">
        <f ca="1">AZ$5-W210</f>
        <v>7.2294821725960361</v>
      </c>
      <c r="BA210" s="60">
        <f ca="1">BA$5-X210</f>
        <v>6.2860590589827154</v>
      </c>
      <c r="BB210" s="60">
        <f ca="1">BB$5-Y210</f>
        <v>3.1255927273811324</v>
      </c>
      <c r="BC210" s="60">
        <f ca="1">BC$5-Z210</f>
        <v>17.212465909882155</v>
      </c>
      <c r="BD210" s="60">
        <f ca="1">BD$5-AA210</f>
        <v>5.7575186643823599</v>
      </c>
      <c r="BE210" s="60">
        <f ca="1">BE$5-AB210</f>
        <v>1.6043905919921997</v>
      </c>
      <c r="BF210" s="60">
        <f ca="1">BF$5-AC210</f>
        <v>8.8383043164770783</v>
      </c>
      <c r="BG210" s="60">
        <f ca="1">BG$5-AD210</f>
        <v>-7.7457412949814852</v>
      </c>
      <c r="BH210" s="60">
        <f ca="1">BH$5-AE210</f>
        <v>-14.730407769632436</v>
      </c>
      <c r="BI210" s="60">
        <f ca="1">BI$5-AF210</f>
        <v>-21.12249448874519</v>
      </c>
      <c r="BJ210" s="60">
        <f ca="1">BJ$5-AG210</f>
        <v>-0.73944894232123204</v>
      </c>
      <c r="BK210" s="60" t="e">
        <f>BK$5-AH210</f>
        <v>#N/A</v>
      </c>
      <c r="BL210" s="60" t="e">
        <f>BL$5-AI210</f>
        <v>#N/A</v>
      </c>
      <c r="BM210" s="60" t="e">
        <f>BM$5-AJ210</f>
        <v>#N/A</v>
      </c>
      <c r="BN210" s="60" t="e">
        <f>BN$5-AK210</f>
        <v>#N/A</v>
      </c>
      <c r="BO210" s="60" t="e">
        <f>BO$5-AL210</f>
        <v>#N/A</v>
      </c>
      <c r="BP210" s="60" t="e">
        <f>BP$5-AM210</f>
        <v>#N/A</v>
      </c>
      <c r="BQ210" s="60" t="e">
        <f>BQ$5-AN210</f>
        <v>#N/A</v>
      </c>
      <c r="BR210" s="60" t="e">
        <f>BR$5-AO210</f>
        <v>#N/A</v>
      </c>
      <c r="BS210" s="60" t="e">
        <f>BS$5-AP210</f>
        <v>#N/A</v>
      </c>
      <c r="BT210" s="60" t="e">
        <f>BT$5-AQ210</f>
        <v>#N/A</v>
      </c>
      <c r="BV210" s="60" cm="1">
        <f t="array" aca="1" ref="BV210" ca="1">SQRT(SUMSQ(_xlfn._xlws.FILTER(AV210:BT210,ISNUMBER(AV210:BT210)))/COUNT(_xlfn._xlws.FILTER(AV210:BT210,ISNUMBER(AV210:BT210))))</f>
        <v>10.026672963354354</v>
      </c>
    </row>
    <row r="211" spans="3:74" x14ac:dyDescent="0.2">
      <c r="C211" s="60" t="s">
        <v>444</v>
      </c>
      <c r="D211" s="60">
        <v>0</v>
      </c>
      <c r="E211" s="60">
        <v>-5.87</v>
      </c>
      <c r="F211" s="60">
        <v>-3.91</v>
      </c>
      <c r="G211" s="60">
        <v>-9.8699999999999992</v>
      </c>
      <c r="H211" s="60">
        <v>-7.82</v>
      </c>
      <c r="I211" s="60">
        <v>-13.69</v>
      </c>
      <c r="J211" s="60">
        <v>-11.73</v>
      </c>
      <c r="K211" s="60">
        <v>-17.96</v>
      </c>
      <c r="L211" s="60">
        <v>-15.64</v>
      </c>
      <c r="M211" s="60">
        <v>-5.87</v>
      </c>
      <c r="N211" s="60">
        <v>3.91</v>
      </c>
      <c r="O211" s="60">
        <v>-1.96</v>
      </c>
      <c r="P211" s="60">
        <v>0</v>
      </c>
      <c r="R211" s="61">
        <f>(ROW(R211)-ROW($C$6))</f>
        <v>205</v>
      </c>
      <c r="S211" s="60">
        <f ca="1">100+HLOOKUP(S$4,$D$7:$P$336,$R211,FALSE)-HLOOKUP(S$3,$D$7:$P$336,$R211,FALSE)</f>
        <v>98.050000000000011</v>
      </c>
      <c r="T211" s="60">
        <f ca="1">100+HLOOKUP(T$4,$D$7:$P$336,$R211,FALSE)-HLOOKUP(T$3,$D$7:$P$336,$R211,FALSE)</f>
        <v>90.22999999999999</v>
      </c>
      <c r="U211" s="60">
        <f ca="1">100+HLOOKUP(U$4,$D$7:$P$336,$R211,FALSE)-HLOOKUP(U$3,$D$7:$P$336,$R211,FALSE)</f>
        <v>90.23</v>
      </c>
      <c r="V211" s="60">
        <f ca="1">100+HLOOKUP(V$4,$D$7:$P$336,$R211,FALSE)-HLOOKUP(V$3,$D$7:$P$336,$R211,FALSE)</f>
        <v>82.4</v>
      </c>
      <c r="W211" s="60">
        <f ca="1">100+HLOOKUP(W$4,$D$7:$P$336,$R211,FALSE)-HLOOKUP(W$3,$D$7:$P$336,$R211,FALSE)</f>
        <v>82.039999999999992</v>
      </c>
      <c r="X211" s="60">
        <f ca="1">100+HLOOKUP(X$4,$D$7:$P$336,$R211,FALSE)-HLOOKUP(X$3,$D$7:$P$336,$R211,FALSE)</f>
        <v>98.050000000000011</v>
      </c>
      <c r="Y211" s="60">
        <f ca="1">100+HLOOKUP(Y$4,$D$7:$P$336,$R211,FALSE)-HLOOKUP(Y$3,$D$7:$P$336,$R211,FALSE)</f>
        <v>90.22999999999999</v>
      </c>
      <c r="Z211" s="60">
        <f ca="1">100+HLOOKUP(Z$4,$D$7:$P$336,$R211,FALSE)-HLOOKUP(Z$3,$D$7:$P$336,$R211,FALSE)</f>
        <v>90.23</v>
      </c>
      <c r="AA211" s="60">
        <f ca="1">100+HLOOKUP(AA$4,$D$7:$P$336,$R211,FALSE)-HLOOKUP(AA$3,$D$7:$P$336,$R211,FALSE)</f>
        <v>82.4</v>
      </c>
      <c r="AB211" s="60">
        <f ca="1">100+HLOOKUP(AB$4,$D$7:$P$336,$R211,FALSE)-HLOOKUP(AB$3,$D$7:$P$336,$R211,FALSE)</f>
        <v>82.039999999999992</v>
      </c>
      <c r="AC211" s="60">
        <f ca="1">100+HLOOKUP(AC$4,$D$7:$P$336,$R211,FALSE)-HLOOKUP(AC$3,$D$7:$P$336,$R211,FALSE)</f>
        <v>98.039999999999992</v>
      </c>
      <c r="AD211" s="60">
        <f ca="1">100+HLOOKUP(AD$4,$D$7:$P$336,$R211,FALSE)-HLOOKUP(AD$3,$D$7:$P$336,$R211,FALSE)</f>
        <v>105.86000000000001</v>
      </c>
      <c r="AE211" s="60">
        <f ca="1">100+HLOOKUP(AE$4,$D$7:$P$336,$R211,FALSE)-HLOOKUP(AE$3,$D$7:$P$336,$R211,FALSE)</f>
        <v>105.86</v>
      </c>
      <c r="AF211" s="60">
        <f ca="1">100+HLOOKUP(AF$4,$D$7:$P$336,$R211,FALSE)-HLOOKUP(AF$3,$D$7:$P$336,$R211,FALSE)</f>
        <v>105.77</v>
      </c>
      <c r="AG211" s="60">
        <f ca="1">100+HLOOKUP(AG$4,$D$7:$P$336,$R211,FALSE)-HLOOKUP(AG$3,$D$7:$P$336,$R211,FALSE)</f>
        <v>82.4</v>
      </c>
      <c r="AH211" s="60" t="e">
        <f>100+HLOOKUP(AH$4,$D$7:$P$336,$R211,FALSE)-HLOOKUP(AH$3,$D$7:$P$336,$R211,FALSE)</f>
        <v>#N/A</v>
      </c>
      <c r="AI211" s="60" t="e">
        <f>100+HLOOKUP(AI$4,$D$7:$P$336,$R211,FALSE)-HLOOKUP(AI$3,$D$7:$P$336,$R211,FALSE)</f>
        <v>#N/A</v>
      </c>
      <c r="AJ211" s="60" t="e">
        <f>100+HLOOKUP(AJ$4,$D$7:$P$336,$R211,FALSE)-HLOOKUP(AJ$3,$D$7:$P$336,$R211,FALSE)</f>
        <v>#N/A</v>
      </c>
      <c r="AK211" s="60" t="e">
        <f>100+HLOOKUP(AK$4,$D$7:$P$336,$R211,FALSE)-HLOOKUP(AK$3,$D$7:$P$336,$R211,FALSE)</f>
        <v>#N/A</v>
      </c>
      <c r="AL211" s="60" t="e">
        <f>100+HLOOKUP(AL$4,$D$7:$P$336,$R211,FALSE)-HLOOKUP(AL$3,$D$7:$P$336,$R211,FALSE)</f>
        <v>#N/A</v>
      </c>
      <c r="AM211" s="60" t="e">
        <f>100+HLOOKUP(AM$4,$D$7:$P$336,$R211,FALSE)-HLOOKUP(AM$3,$D$7:$P$336,$R211,FALSE)</f>
        <v>#N/A</v>
      </c>
      <c r="AN211" s="60" t="e">
        <f>100+HLOOKUP(AN$4,$D$7:$P$336,$R211,FALSE)-HLOOKUP(AN$3,$D$7:$P$336,$R211,FALSE)</f>
        <v>#N/A</v>
      </c>
      <c r="AO211" s="60" t="e">
        <f>100+HLOOKUP(AO$4,$D$7:$P$336,$R211,FALSE)-HLOOKUP(AO$3,$D$7:$P$336,$R211,FALSE)</f>
        <v>#N/A</v>
      </c>
      <c r="AP211" s="60" t="e">
        <f>100+HLOOKUP(AP$4,$D$7:$P$336,$R211,FALSE)-HLOOKUP(AP$3,$D$7:$P$336,$R211,FALSE)</f>
        <v>#N/A</v>
      </c>
      <c r="AQ211" s="60" t="e">
        <f>100+HLOOKUP(AQ$4,$D$7:$P$336,$R211,FALSE)-HLOOKUP(AQ$3,$D$7:$P$336,$R211,FALSE)</f>
        <v>#N/A</v>
      </c>
      <c r="AV211" s="60">
        <f ca="1">AV$5-S211</f>
        <v>5.1403994267964208</v>
      </c>
      <c r="AW211" s="60">
        <f ca="1">AW$5-T211</f>
        <v>3.9906505297577581</v>
      </c>
      <c r="AX211" s="60">
        <f ca="1">AX$5-U211</f>
        <v>11.545915403668047</v>
      </c>
      <c r="AY211" s="60">
        <f ca="1">AY$5-V211</f>
        <v>11.203014401527795</v>
      </c>
      <c r="AZ211" s="60">
        <f ca="1">AZ$5-W211</f>
        <v>15.414482172596038</v>
      </c>
      <c r="BA211" s="60">
        <f ca="1">BA$5-X211</f>
        <v>0.41505905898269191</v>
      </c>
      <c r="BB211" s="60">
        <f ca="1">BB$5-Y211</f>
        <v>3.1205927273811369</v>
      </c>
      <c r="BC211" s="60">
        <f ca="1">BC$5-Z211</f>
        <v>17.20746590988216</v>
      </c>
      <c r="BD211" s="60">
        <f ca="1">BD$5-AA211</f>
        <v>15.536518664382356</v>
      </c>
      <c r="BE211" s="60">
        <f ca="1">BE$5-AB211</f>
        <v>9.789390591992202</v>
      </c>
      <c r="BF211" s="60">
        <f ca="1">BF$5-AC211</f>
        <v>2.9773043164770883</v>
      </c>
      <c r="BG211" s="60">
        <f ca="1">BG$5-AD211</f>
        <v>-1.8747412949815043</v>
      </c>
      <c r="BH211" s="60">
        <f ca="1">BH$5-AE211</f>
        <v>-6.9054077696324327</v>
      </c>
      <c r="BI211" s="60">
        <f ca="1">BI$5-AF211</f>
        <v>-15.161494488745191</v>
      </c>
      <c r="BJ211" s="60">
        <f ca="1">BJ$5-AG211</f>
        <v>9.0395510576787643</v>
      </c>
      <c r="BK211" s="60" t="e">
        <f>BK$5-AH211</f>
        <v>#N/A</v>
      </c>
      <c r="BL211" s="60" t="e">
        <f>BL$5-AI211</f>
        <v>#N/A</v>
      </c>
      <c r="BM211" s="60" t="e">
        <f>BM$5-AJ211</f>
        <v>#N/A</v>
      </c>
      <c r="BN211" s="60" t="e">
        <f>BN$5-AK211</f>
        <v>#N/A</v>
      </c>
      <c r="BO211" s="60" t="e">
        <f>BO$5-AL211</f>
        <v>#N/A</v>
      </c>
      <c r="BP211" s="60" t="e">
        <f>BP$5-AM211</f>
        <v>#N/A</v>
      </c>
      <c r="BQ211" s="60" t="e">
        <f>BQ$5-AN211</f>
        <v>#N/A</v>
      </c>
      <c r="BR211" s="60" t="e">
        <f>BR$5-AO211</f>
        <v>#N/A</v>
      </c>
      <c r="BS211" s="60" t="e">
        <f>BS$5-AP211</f>
        <v>#N/A</v>
      </c>
      <c r="BT211" s="60" t="e">
        <f>BT$5-AQ211</f>
        <v>#N/A</v>
      </c>
      <c r="BV211" s="60" cm="1">
        <f t="array" aca="1" ref="BV211" ca="1">SQRT(SUMSQ(_xlfn._xlws.FILTER(AV211:BT211,ISNUMBER(AV211:BT211)))/COUNT(_xlfn._xlws.FILTER(AV211:BT211,ISNUMBER(AV211:BT211))))</f>
        <v>10.177235511990046</v>
      </c>
    </row>
    <row r="212" spans="3:74" x14ac:dyDescent="0.2">
      <c r="C212" s="60" t="s">
        <v>308</v>
      </c>
      <c r="D212" s="60">
        <v>0</v>
      </c>
      <c r="E212" s="60">
        <v>-2</v>
      </c>
      <c r="F212" s="60">
        <v>-3</v>
      </c>
      <c r="G212" s="60">
        <v>-5</v>
      </c>
      <c r="H212" s="60">
        <v>-7</v>
      </c>
      <c r="I212" s="60">
        <v>-8</v>
      </c>
      <c r="J212" s="60">
        <v>-10</v>
      </c>
      <c r="K212" s="60">
        <v>-11</v>
      </c>
      <c r="L212" s="60">
        <v>-13</v>
      </c>
      <c r="M212" s="60">
        <v>5</v>
      </c>
      <c r="N212" s="60">
        <v>3</v>
      </c>
      <c r="O212" s="60">
        <v>2</v>
      </c>
      <c r="P212" s="60">
        <v>0</v>
      </c>
      <c r="R212" s="61">
        <f>(ROW(R212)-ROW($C$6))</f>
        <v>206</v>
      </c>
      <c r="S212" s="60">
        <f ca="1">100+HLOOKUP(S$4,$D$7:$P$336,$R212,FALSE)-HLOOKUP(S$3,$D$7:$P$336,$R212,FALSE)</f>
        <v>88</v>
      </c>
      <c r="T212" s="60">
        <f ca="1">100+HLOOKUP(T$4,$D$7:$P$336,$R212,FALSE)-HLOOKUP(T$3,$D$7:$P$336,$R212,FALSE)</f>
        <v>88</v>
      </c>
      <c r="U212" s="60">
        <f ca="1">100+HLOOKUP(U$4,$D$7:$P$336,$R212,FALSE)-HLOOKUP(U$3,$D$7:$P$336,$R212,FALSE)</f>
        <v>89</v>
      </c>
      <c r="V212" s="60">
        <f ca="1">100+HLOOKUP(V$4,$D$7:$P$336,$R212,FALSE)-HLOOKUP(V$3,$D$7:$P$336,$R212,FALSE)</f>
        <v>89</v>
      </c>
      <c r="W212" s="60">
        <f ca="1">100+HLOOKUP(W$4,$D$7:$P$336,$R212,FALSE)-HLOOKUP(W$3,$D$7:$P$336,$R212,FALSE)</f>
        <v>89</v>
      </c>
      <c r="X212" s="60">
        <f ca="1">100+HLOOKUP(X$4,$D$7:$P$336,$R212,FALSE)-HLOOKUP(X$3,$D$7:$P$336,$R212,FALSE)</f>
        <v>88</v>
      </c>
      <c r="Y212" s="60">
        <f ca="1">100+HLOOKUP(Y$4,$D$7:$P$336,$R212,FALSE)-HLOOKUP(Y$3,$D$7:$P$336,$R212,FALSE)</f>
        <v>88</v>
      </c>
      <c r="Z212" s="60">
        <f ca="1">100+HLOOKUP(Z$4,$D$7:$P$336,$R212,FALSE)-HLOOKUP(Z$3,$D$7:$P$336,$R212,FALSE)</f>
        <v>89</v>
      </c>
      <c r="AA212" s="60">
        <f ca="1">100+HLOOKUP(AA$4,$D$7:$P$336,$R212,FALSE)-HLOOKUP(AA$3,$D$7:$P$336,$R212,FALSE)</f>
        <v>89</v>
      </c>
      <c r="AB212" s="60">
        <f ca="1">100+HLOOKUP(AB$4,$D$7:$P$336,$R212,FALSE)-HLOOKUP(AB$3,$D$7:$P$336,$R212,FALSE)</f>
        <v>89</v>
      </c>
      <c r="AC212" s="60">
        <f ca="1">100+HLOOKUP(AC$4,$D$7:$P$336,$R212,FALSE)-HLOOKUP(AC$3,$D$7:$P$336,$R212,FALSE)</f>
        <v>108</v>
      </c>
      <c r="AD212" s="60">
        <f ca="1">100+HLOOKUP(AD$4,$D$7:$P$336,$R212,FALSE)-HLOOKUP(AD$3,$D$7:$P$336,$R212,FALSE)</f>
        <v>109</v>
      </c>
      <c r="AE212" s="60">
        <f ca="1">100+HLOOKUP(AE$4,$D$7:$P$336,$R212,FALSE)-HLOOKUP(AE$3,$D$7:$P$336,$R212,FALSE)</f>
        <v>108</v>
      </c>
      <c r="AF212" s="60">
        <f ca="1">100+HLOOKUP(AF$4,$D$7:$P$336,$R212,FALSE)-HLOOKUP(AF$3,$D$7:$P$336,$R212,FALSE)</f>
        <v>108</v>
      </c>
      <c r="AG212" s="60">
        <f ca="1">100+HLOOKUP(AG$4,$D$7:$P$336,$R212,FALSE)-HLOOKUP(AG$3,$D$7:$P$336,$R212,FALSE)</f>
        <v>89</v>
      </c>
      <c r="AH212" s="60" t="e">
        <f>100+HLOOKUP(AH$4,$D$7:$P$336,$R212,FALSE)-HLOOKUP(AH$3,$D$7:$P$336,$R212,FALSE)</f>
        <v>#N/A</v>
      </c>
      <c r="AI212" s="60" t="e">
        <f>100+HLOOKUP(AI$4,$D$7:$P$336,$R212,FALSE)-HLOOKUP(AI$3,$D$7:$P$336,$R212,FALSE)</f>
        <v>#N/A</v>
      </c>
      <c r="AJ212" s="60" t="e">
        <f>100+HLOOKUP(AJ$4,$D$7:$P$336,$R212,FALSE)-HLOOKUP(AJ$3,$D$7:$P$336,$R212,FALSE)</f>
        <v>#N/A</v>
      </c>
      <c r="AK212" s="60" t="e">
        <f>100+HLOOKUP(AK$4,$D$7:$P$336,$R212,FALSE)-HLOOKUP(AK$3,$D$7:$P$336,$R212,FALSE)</f>
        <v>#N/A</v>
      </c>
      <c r="AL212" s="60" t="e">
        <f>100+HLOOKUP(AL$4,$D$7:$P$336,$R212,FALSE)-HLOOKUP(AL$3,$D$7:$P$336,$R212,FALSE)</f>
        <v>#N/A</v>
      </c>
      <c r="AM212" s="60" t="e">
        <f>100+HLOOKUP(AM$4,$D$7:$P$336,$R212,FALSE)-HLOOKUP(AM$3,$D$7:$P$336,$R212,FALSE)</f>
        <v>#N/A</v>
      </c>
      <c r="AN212" s="60" t="e">
        <f>100+HLOOKUP(AN$4,$D$7:$P$336,$R212,FALSE)-HLOOKUP(AN$3,$D$7:$P$336,$R212,FALSE)</f>
        <v>#N/A</v>
      </c>
      <c r="AO212" s="60" t="e">
        <f>100+HLOOKUP(AO$4,$D$7:$P$336,$R212,FALSE)-HLOOKUP(AO$3,$D$7:$P$336,$R212,FALSE)</f>
        <v>#N/A</v>
      </c>
      <c r="AP212" s="60" t="e">
        <f>100+HLOOKUP(AP$4,$D$7:$P$336,$R212,FALSE)-HLOOKUP(AP$3,$D$7:$P$336,$R212,FALSE)</f>
        <v>#N/A</v>
      </c>
      <c r="AQ212" s="60" t="e">
        <f>100+HLOOKUP(AQ$4,$D$7:$P$336,$R212,FALSE)-HLOOKUP(AQ$3,$D$7:$P$336,$R212,FALSE)</f>
        <v>#N/A</v>
      </c>
      <c r="AV212" s="60">
        <f ca="1">AV$5-S212</f>
        <v>15.190399426796432</v>
      </c>
      <c r="AW212" s="60">
        <f ca="1">AW$5-T212</f>
        <v>6.2206505297577479</v>
      </c>
      <c r="AX212" s="60">
        <f ca="1">AX$5-U212</f>
        <v>12.775915403668051</v>
      </c>
      <c r="AY212" s="60">
        <f ca="1">AY$5-V212</f>
        <v>4.6030144015278012</v>
      </c>
      <c r="AZ212" s="60">
        <f ca="1">AZ$5-W212</f>
        <v>8.4544821725960304</v>
      </c>
      <c r="BA212" s="60">
        <f ca="1">BA$5-X212</f>
        <v>10.465059058982703</v>
      </c>
      <c r="BB212" s="60">
        <f ca="1">BB$5-Y212</f>
        <v>5.3505927273811267</v>
      </c>
      <c r="BC212" s="60">
        <f ca="1">BC$5-Z212</f>
        <v>18.437465909882164</v>
      </c>
      <c r="BD212" s="60">
        <f ca="1">BD$5-AA212</f>
        <v>8.936518664382362</v>
      </c>
      <c r="BE212" s="60">
        <f ca="1">BE$5-AB212</f>
        <v>2.829390591992194</v>
      </c>
      <c r="BF212" s="60">
        <f ca="1">BF$5-AC212</f>
        <v>-6.9826956835229197</v>
      </c>
      <c r="BG212" s="60">
        <f ca="1">BG$5-AD212</f>
        <v>-5.0147412949814907</v>
      </c>
      <c r="BH212" s="60">
        <f ca="1">BH$5-AE212</f>
        <v>-9.0454077696324333</v>
      </c>
      <c r="BI212" s="60">
        <f ca="1">BI$5-AF212</f>
        <v>-17.391494488745195</v>
      </c>
      <c r="BJ212" s="60">
        <f ca="1">BJ$5-AG212</f>
        <v>2.43955105767877</v>
      </c>
      <c r="BK212" s="60" t="e">
        <f>BK$5-AH212</f>
        <v>#N/A</v>
      </c>
      <c r="BL212" s="60" t="e">
        <f>BL$5-AI212</f>
        <v>#N/A</v>
      </c>
      <c r="BM212" s="60" t="e">
        <f>BM$5-AJ212</f>
        <v>#N/A</v>
      </c>
      <c r="BN212" s="60" t="e">
        <f>BN$5-AK212</f>
        <v>#N/A</v>
      </c>
      <c r="BO212" s="60" t="e">
        <f>BO$5-AL212</f>
        <v>#N/A</v>
      </c>
      <c r="BP212" s="60" t="e">
        <f>BP$5-AM212</f>
        <v>#N/A</v>
      </c>
      <c r="BQ212" s="60" t="e">
        <f>BQ$5-AN212</f>
        <v>#N/A</v>
      </c>
      <c r="BR212" s="60" t="e">
        <f>BR$5-AO212</f>
        <v>#N/A</v>
      </c>
      <c r="BS212" s="60" t="e">
        <f>BS$5-AP212</f>
        <v>#N/A</v>
      </c>
      <c r="BT212" s="60" t="e">
        <f>BT$5-AQ212</f>
        <v>#N/A</v>
      </c>
      <c r="BV212" s="60" cm="1">
        <f t="array" aca="1" ref="BV212" ca="1">SQRT(SUMSQ(_xlfn._xlws.FILTER(AV212:BT212,ISNUMBER(AV212:BT212)))/COUNT(_xlfn._xlws.FILTER(AV212:BT212,ISNUMBER(AV212:BT212))))</f>
        <v>10.183085921362123</v>
      </c>
    </row>
    <row r="213" spans="3:74" x14ac:dyDescent="0.2">
      <c r="C213" s="60" t="s">
        <v>309</v>
      </c>
      <c r="D213" s="60">
        <v>0</v>
      </c>
      <c r="E213" s="60">
        <v>-1.629</v>
      </c>
      <c r="F213" s="60">
        <v>-3.2589999999999999</v>
      </c>
      <c r="G213" s="60">
        <v>-4.8879999999999999</v>
      </c>
      <c r="H213" s="60">
        <v>-6.5179999999999998</v>
      </c>
      <c r="I213" s="60">
        <v>-8.1470000000000002</v>
      </c>
      <c r="J213" s="60">
        <v>-9.7759999999999998</v>
      </c>
      <c r="K213" s="60">
        <v>-11.406000000000001</v>
      </c>
      <c r="L213" s="60">
        <v>-13.035</v>
      </c>
      <c r="M213" s="60">
        <v>4.8879999999999999</v>
      </c>
      <c r="N213" s="60">
        <v>3.2589999999999999</v>
      </c>
      <c r="O213" s="60">
        <v>1.629</v>
      </c>
      <c r="P213" s="60">
        <v>0</v>
      </c>
      <c r="R213" s="61">
        <f>(ROW(R213)-ROW($C$6))</f>
        <v>207</v>
      </c>
      <c r="S213" s="60">
        <f ca="1">100+HLOOKUP(S$4,$D$7:$P$336,$R213,FALSE)-HLOOKUP(S$3,$D$7:$P$336,$R213,FALSE)</f>
        <v>88.593999999999994</v>
      </c>
      <c r="T213" s="60">
        <f ca="1">100+HLOOKUP(T$4,$D$7:$P$336,$R213,FALSE)-HLOOKUP(T$3,$D$7:$P$336,$R213,FALSE)</f>
        <v>88.594999999999999</v>
      </c>
      <c r="U213" s="60">
        <f ca="1">100+HLOOKUP(U$4,$D$7:$P$336,$R213,FALSE)-HLOOKUP(U$3,$D$7:$P$336,$R213,FALSE)</f>
        <v>88.594000000000008</v>
      </c>
      <c r="V213" s="60">
        <f ca="1">100+HLOOKUP(V$4,$D$7:$P$336,$R213,FALSE)-HLOOKUP(V$3,$D$7:$P$336,$R213,FALSE)</f>
        <v>88.593999999999994</v>
      </c>
      <c r="W213" s="60">
        <f ca="1">100+HLOOKUP(W$4,$D$7:$P$336,$R213,FALSE)-HLOOKUP(W$3,$D$7:$P$336,$R213,FALSE)</f>
        <v>88.593999999999994</v>
      </c>
      <c r="X213" s="60">
        <f ca="1">100+HLOOKUP(X$4,$D$7:$P$336,$R213,FALSE)-HLOOKUP(X$3,$D$7:$P$336,$R213,FALSE)</f>
        <v>88.593999999999994</v>
      </c>
      <c r="Y213" s="60">
        <f ca="1">100+HLOOKUP(Y$4,$D$7:$P$336,$R213,FALSE)-HLOOKUP(Y$3,$D$7:$P$336,$R213,FALSE)</f>
        <v>88.594999999999999</v>
      </c>
      <c r="Z213" s="60">
        <f ca="1">100+HLOOKUP(Z$4,$D$7:$P$336,$R213,FALSE)-HLOOKUP(Z$3,$D$7:$P$336,$R213,FALSE)</f>
        <v>88.594000000000008</v>
      </c>
      <c r="AA213" s="60">
        <f ca="1">100+HLOOKUP(AA$4,$D$7:$P$336,$R213,FALSE)-HLOOKUP(AA$3,$D$7:$P$336,$R213,FALSE)</f>
        <v>88.593999999999994</v>
      </c>
      <c r="AB213" s="60">
        <f ca="1">100+HLOOKUP(AB$4,$D$7:$P$336,$R213,FALSE)-HLOOKUP(AB$3,$D$7:$P$336,$R213,FALSE)</f>
        <v>88.593999999999994</v>
      </c>
      <c r="AC213" s="60">
        <f ca="1">100+HLOOKUP(AC$4,$D$7:$P$336,$R213,FALSE)-HLOOKUP(AC$3,$D$7:$P$336,$R213,FALSE)</f>
        <v>108.14700000000001</v>
      </c>
      <c r="AD213" s="60">
        <f ca="1">100+HLOOKUP(AD$4,$D$7:$P$336,$R213,FALSE)-HLOOKUP(AD$3,$D$7:$P$336,$R213,FALSE)</f>
        <v>108.14700000000001</v>
      </c>
      <c r="AE213" s="60">
        <f ca="1">100+HLOOKUP(AE$4,$D$7:$P$336,$R213,FALSE)-HLOOKUP(AE$3,$D$7:$P$336,$R213,FALSE)</f>
        <v>108.14699999999999</v>
      </c>
      <c r="AF213" s="60">
        <f ca="1">100+HLOOKUP(AF$4,$D$7:$P$336,$R213,FALSE)-HLOOKUP(AF$3,$D$7:$P$336,$R213,FALSE)</f>
        <v>108.14699999999999</v>
      </c>
      <c r="AG213" s="60">
        <f ca="1">100+HLOOKUP(AG$4,$D$7:$P$336,$R213,FALSE)-HLOOKUP(AG$3,$D$7:$P$336,$R213,FALSE)</f>
        <v>88.593999999999994</v>
      </c>
      <c r="AH213" s="60" t="e">
        <f>100+HLOOKUP(AH$4,$D$7:$P$336,$R213,FALSE)-HLOOKUP(AH$3,$D$7:$P$336,$R213,FALSE)</f>
        <v>#N/A</v>
      </c>
      <c r="AI213" s="60" t="e">
        <f>100+HLOOKUP(AI$4,$D$7:$P$336,$R213,FALSE)-HLOOKUP(AI$3,$D$7:$P$336,$R213,FALSE)</f>
        <v>#N/A</v>
      </c>
      <c r="AJ213" s="60" t="e">
        <f>100+HLOOKUP(AJ$4,$D$7:$P$336,$R213,FALSE)-HLOOKUP(AJ$3,$D$7:$P$336,$R213,FALSE)</f>
        <v>#N/A</v>
      </c>
      <c r="AK213" s="60" t="e">
        <f>100+HLOOKUP(AK$4,$D$7:$P$336,$R213,FALSE)-HLOOKUP(AK$3,$D$7:$P$336,$R213,FALSE)</f>
        <v>#N/A</v>
      </c>
      <c r="AL213" s="60" t="e">
        <f>100+HLOOKUP(AL$4,$D$7:$P$336,$R213,FALSE)-HLOOKUP(AL$3,$D$7:$P$336,$R213,FALSE)</f>
        <v>#N/A</v>
      </c>
      <c r="AM213" s="60" t="e">
        <f>100+HLOOKUP(AM$4,$D$7:$P$336,$R213,FALSE)-HLOOKUP(AM$3,$D$7:$P$336,$R213,FALSE)</f>
        <v>#N/A</v>
      </c>
      <c r="AN213" s="60" t="e">
        <f>100+HLOOKUP(AN$4,$D$7:$P$336,$R213,FALSE)-HLOOKUP(AN$3,$D$7:$P$336,$R213,FALSE)</f>
        <v>#N/A</v>
      </c>
      <c r="AO213" s="60" t="e">
        <f>100+HLOOKUP(AO$4,$D$7:$P$336,$R213,FALSE)-HLOOKUP(AO$3,$D$7:$P$336,$R213,FALSE)</f>
        <v>#N/A</v>
      </c>
      <c r="AP213" s="60" t="e">
        <f>100+HLOOKUP(AP$4,$D$7:$P$336,$R213,FALSE)-HLOOKUP(AP$3,$D$7:$P$336,$R213,FALSE)</f>
        <v>#N/A</v>
      </c>
      <c r="AQ213" s="60" t="e">
        <f>100+HLOOKUP(AQ$4,$D$7:$P$336,$R213,FALSE)-HLOOKUP(AQ$3,$D$7:$P$336,$R213,FALSE)</f>
        <v>#N/A</v>
      </c>
      <c r="AV213" s="60">
        <f ca="1">AV$5-S213</f>
        <v>14.596399426796438</v>
      </c>
      <c r="AW213" s="60">
        <f ca="1">AW$5-T213</f>
        <v>5.625650529757749</v>
      </c>
      <c r="AX213" s="60">
        <f ca="1">AX$5-U213</f>
        <v>13.181915403668043</v>
      </c>
      <c r="AY213" s="60">
        <f ca="1">AY$5-V213</f>
        <v>5.0090144015278071</v>
      </c>
      <c r="AZ213" s="60">
        <f ca="1">AZ$5-W213</f>
        <v>8.8604821725960363</v>
      </c>
      <c r="BA213" s="60">
        <f ca="1">BA$5-X213</f>
        <v>9.8710590589827092</v>
      </c>
      <c r="BB213" s="60">
        <f ca="1">BB$5-Y213</f>
        <v>4.7555927273811278</v>
      </c>
      <c r="BC213" s="60">
        <f ca="1">BC$5-Z213</f>
        <v>18.843465909882156</v>
      </c>
      <c r="BD213" s="60">
        <f ca="1">BD$5-AA213</f>
        <v>9.3425186643823679</v>
      </c>
      <c r="BE213" s="60">
        <f ca="1">BE$5-AB213</f>
        <v>3.2353905919921999</v>
      </c>
      <c r="BF213" s="60">
        <f ca="1">BF$5-AC213</f>
        <v>-7.1296956835229253</v>
      </c>
      <c r="BG213" s="60">
        <f ca="1">BG$5-AD213</f>
        <v>-4.1617412949814963</v>
      </c>
      <c r="BH213" s="60">
        <f ca="1">BH$5-AE213</f>
        <v>-9.1924077696324247</v>
      </c>
      <c r="BI213" s="60">
        <f ca="1">BI$5-AF213</f>
        <v>-17.538494488745187</v>
      </c>
      <c r="BJ213" s="60">
        <f ca="1">BJ$5-AG213</f>
        <v>2.8455510576787759</v>
      </c>
      <c r="BK213" s="60" t="e">
        <f>BK$5-AH213</f>
        <v>#N/A</v>
      </c>
      <c r="BL213" s="60" t="e">
        <f>BL$5-AI213</f>
        <v>#N/A</v>
      </c>
      <c r="BM213" s="60" t="e">
        <f>BM$5-AJ213</f>
        <v>#N/A</v>
      </c>
      <c r="BN213" s="60" t="e">
        <f>BN$5-AK213</f>
        <v>#N/A</v>
      </c>
      <c r="BO213" s="60" t="e">
        <f>BO$5-AL213</f>
        <v>#N/A</v>
      </c>
      <c r="BP213" s="60" t="e">
        <f>BP$5-AM213</f>
        <v>#N/A</v>
      </c>
      <c r="BQ213" s="60" t="e">
        <f>BQ$5-AN213</f>
        <v>#N/A</v>
      </c>
      <c r="BR213" s="60" t="e">
        <f>BR$5-AO213</f>
        <v>#N/A</v>
      </c>
      <c r="BS213" s="60" t="e">
        <f>BS$5-AP213</f>
        <v>#N/A</v>
      </c>
      <c r="BT213" s="60" t="e">
        <f>BT$5-AQ213</f>
        <v>#N/A</v>
      </c>
      <c r="BV213" s="60" cm="1">
        <f t="array" aca="1" ref="BV213" ca="1">SQRT(SUMSQ(_xlfn._xlws.FILTER(AV213:BT213,ISNUMBER(AV213:BT213)))/COUNT(_xlfn._xlws.FILTER(AV213:BT213,ISNUMBER(AV213:BT213))))</f>
        <v>10.208797280894663</v>
      </c>
    </row>
    <row r="214" spans="3:74" x14ac:dyDescent="0.2">
      <c r="C214" s="60" t="s">
        <v>220</v>
      </c>
      <c r="D214" s="60">
        <v>0</v>
      </c>
      <c r="E214" s="60">
        <v>2</v>
      </c>
      <c r="F214" s="60">
        <v>2</v>
      </c>
      <c r="G214" s="60">
        <v>4</v>
      </c>
      <c r="H214" s="60">
        <v>-14</v>
      </c>
      <c r="I214" s="60">
        <v>-12</v>
      </c>
      <c r="J214" s="60">
        <v>-12</v>
      </c>
      <c r="K214" s="60">
        <v>-10</v>
      </c>
      <c r="L214" s="60">
        <v>-8</v>
      </c>
      <c r="M214" s="60">
        <v>-6</v>
      </c>
      <c r="N214" s="60">
        <v>-4</v>
      </c>
      <c r="O214" s="60">
        <v>-2</v>
      </c>
      <c r="P214" s="60">
        <v>0</v>
      </c>
      <c r="R214" s="61">
        <f>(ROW(R214)-ROW($C$6))</f>
        <v>208</v>
      </c>
      <c r="S214" s="60">
        <f ca="1">100+HLOOKUP(S$4,$D$7:$P$336,$R214,FALSE)-HLOOKUP(S$3,$D$7:$P$336,$R214,FALSE)</f>
        <v>92</v>
      </c>
      <c r="T214" s="60">
        <f ca="1">100+HLOOKUP(T$4,$D$7:$P$336,$R214,FALSE)-HLOOKUP(T$3,$D$7:$P$336,$R214,FALSE)</f>
        <v>90</v>
      </c>
      <c r="U214" s="60">
        <f ca="1">100+HLOOKUP(U$4,$D$7:$P$336,$R214,FALSE)-HLOOKUP(U$3,$D$7:$P$336,$R214,FALSE)</f>
        <v>90</v>
      </c>
      <c r="V214" s="60">
        <f ca="1">100+HLOOKUP(V$4,$D$7:$P$336,$R214,FALSE)-HLOOKUP(V$3,$D$7:$P$336,$R214,FALSE)</f>
        <v>92</v>
      </c>
      <c r="W214" s="60">
        <f ca="1">100+HLOOKUP(W$4,$D$7:$P$336,$R214,FALSE)-HLOOKUP(W$3,$D$7:$P$336,$R214,FALSE)</f>
        <v>90</v>
      </c>
      <c r="X214" s="60">
        <f ca="1">100+HLOOKUP(X$4,$D$7:$P$336,$R214,FALSE)-HLOOKUP(X$3,$D$7:$P$336,$R214,FALSE)</f>
        <v>92</v>
      </c>
      <c r="Y214" s="60">
        <f ca="1">100+HLOOKUP(Y$4,$D$7:$P$336,$R214,FALSE)-HLOOKUP(Y$3,$D$7:$P$336,$R214,FALSE)</f>
        <v>90</v>
      </c>
      <c r="Z214" s="60">
        <f ca="1">100+HLOOKUP(Z$4,$D$7:$P$336,$R214,FALSE)-HLOOKUP(Z$3,$D$7:$P$336,$R214,FALSE)</f>
        <v>90</v>
      </c>
      <c r="AA214" s="60">
        <f ca="1">100+HLOOKUP(AA$4,$D$7:$P$336,$R214,FALSE)-HLOOKUP(AA$3,$D$7:$P$336,$R214,FALSE)</f>
        <v>92</v>
      </c>
      <c r="AB214" s="60">
        <f ca="1">100+HLOOKUP(AB$4,$D$7:$P$336,$R214,FALSE)-HLOOKUP(AB$3,$D$7:$P$336,$R214,FALSE)</f>
        <v>90</v>
      </c>
      <c r="AC214" s="60">
        <f ca="1">100+HLOOKUP(AC$4,$D$7:$P$336,$R214,FALSE)-HLOOKUP(AC$3,$D$7:$P$336,$R214,FALSE)</f>
        <v>92</v>
      </c>
      <c r="AD214" s="60">
        <f ca="1">100+HLOOKUP(AD$4,$D$7:$P$336,$R214,FALSE)-HLOOKUP(AD$3,$D$7:$P$336,$R214,FALSE)</f>
        <v>112</v>
      </c>
      <c r="AE214" s="60">
        <f ca="1">100+HLOOKUP(AE$4,$D$7:$P$336,$R214,FALSE)-HLOOKUP(AE$3,$D$7:$P$336,$R214,FALSE)</f>
        <v>114</v>
      </c>
      <c r="AF214" s="60">
        <f ca="1">100+HLOOKUP(AF$4,$D$7:$P$336,$R214,FALSE)-HLOOKUP(AF$3,$D$7:$P$336,$R214,FALSE)</f>
        <v>112</v>
      </c>
      <c r="AG214" s="60">
        <f ca="1">100+HLOOKUP(AG$4,$D$7:$P$336,$R214,FALSE)-HLOOKUP(AG$3,$D$7:$P$336,$R214,FALSE)</f>
        <v>92</v>
      </c>
      <c r="AH214" s="60" t="e">
        <f>100+HLOOKUP(AH$4,$D$7:$P$336,$R214,FALSE)-HLOOKUP(AH$3,$D$7:$P$336,$R214,FALSE)</f>
        <v>#N/A</v>
      </c>
      <c r="AI214" s="60" t="e">
        <f>100+HLOOKUP(AI$4,$D$7:$P$336,$R214,FALSE)-HLOOKUP(AI$3,$D$7:$P$336,$R214,FALSE)</f>
        <v>#N/A</v>
      </c>
      <c r="AJ214" s="60" t="e">
        <f>100+HLOOKUP(AJ$4,$D$7:$P$336,$R214,FALSE)-HLOOKUP(AJ$3,$D$7:$P$336,$R214,FALSE)</f>
        <v>#N/A</v>
      </c>
      <c r="AK214" s="60" t="e">
        <f>100+HLOOKUP(AK$4,$D$7:$P$336,$R214,FALSE)-HLOOKUP(AK$3,$D$7:$P$336,$R214,FALSE)</f>
        <v>#N/A</v>
      </c>
      <c r="AL214" s="60" t="e">
        <f>100+HLOOKUP(AL$4,$D$7:$P$336,$R214,FALSE)-HLOOKUP(AL$3,$D$7:$P$336,$R214,FALSE)</f>
        <v>#N/A</v>
      </c>
      <c r="AM214" s="60" t="e">
        <f>100+HLOOKUP(AM$4,$D$7:$P$336,$R214,FALSE)-HLOOKUP(AM$3,$D$7:$P$336,$R214,FALSE)</f>
        <v>#N/A</v>
      </c>
      <c r="AN214" s="60" t="e">
        <f>100+HLOOKUP(AN$4,$D$7:$P$336,$R214,FALSE)-HLOOKUP(AN$3,$D$7:$P$336,$R214,FALSE)</f>
        <v>#N/A</v>
      </c>
      <c r="AO214" s="60" t="e">
        <f>100+HLOOKUP(AO$4,$D$7:$P$336,$R214,FALSE)-HLOOKUP(AO$3,$D$7:$P$336,$R214,FALSE)</f>
        <v>#N/A</v>
      </c>
      <c r="AP214" s="60" t="e">
        <f>100+HLOOKUP(AP$4,$D$7:$P$336,$R214,FALSE)-HLOOKUP(AP$3,$D$7:$P$336,$R214,FALSE)</f>
        <v>#N/A</v>
      </c>
      <c r="AQ214" s="60" t="e">
        <f>100+HLOOKUP(AQ$4,$D$7:$P$336,$R214,FALSE)-HLOOKUP(AQ$3,$D$7:$P$336,$R214,FALSE)</f>
        <v>#N/A</v>
      </c>
      <c r="AV214" s="60">
        <f ca="1">AV$5-S214</f>
        <v>11.190399426796432</v>
      </c>
      <c r="AW214" s="60">
        <f ca="1">AW$5-T214</f>
        <v>4.2206505297577479</v>
      </c>
      <c r="AX214" s="60">
        <f ca="1">AX$5-U214</f>
        <v>11.775915403668051</v>
      </c>
      <c r="AY214" s="60">
        <f ca="1">AY$5-V214</f>
        <v>1.6030144015278012</v>
      </c>
      <c r="AZ214" s="60">
        <f ca="1">AZ$5-W214</f>
        <v>7.4544821725960304</v>
      </c>
      <c r="BA214" s="60">
        <f ca="1">BA$5-X214</f>
        <v>6.4650590589827033</v>
      </c>
      <c r="BB214" s="60">
        <f ca="1">BB$5-Y214</f>
        <v>3.3505927273811267</v>
      </c>
      <c r="BC214" s="60">
        <f ca="1">BC$5-Z214</f>
        <v>17.437465909882164</v>
      </c>
      <c r="BD214" s="60">
        <f ca="1">BD$5-AA214</f>
        <v>5.936518664382362</v>
      </c>
      <c r="BE214" s="60">
        <f ca="1">BE$5-AB214</f>
        <v>1.829390591992194</v>
      </c>
      <c r="BF214" s="60">
        <f ca="1">BF$5-AC214</f>
        <v>9.0173043164770803</v>
      </c>
      <c r="BG214" s="60">
        <f ca="1">BG$5-AD214</f>
        <v>-8.0147412949814907</v>
      </c>
      <c r="BH214" s="60">
        <f ca="1">BH$5-AE214</f>
        <v>-15.045407769632433</v>
      </c>
      <c r="BI214" s="60">
        <f ca="1">BI$5-AF214</f>
        <v>-21.391494488745195</v>
      </c>
      <c r="BJ214" s="60">
        <f ca="1">BJ$5-AG214</f>
        <v>-0.56044894232122999</v>
      </c>
      <c r="BK214" s="60" t="e">
        <f>BK$5-AH214</f>
        <v>#N/A</v>
      </c>
      <c r="BL214" s="60" t="e">
        <f>BL$5-AI214</f>
        <v>#N/A</v>
      </c>
      <c r="BM214" s="60" t="e">
        <f>BM$5-AJ214</f>
        <v>#N/A</v>
      </c>
      <c r="BN214" s="60" t="e">
        <f>BN$5-AK214</f>
        <v>#N/A</v>
      </c>
      <c r="BO214" s="60" t="e">
        <f>BO$5-AL214</f>
        <v>#N/A</v>
      </c>
      <c r="BP214" s="60" t="e">
        <f>BP$5-AM214</f>
        <v>#N/A</v>
      </c>
      <c r="BQ214" s="60" t="e">
        <f>BQ$5-AN214</f>
        <v>#N/A</v>
      </c>
      <c r="BR214" s="60" t="e">
        <f>BR$5-AO214</f>
        <v>#N/A</v>
      </c>
      <c r="BS214" s="60" t="e">
        <f>BS$5-AP214</f>
        <v>#N/A</v>
      </c>
      <c r="BT214" s="60" t="e">
        <f>BT$5-AQ214</f>
        <v>#N/A</v>
      </c>
      <c r="BV214" s="60" cm="1">
        <f t="array" aca="1" ref="BV214" ca="1">SQRT(SUMSQ(_xlfn._xlws.FILTER(AV214:BT214,ISNUMBER(AV214:BT214)))/COUNT(_xlfn._xlws.FILTER(AV214:BT214,ISNUMBER(AV214:BT214))))</f>
        <v>10.215510966035128</v>
      </c>
    </row>
    <row r="215" spans="3:74" x14ac:dyDescent="0.2">
      <c r="C215" s="60" t="s">
        <v>443</v>
      </c>
      <c r="D215" s="60">
        <v>0</v>
      </c>
      <c r="E215" s="60">
        <v>-6</v>
      </c>
      <c r="F215" s="60">
        <v>-4</v>
      </c>
      <c r="G215" s="60">
        <v>-10</v>
      </c>
      <c r="H215" s="60">
        <v>-8</v>
      </c>
      <c r="I215" s="60">
        <v>-14</v>
      </c>
      <c r="J215" s="60">
        <v>-12</v>
      </c>
      <c r="K215" s="60">
        <v>-18</v>
      </c>
      <c r="L215" s="60">
        <v>-16</v>
      </c>
      <c r="M215" s="60">
        <v>-6</v>
      </c>
      <c r="N215" s="60">
        <v>4</v>
      </c>
      <c r="O215" s="60">
        <v>-2</v>
      </c>
      <c r="P215" s="60">
        <v>0</v>
      </c>
      <c r="R215" s="61">
        <f>(ROW(R215)-ROW($C$6))</f>
        <v>209</v>
      </c>
      <c r="S215" s="60">
        <f ca="1">100+HLOOKUP(S$4,$D$7:$P$336,$R215,FALSE)-HLOOKUP(S$3,$D$7:$P$336,$R215,FALSE)</f>
        <v>98</v>
      </c>
      <c r="T215" s="60">
        <f ca="1">100+HLOOKUP(T$4,$D$7:$P$336,$R215,FALSE)-HLOOKUP(T$3,$D$7:$P$336,$R215,FALSE)</f>
        <v>90</v>
      </c>
      <c r="U215" s="60">
        <f ca="1">100+HLOOKUP(U$4,$D$7:$P$336,$R215,FALSE)-HLOOKUP(U$3,$D$7:$P$336,$R215,FALSE)</f>
        <v>90</v>
      </c>
      <c r="V215" s="60">
        <f ca="1">100+HLOOKUP(V$4,$D$7:$P$336,$R215,FALSE)-HLOOKUP(V$3,$D$7:$P$336,$R215,FALSE)</f>
        <v>82</v>
      </c>
      <c r="W215" s="60">
        <f ca="1">100+HLOOKUP(W$4,$D$7:$P$336,$R215,FALSE)-HLOOKUP(W$3,$D$7:$P$336,$R215,FALSE)</f>
        <v>82</v>
      </c>
      <c r="X215" s="60">
        <f ca="1">100+HLOOKUP(X$4,$D$7:$P$336,$R215,FALSE)-HLOOKUP(X$3,$D$7:$P$336,$R215,FALSE)</f>
        <v>98</v>
      </c>
      <c r="Y215" s="60">
        <f ca="1">100+HLOOKUP(Y$4,$D$7:$P$336,$R215,FALSE)-HLOOKUP(Y$3,$D$7:$P$336,$R215,FALSE)</f>
        <v>90</v>
      </c>
      <c r="Z215" s="60">
        <f ca="1">100+HLOOKUP(Z$4,$D$7:$P$336,$R215,FALSE)-HLOOKUP(Z$3,$D$7:$P$336,$R215,FALSE)</f>
        <v>90</v>
      </c>
      <c r="AA215" s="60">
        <f ca="1">100+HLOOKUP(AA$4,$D$7:$P$336,$R215,FALSE)-HLOOKUP(AA$3,$D$7:$P$336,$R215,FALSE)</f>
        <v>82</v>
      </c>
      <c r="AB215" s="60">
        <f ca="1">100+HLOOKUP(AB$4,$D$7:$P$336,$R215,FALSE)-HLOOKUP(AB$3,$D$7:$P$336,$R215,FALSE)</f>
        <v>82</v>
      </c>
      <c r="AC215" s="60">
        <f ca="1">100+HLOOKUP(AC$4,$D$7:$P$336,$R215,FALSE)-HLOOKUP(AC$3,$D$7:$P$336,$R215,FALSE)</f>
        <v>98</v>
      </c>
      <c r="AD215" s="60">
        <f ca="1">100+HLOOKUP(AD$4,$D$7:$P$336,$R215,FALSE)-HLOOKUP(AD$3,$D$7:$P$336,$R215,FALSE)</f>
        <v>106</v>
      </c>
      <c r="AE215" s="60">
        <f ca="1">100+HLOOKUP(AE$4,$D$7:$P$336,$R215,FALSE)-HLOOKUP(AE$3,$D$7:$P$336,$R215,FALSE)</f>
        <v>106</v>
      </c>
      <c r="AF215" s="60">
        <f ca="1">100+HLOOKUP(AF$4,$D$7:$P$336,$R215,FALSE)-HLOOKUP(AF$3,$D$7:$P$336,$R215,FALSE)</f>
        <v>106</v>
      </c>
      <c r="AG215" s="60">
        <f ca="1">100+HLOOKUP(AG$4,$D$7:$P$336,$R215,FALSE)-HLOOKUP(AG$3,$D$7:$P$336,$R215,FALSE)</f>
        <v>82</v>
      </c>
      <c r="AH215" s="60" t="e">
        <f>100+HLOOKUP(AH$4,$D$7:$P$336,$R215,FALSE)-HLOOKUP(AH$3,$D$7:$P$336,$R215,FALSE)</f>
        <v>#N/A</v>
      </c>
      <c r="AI215" s="60" t="e">
        <f>100+HLOOKUP(AI$4,$D$7:$P$336,$R215,FALSE)-HLOOKUP(AI$3,$D$7:$P$336,$R215,FALSE)</f>
        <v>#N/A</v>
      </c>
      <c r="AJ215" s="60" t="e">
        <f>100+HLOOKUP(AJ$4,$D$7:$P$336,$R215,FALSE)-HLOOKUP(AJ$3,$D$7:$P$336,$R215,FALSE)</f>
        <v>#N/A</v>
      </c>
      <c r="AK215" s="60" t="e">
        <f>100+HLOOKUP(AK$4,$D$7:$P$336,$R215,FALSE)-HLOOKUP(AK$3,$D$7:$P$336,$R215,FALSE)</f>
        <v>#N/A</v>
      </c>
      <c r="AL215" s="60" t="e">
        <f>100+HLOOKUP(AL$4,$D$7:$P$336,$R215,FALSE)-HLOOKUP(AL$3,$D$7:$P$336,$R215,FALSE)</f>
        <v>#N/A</v>
      </c>
      <c r="AM215" s="60" t="e">
        <f>100+HLOOKUP(AM$4,$D$7:$P$336,$R215,FALSE)-HLOOKUP(AM$3,$D$7:$P$336,$R215,FALSE)</f>
        <v>#N/A</v>
      </c>
      <c r="AN215" s="60" t="e">
        <f>100+HLOOKUP(AN$4,$D$7:$P$336,$R215,FALSE)-HLOOKUP(AN$3,$D$7:$P$336,$R215,FALSE)</f>
        <v>#N/A</v>
      </c>
      <c r="AO215" s="60" t="e">
        <f>100+HLOOKUP(AO$4,$D$7:$P$336,$R215,FALSE)-HLOOKUP(AO$3,$D$7:$P$336,$R215,FALSE)</f>
        <v>#N/A</v>
      </c>
      <c r="AP215" s="60" t="e">
        <f>100+HLOOKUP(AP$4,$D$7:$P$336,$R215,FALSE)-HLOOKUP(AP$3,$D$7:$P$336,$R215,FALSE)</f>
        <v>#N/A</v>
      </c>
      <c r="AQ215" s="60" t="e">
        <f>100+HLOOKUP(AQ$4,$D$7:$P$336,$R215,FALSE)-HLOOKUP(AQ$3,$D$7:$P$336,$R215,FALSE)</f>
        <v>#N/A</v>
      </c>
      <c r="AV215" s="60">
        <f ca="1">AV$5-S215</f>
        <v>5.1903994267964322</v>
      </c>
      <c r="AW215" s="60">
        <f ca="1">AW$5-T215</f>
        <v>4.2206505297577479</v>
      </c>
      <c r="AX215" s="60">
        <f ca="1">AX$5-U215</f>
        <v>11.775915403668051</v>
      </c>
      <c r="AY215" s="60">
        <f ca="1">AY$5-V215</f>
        <v>11.603014401527801</v>
      </c>
      <c r="AZ215" s="60">
        <f ca="1">AZ$5-W215</f>
        <v>15.45448217259603</v>
      </c>
      <c r="BA215" s="60">
        <f ca="1">BA$5-X215</f>
        <v>0.46505905898270328</v>
      </c>
      <c r="BB215" s="60">
        <f ca="1">BB$5-Y215</f>
        <v>3.3505927273811267</v>
      </c>
      <c r="BC215" s="60">
        <f ca="1">BC$5-Z215</f>
        <v>17.437465909882164</v>
      </c>
      <c r="BD215" s="60">
        <f ca="1">BD$5-AA215</f>
        <v>15.936518664382362</v>
      </c>
      <c r="BE215" s="60">
        <f ca="1">BE$5-AB215</f>
        <v>9.829390591992194</v>
      </c>
      <c r="BF215" s="60">
        <f ca="1">BF$5-AC215</f>
        <v>3.0173043164770803</v>
      </c>
      <c r="BG215" s="60">
        <f ca="1">BG$5-AD215</f>
        <v>-2.0147412949814907</v>
      </c>
      <c r="BH215" s="60">
        <f ca="1">BH$5-AE215</f>
        <v>-7.0454077696324333</v>
      </c>
      <c r="BI215" s="60">
        <f ca="1">BI$5-AF215</f>
        <v>-15.391494488745195</v>
      </c>
      <c r="BJ215" s="60">
        <f ca="1">BJ$5-AG215</f>
        <v>9.43955105767877</v>
      </c>
      <c r="BK215" s="60" t="e">
        <f>BK$5-AH215</f>
        <v>#N/A</v>
      </c>
      <c r="BL215" s="60" t="e">
        <f>BL$5-AI215</f>
        <v>#N/A</v>
      </c>
      <c r="BM215" s="60" t="e">
        <f>BM$5-AJ215</f>
        <v>#N/A</v>
      </c>
      <c r="BN215" s="60" t="e">
        <f>BN$5-AK215</f>
        <v>#N/A</v>
      </c>
      <c r="BO215" s="60" t="e">
        <f>BO$5-AL215</f>
        <v>#N/A</v>
      </c>
      <c r="BP215" s="60" t="e">
        <f>BP$5-AM215</f>
        <v>#N/A</v>
      </c>
      <c r="BQ215" s="60" t="e">
        <f>BQ$5-AN215</f>
        <v>#N/A</v>
      </c>
      <c r="BR215" s="60" t="e">
        <f>BR$5-AO215</f>
        <v>#N/A</v>
      </c>
      <c r="BS215" s="60" t="e">
        <f>BS$5-AP215</f>
        <v>#N/A</v>
      </c>
      <c r="BT215" s="60" t="e">
        <f>BT$5-AQ215</f>
        <v>#N/A</v>
      </c>
      <c r="BV215" s="60" cm="1">
        <f t="array" aca="1" ref="BV215" ca="1">SQRT(SUMSQ(_xlfn._xlws.FILTER(AV215:BT215,ISNUMBER(AV215:BT215)))/COUNT(_xlfn._xlws.FILTER(AV215:BT215,ISNUMBER(AV215:BT215))))</f>
        <v>10.365967084059374</v>
      </c>
    </row>
    <row r="216" spans="3:74" x14ac:dyDescent="0.2">
      <c r="C216" s="60" t="s">
        <v>260</v>
      </c>
      <c r="D216" s="60">
        <v>0</v>
      </c>
      <c r="E216" s="60">
        <v>1.9550000000000001</v>
      </c>
      <c r="F216" s="60">
        <v>-3.0449999999999999</v>
      </c>
      <c r="G216" s="60">
        <v>-1.0900000000000001</v>
      </c>
      <c r="H216" s="60">
        <v>0.86499999999999999</v>
      </c>
      <c r="I216" s="60">
        <v>2.82</v>
      </c>
      <c r="J216" s="60">
        <v>4.7750000000000004</v>
      </c>
      <c r="K216" s="60">
        <v>-14.776</v>
      </c>
      <c r="L216" s="60">
        <v>-12.821</v>
      </c>
      <c r="M216" s="60">
        <v>1.0900000000000001</v>
      </c>
      <c r="N216" s="60">
        <v>3.0449999999999999</v>
      </c>
      <c r="O216" s="60">
        <v>5</v>
      </c>
      <c r="P216" s="60">
        <v>0</v>
      </c>
      <c r="R216" s="61">
        <f>(ROW(R216)-ROW($C$6))</f>
        <v>210</v>
      </c>
      <c r="S216" s="60">
        <f ca="1">100+HLOOKUP(S$4,$D$7:$P$336,$R216,FALSE)-HLOOKUP(S$3,$D$7:$P$336,$R216,FALSE)</f>
        <v>99.774999999999991</v>
      </c>
      <c r="T216" s="60">
        <f ca="1">100+HLOOKUP(T$4,$D$7:$P$336,$R216,FALSE)-HLOOKUP(T$3,$D$7:$P$336,$R216,FALSE)</f>
        <v>99.775000000000006</v>
      </c>
      <c r="U216" s="60">
        <f ca="1">100+HLOOKUP(U$4,$D$7:$P$336,$R216,FALSE)-HLOOKUP(U$3,$D$7:$P$336,$R216,FALSE)</f>
        <v>85.224000000000004</v>
      </c>
      <c r="V216" s="60">
        <f ca="1">100+HLOOKUP(V$4,$D$7:$P$336,$R216,FALSE)-HLOOKUP(V$3,$D$7:$P$336,$R216,FALSE)</f>
        <v>99.774999999999991</v>
      </c>
      <c r="W216" s="60">
        <f ca="1">100+HLOOKUP(W$4,$D$7:$P$336,$R216,FALSE)-HLOOKUP(W$3,$D$7:$P$336,$R216,FALSE)</f>
        <v>85.224000000000004</v>
      </c>
      <c r="X216" s="60">
        <f ca="1">100+HLOOKUP(X$4,$D$7:$P$336,$R216,FALSE)-HLOOKUP(X$3,$D$7:$P$336,$R216,FALSE)</f>
        <v>99.774999999999991</v>
      </c>
      <c r="Y216" s="60">
        <f ca="1">100+HLOOKUP(Y$4,$D$7:$P$336,$R216,FALSE)-HLOOKUP(Y$3,$D$7:$P$336,$R216,FALSE)</f>
        <v>99.775000000000006</v>
      </c>
      <c r="Z216" s="60">
        <f ca="1">100+HLOOKUP(Z$4,$D$7:$P$336,$R216,FALSE)-HLOOKUP(Z$3,$D$7:$P$336,$R216,FALSE)</f>
        <v>85.224000000000004</v>
      </c>
      <c r="AA216" s="60">
        <f ca="1">100+HLOOKUP(AA$4,$D$7:$P$336,$R216,FALSE)-HLOOKUP(AA$3,$D$7:$P$336,$R216,FALSE)</f>
        <v>99.774999999999991</v>
      </c>
      <c r="AB216" s="60">
        <f ca="1">100+HLOOKUP(AB$4,$D$7:$P$336,$R216,FALSE)-HLOOKUP(AB$3,$D$7:$P$336,$R216,FALSE)</f>
        <v>85.224000000000004</v>
      </c>
      <c r="AC216" s="60">
        <f ca="1">100+HLOOKUP(AC$4,$D$7:$P$336,$R216,FALSE)-HLOOKUP(AC$3,$D$7:$P$336,$R216,FALSE)</f>
        <v>104.13500000000001</v>
      </c>
      <c r="AD216" s="60">
        <f ca="1">100+HLOOKUP(AD$4,$D$7:$P$336,$R216,FALSE)-HLOOKUP(AD$3,$D$7:$P$336,$R216,FALSE)</f>
        <v>104.13500000000001</v>
      </c>
      <c r="AE216" s="60">
        <f ca="1">100+HLOOKUP(AE$4,$D$7:$P$336,$R216,FALSE)-HLOOKUP(AE$3,$D$7:$P$336,$R216,FALSE)</f>
        <v>97.179999999999993</v>
      </c>
      <c r="AF216" s="60">
        <f ca="1">100+HLOOKUP(AF$4,$D$7:$P$336,$R216,FALSE)-HLOOKUP(AF$3,$D$7:$P$336,$R216,FALSE)</f>
        <v>111.73099999999999</v>
      </c>
      <c r="AG216" s="60">
        <f ca="1">100+HLOOKUP(AG$4,$D$7:$P$336,$R216,FALSE)-HLOOKUP(AG$3,$D$7:$P$336,$R216,FALSE)</f>
        <v>99.774999999999991</v>
      </c>
      <c r="AH216" s="60" t="e">
        <f>100+HLOOKUP(AH$4,$D$7:$P$336,$R216,FALSE)-HLOOKUP(AH$3,$D$7:$P$336,$R216,FALSE)</f>
        <v>#N/A</v>
      </c>
      <c r="AI216" s="60" t="e">
        <f>100+HLOOKUP(AI$4,$D$7:$P$336,$R216,FALSE)-HLOOKUP(AI$3,$D$7:$P$336,$R216,FALSE)</f>
        <v>#N/A</v>
      </c>
      <c r="AJ216" s="60" t="e">
        <f>100+HLOOKUP(AJ$4,$D$7:$P$336,$R216,FALSE)-HLOOKUP(AJ$3,$D$7:$P$336,$R216,FALSE)</f>
        <v>#N/A</v>
      </c>
      <c r="AK216" s="60" t="e">
        <f>100+HLOOKUP(AK$4,$D$7:$P$336,$R216,FALSE)-HLOOKUP(AK$3,$D$7:$P$336,$R216,FALSE)</f>
        <v>#N/A</v>
      </c>
      <c r="AL216" s="60" t="e">
        <f>100+HLOOKUP(AL$4,$D$7:$P$336,$R216,FALSE)-HLOOKUP(AL$3,$D$7:$P$336,$R216,FALSE)</f>
        <v>#N/A</v>
      </c>
      <c r="AM216" s="60" t="e">
        <f>100+HLOOKUP(AM$4,$D$7:$P$336,$R216,FALSE)-HLOOKUP(AM$3,$D$7:$P$336,$R216,FALSE)</f>
        <v>#N/A</v>
      </c>
      <c r="AN216" s="60" t="e">
        <f>100+HLOOKUP(AN$4,$D$7:$P$336,$R216,FALSE)-HLOOKUP(AN$3,$D$7:$P$336,$R216,FALSE)</f>
        <v>#N/A</v>
      </c>
      <c r="AO216" s="60" t="e">
        <f>100+HLOOKUP(AO$4,$D$7:$P$336,$R216,FALSE)-HLOOKUP(AO$3,$D$7:$P$336,$R216,FALSE)</f>
        <v>#N/A</v>
      </c>
      <c r="AP216" s="60" t="e">
        <f>100+HLOOKUP(AP$4,$D$7:$P$336,$R216,FALSE)-HLOOKUP(AP$3,$D$7:$P$336,$R216,FALSE)</f>
        <v>#N/A</v>
      </c>
      <c r="AQ216" s="60" t="e">
        <f>100+HLOOKUP(AQ$4,$D$7:$P$336,$R216,FALSE)-HLOOKUP(AQ$3,$D$7:$P$336,$R216,FALSE)</f>
        <v>#N/A</v>
      </c>
      <c r="AV216" s="60">
        <f ca="1">AV$5-S216</f>
        <v>3.4153994267964407</v>
      </c>
      <c r="AW216" s="60">
        <f ca="1">AW$5-T216</f>
        <v>-5.5543494702422578</v>
      </c>
      <c r="AX216" s="60">
        <f ca="1">AX$5-U216</f>
        <v>16.551915403668048</v>
      </c>
      <c r="AY216" s="60">
        <f ca="1">AY$5-V216</f>
        <v>-6.1719855984721903</v>
      </c>
      <c r="AZ216" s="60">
        <f ca="1">AZ$5-W216</f>
        <v>12.230482172596027</v>
      </c>
      <c r="BA216" s="60">
        <f ca="1">BA$5-X216</f>
        <v>-1.3099409410172882</v>
      </c>
      <c r="BB216" s="60">
        <f ca="1">BB$5-Y216</f>
        <v>-6.424407272618879</v>
      </c>
      <c r="BC216" s="60">
        <f ca="1">BC$5-Z216</f>
        <v>22.21346590988216</v>
      </c>
      <c r="BD216" s="60">
        <f ca="1">BD$5-AA216</f>
        <v>-1.8384813356176295</v>
      </c>
      <c r="BE216" s="60">
        <f ca="1">BE$5-AB216</f>
        <v>6.6053905919921903</v>
      </c>
      <c r="BF216" s="60">
        <f ca="1">BF$5-AC216</f>
        <v>-3.1176956835229248</v>
      </c>
      <c r="BG216" s="60">
        <f ca="1">BG$5-AD216</f>
        <v>-0.1497412949814958</v>
      </c>
      <c r="BH216" s="60">
        <f ca="1">BH$5-AE216</f>
        <v>1.7745922303675741</v>
      </c>
      <c r="BI216" s="60">
        <f ca="1">BI$5-AF216</f>
        <v>-21.12249448874519</v>
      </c>
      <c r="BJ216" s="60">
        <f ca="1">BJ$5-AG216</f>
        <v>-8.3354489423212215</v>
      </c>
      <c r="BK216" s="60" t="e">
        <f>BK$5-AH216</f>
        <v>#N/A</v>
      </c>
      <c r="BL216" s="60" t="e">
        <f>BL$5-AI216</f>
        <v>#N/A</v>
      </c>
      <c r="BM216" s="60" t="e">
        <f>BM$5-AJ216</f>
        <v>#N/A</v>
      </c>
      <c r="BN216" s="60" t="e">
        <f>BN$5-AK216</f>
        <v>#N/A</v>
      </c>
      <c r="BO216" s="60" t="e">
        <f>BO$5-AL216</f>
        <v>#N/A</v>
      </c>
      <c r="BP216" s="60" t="e">
        <f>BP$5-AM216</f>
        <v>#N/A</v>
      </c>
      <c r="BQ216" s="60" t="e">
        <f>BQ$5-AN216</f>
        <v>#N/A</v>
      </c>
      <c r="BR216" s="60" t="e">
        <f>BR$5-AO216</f>
        <v>#N/A</v>
      </c>
      <c r="BS216" s="60" t="e">
        <f>BS$5-AP216</f>
        <v>#N/A</v>
      </c>
      <c r="BT216" s="60" t="e">
        <f>BT$5-AQ216</f>
        <v>#N/A</v>
      </c>
      <c r="BV216" s="60" cm="1">
        <f t="array" aca="1" ref="BV216" ca="1">SQRT(SUMSQ(_xlfn._xlws.FILTER(AV216:BT216,ISNUMBER(AV216:BT216)))/COUNT(_xlfn._xlws.FILTER(AV216:BT216,ISNUMBER(AV216:BT216))))</f>
        <v>10.379881452190935</v>
      </c>
    </row>
    <row r="217" spans="3:74" x14ac:dyDescent="0.2">
      <c r="C217" s="60" t="s">
        <v>259</v>
      </c>
      <c r="D217" s="60">
        <v>0</v>
      </c>
      <c r="E217" s="60">
        <v>2</v>
      </c>
      <c r="F217" s="60">
        <v>-3</v>
      </c>
      <c r="G217" s="60">
        <v>-1</v>
      </c>
      <c r="H217" s="60">
        <v>1</v>
      </c>
      <c r="I217" s="60">
        <v>3</v>
      </c>
      <c r="J217" s="60">
        <v>5</v>
      </c>
      <c r="K217" s="60">
        <v>-15</v>
      </c>
      <c r="L217" s="60">
        <v>-13</v>
      </c>
      <c r="M217" s="60">
        <v>1</v>
      </c>
      <c r="N217" s="60">
        <v>3</v>
      </c>
      <c r="O217" s="60">
        <v>5</v>
      </c>
      <c r="P217" s="60">
        <v>0</v>
      </c>
      <c r="R217" s="61">
        <f>(ROW(R217)-ROW($C$6))</f>
        <v>211</v>
      </c>
      <c r="S217" s="60">
        <f ca="1">100+HLOOKUP(S$4,$D$7:$P$336,$R217,FALSE)-HLOOKUP(S$3,$D$7:$P$336,$R217,FALSE)</f>
        <v>100</v>
      </c>
      <c r="T217" s="60">
        <f ca="1">100+HLOOKUP(T$4,$D$7:$P$336,$R217,FALSE)-HLOOKUP(T$3,$D$7:$P$336,$R217,FALSE)</f>
        <v>100</v>
      </c>
      <c r="U217" s="60">
        <f ca="1">100+HLOOKUP(U$4,$D$7:$P$336,$R217,FALSE)-HLOOKUP(U$3,$D$7:$P$336,$R217,FALSE)</f>
        <v>85</v>
      </c>
      <c r="V217" s="60">
        <f ca="1">100+HLOOKUP(V$4,$D$7:$P$336,$R217,FALSE)-HLOOKUP(V$3,$D$7:$P$336,$R217,FALSE)</f>
        <v>100</v>
      </c>
      <c r="W217" s="60">
        <f ca="1">100+HLOOKUP(W$4,$D$7:$P$336,$R217,FALSE)-HLOOKUP(W$3,$D$7:$P$336,$R217,FALSE)</f>
        <v>85</v>
      </c>
      <c r="X217" s="60">
        <f ca="1">100+HLOOKUP(X$4,$D$7:$P$336,$R217,FALSE)-HLOOKUP(X$3,$D$7:$P$336,$R217,FALSE)</f>
        <v>100</v>
      </c>
      <c r="Y217" s="60">
        <f ca="1">100+HLOOKUP(Y$4,$D$7:$P$336,$R217,FALSE)-HLOOKUP(Y$3,$D$7:$P$336,$R217,FALSE)</f>
        <v>100</v>
      </c>
      <c r="Z217" s="60">
        <f ca="1">100+HLOOKUP(Z$4,$D$7:$P$336,$R217,FALSE)-HLOOKUP(Z$3,$D$7:$P$336,$R217,FALSE)</f>
        <v>85</v>
      </c>
      <c r="AA217" s="60">
        <f ca="1">100+HLOOKUP(AA$4,$D$7:$P$336,$R217,FALSE)-HLOOKUP(AA$3,$D$7:$P$336,$R217,FALSE)</f>
        <v>100</v>
      </c>
      <c r="AB217" s="60">
        <f ca="1">100+HLOOKUP(AB$4,$D$7:$P$336,$R217,FALSE)-HLOOKUP(AB$3,$D$7:$P$336,$R217,FALSE)</f>
        <v>85</v>
      </c>
      <c r="AC217" s="60">
        <f ca="1">100+HLOOKUP(AC$4,$D$7:$P$336,$R217,FALSE)-HLOOKUP(AC$3,$D$7:$P$336,$R217,FALSE)</f>
        <v>104</v>
      </c>
      <c r="AD217" s="60">
        <f ca="1">100+HLOOKUP(AD$4,$D$7:$P$336,$R217,FALSE)-HLOOKUP(AD$3,$D$7:$P$336,$R217,FALSE)</f>
        <v>104</v>
      </c>
      <c r="AE217" s="60">
        <f ca="1">100+HLOOKUP(AE$4,$D$7:$P$336,$R217,FALSE)-HLOOKUP(AE$3,$D$7:$P$336,$R217,FALSE)</f>
        <v>97</v>
      </c>
      <c r="AF217" s="60">
        <f ca="1">100+HLOOKUP(AF$4,$D$7:$P$336,$R217,FALSE)-HLOOKUP(AF$3,$D$7:$P$336,$R217,FALSE)</f>
        <v>112</v>
      </c>
      <c r="AG217" s="60">
        <f ca="1">100+HLOOKUP(AG$4,$D$7:$P$336,$R217,FALSE)-HLOOKUP(AG$3,$D$7:$P$336,$R217,FALSE)</f>
        <v>100</v>
      </c>
      <c r="AH217" s="60" t="e">
        <f>100+HLOOKUP(AH$4,$D$7:$P$336,$R217,FALSE)-HLOOKUP(AH$3,$D$7:$P$336,$R217,FALSE)</f>
        <v>#N/A</v>
      </c>
      <c r="AI217" s="60" t="e">
        <f>100+HLOOKUP(AI$4,$D$7:$P$336,$R217,FALSE)-HLOOKUP(AI$3,$D$7:$P$336,$R217,FALSE)</f>
        <v>#N/A</v>
      </c>
      <c r="AJ217" s="60" t="e">
        <f>100+HLOOKUP(AJ$4,$D$7:$P$336,$R217,FALSE)-HLOOKUP(AJ$3,$D$7:$P$336,$R217,FALSE)</f>
        <v>#N/A</v>
      </c>
      <c r="AK217" s="60" t="e">
        <f>100+HLOOKUP(AK$4,$D$7:$P$336,$R217,FALSE)-HLOOKUP(AK$3,$D$7:$P$336,$R217,FALSE)</f>
        <v>#N/A</v>
      </c>
      <c r="AL217" s="60" t="e">
        <f>100+HLOOKUP(AL$4,$D$7:$P$336,$R217,FALSE)-HLOOKUP(AL$3,$D$7:$P$336,$R217,FALSE)</f>
        <v>#N/A</v>
      </c>
      <c r="AM217" s="60" t="e">
        <f>100+HLOOKUP(AM$4,$D$7:$P$336,$R217,FALSE)-HLOOKUP(AM$3,$D$7:$P$336,$R217,FALSE)</f>
        <v>#N/A</v>
      </c>
      <c r="AN217" s="60" t="e">
        <f>100+HLOOKUP(AN$4,$D$7:$P$336,$R217,FALSE)-HLOOKUP(AN$3,$D$7:$P$336,$R217,FALSE)</f>
        <v>#N/A</v>
      </c>
      <c r="AO217" s="60" t="e">
        <f>100+HLOOKUP(AO$4,$D$7:$P$336,$R217,FALSE)-HLOOKUP(AO$3,$D$7:$P$336,$R217,FALSE)</f>
        <v>#N/A</v>
      </c>
      <c r="AP217" s="60" t="e">
        <f>100+HLOOKUP(AP$4,$D$7:$P$336,$R217,FALSE)-HLOOKUP(AP$3,$D$7:$P$336,$R217,FALSE)</f>
        <v>#N/A</v>
      </c>
      <c r="AQ217" s="60" t="e">
        <f>100+HLOOKUP(AQ$4,$D$7:$P$336,$R217,FALSE)-HLOOKUP(AQ$3,$D$7:$P$336,$R217,FALSE)</f>
        <v>#N/A</v>
      </c>
      <c r="AV217" s="60">
        <f ca="1">AV$5-S217</f>
        <v>3.1903994267964322</v>
      </c>
      <c r="AW217" s="60">
        <f ca="1">AW$5-T217</f>
        <v>-5.7793494702422521</v>
      </c>
      <c r="AX217" s="60">
        <f ca="1">AX$5-U217</f>
        <v>16.775915403668051</v>
      </c>
      <c r="AY217" s="60">
        <f ca="1">AY$5-V217</f>
        <v>-6.3969855984721988</v>
      </c>
      <c r="AZ217" s="60">
        <f ca="1">AZ$5-W217</f>
        <v>12.45448217259603</v>
      </c>
      <c r="BA217" s="60">
        <f ca="1">BA$5-X217</f>
        <v>-1.5349409410172967</v>
      </c>
      <c r="BB217" s="60">
        <f ca="1">BB$5-Y217</f>
        <v>-6.6494072726188733</v>
      </c>
      <c r="BC217" s="60">
        <f ca="1">BC$5-Z217</f>
        <v>22.437465909882164</v>
      </c>
      <c r="BD217" s="60">
        <f ca="1">BD$5-AA217</f>
        <v>-2.063481335617638</v>
      </c>
      <c r="BE217" s="60">
        <f ca="1">BE$5-AB217</f>
        <v>6.829390591992194</v>
      </c>
      <c r="BF217" s="60">
        <f ca="1">BF$5-AC217</f>
        <v>-2.9826956835229197</v>
      </c>
      <c r="BG217" s="60">
        <f ca="1">BG$5-AD217</f>
        <v>-1.4741294981490682E-2</v>
      </c>
      <c r="BH217" s="60">
        <f ca="1">BH$5-AE217</f>
        <v>1.9545922303675667</v>
      </c>
      <c r="BI217" s="60">
        <f ca="1">BI$5-AF217</f>
        <v>-21.391494488745195</v>
      </c>
      <c r="BJ217" s="60">
        <f ca="1">BJ$5-AG217</f>
        <v>-8.56044894232123</v>
      </c>
      <c r="BK217" s="60" t="e">
        <f>BK$5-AH217</f>
        <v>#N/A</v>
      </c>
      <c r="BL217" s="60" t="e">
        <f>BL$5-AI217</f>
        <v>#N/A</v>
      </c>
      <c r="BM217" s="60" t="e">
        <f>BM$5-AJ217</f>
        <v>#N/A</v>
      </c>
      <c r="BN217" s="60" t="e">
        <f>BN$5-AK217</f>
        <v>#N/A</v>
      </c>
      <c r="BO217" s="60" t="e">
        <f>BO$5-AL217</f>
        <v>#N/A</v>
      </c>
      <c r="BP217" s="60" t="e">
        <f>BP$5-AM217</f>
        <v>#N/A</v>
      </c>
      <c r="BQ217" s="60" t="e">
        <f>BQ$5-AN217</f>
        <v>#N/A</v>
      </c>
      <c r="BR217" s="60" t="e">
        <f>BR$5-AO217</f>
        <v>#N/A</v>
      </c>
      <c r="BS217" s="60" t="e">
        <f>BS$5-AP217</f>
        <v>#N/A</v>
      </c>
      <c r="BT217" s="60" t="e">
        <f>BT$5-AQ217</f>
        <v>#N/A</v>
      </c>
      <c r="BV217" s="60" cm="1">
        <f t="array" aca="1" ref="BV217" ca="1">SQRT(SUMSQ(_xlfn._xlws.FILTER(AV217:BT217,ISNUMBER(AV217:BT217)))/COUNT(_xlfn._xlws.FILTER(AV217:BT217,ISNUMBER(AV217:BT217))))</f>
        <v>10.537393510300419</v>
      </c>
    </row>
    <row r="218" spans="3:74" x14ac:dyDescent="0.2">
      <c r="C218" s="60" t="s">
        <v>258</v>
      </c>
      <c r="D218" s="60">
        <v>0</v>
      </c>
      <c r="E218" s="60">
        <v>-2</v>
      </c>
      <c r="F218" s="60">
        <v>-5</v>
      </c>
      <c r="G218" s="60">
        <v>-7</v>
      </c>
      <c r="H218" s="60">
        <v>-9</v>
      </c>
      <c r="I218" s="60">
        <v>-12</v>
      </c>
      <c r="J218" s="60">
        <v>-12</v>
      </c>
      <c r="K218" s="60">
        <v>-12</v>
      </c>
      <c r="L218" s="60">
        <v>-12</v>
      </c>
      <c r="M218" s="60">
        <v>0</v>
      </c>
      <c r="N218" s="60">
        <v>5</v>
      </c>
      <c r="O218" s="60">
        <v>2</v>
      </c>
      <c r="P218" s="60">
        <v>0</v>
      </c>
      <c r="R218" s="61">
        <f>(ROW(R218)-ROW($C$6))</f>
        <v>212</v>
      </c>
      <c r="S218" s="60">
        <f ca="1">100+HLOOKUP(S$4,$D$7:$P$336,$R218,FALSE)-HLOOKUP(S$3,$D$7:$P$336,$R218,FALSE)</f>
        <v>91</v>
      </c>
      <c r="T218" s="60">
        <f ca="1">100+HLOOKUP(T$4,$D$7:$P$336,$R218,FALSE)-HLOOKUP(T$3,$D$7:$P$336,$R218,FALSE)</f>
        <v>86</v>
      </c>
      <c r="U218" s="60">
        <f ca="1">100+HLOOKUP(U$4,$D$7:$P$336,$R218,FALSE)-HLOOKUP(U$3,$D$7:$P$336,$R218,FALSE)</f>
        <v>90</v>
      </c>
      <c r="V218" s="60">
        <f ca="1">100+HLOOKUP(V$4,$D$7:$P$336,$R218,FALSE)-HLOOKUP(V$3,$D$7:$P$336,$R218,FALSE)</f>
        <v>83</v>
      </c>
      <c r="W218" s="60">
        <f ca="1">100+HLOOKUP(W$4,$D$7:$P$336,$R218,FALSE)-HLOOKUP(W$3,$D$7:$P$336,$R218,FALSE)</f>
        <v>88</v>
      </c>
      <c r="X218" s="60">
        <f ca="1">100+HLOOKUP(X$4,$D$7:$P$336,$R218,FALSE)-HLOOKUP(X$3,$D$7:$P$336,$R218,FALSE)</f>
        <v>91</v>
      </c>
      <c r="Y218" s="60">
        <f ca="1">100+HLOOKUP(Y$4,$D$7:$P$336,$R218,FALSE)-HLOOKUP(Y$3,$D$7:$P$336,$R218,FALSE)</f>
        <v>86</v>
      </c>
      <c r="Z218" s="60">
        <f ca="1">100+HLOOKUP(Z$4,$D$7:$P$336,$R218,FALSE)-HLOOKUP(Z$3,$D$7:$P$336,$R218,FALSE)</f>
        <v>90</v>
      </c>
      <c r="AA218" s="60">
        <f ca="1">100+HLOOKUP(AA$4,$D$7:$P$336,$R218,FALSE)-HLOOKUP(AA$3,$D$7:$P$336,$R218,FALSE)</f>
        <v>83</v>
      </c>
      <c r="AB218" s="60">
        <f ca="1">100+HLOOKUP(AB$4,$D$7:$P$336,$R218,FALSE)-HLOOKUP(AB$3,$D$7:$P$336,$R218,FALSE)</f>
        <v>88</v>
      </c>
      <c r="AC218" s="60">
        <f ca="1">100+HLOOKUP(AC$4,$D$7:$P$336,$R218,FALSE)-HLOOKUP(AC$3,$D$7:$P$336,$R218,FALSE)</f>
        <v>105</v>
      </c>
      <c r="AD218" s="60">
        <f ca="1">100+HLOOKUP(AD$4,$D$7:$P$336,$R218,FALSE)-HLOOKUP(AD$3,$D$7:$P$336,$R218,FALSE)</f>
        <v>111</v>
      </c>
      <c r="AE218" s="60">
        <f ca="1">100+HLOOKUP(AE$4,$D$7:$P$336,$R218,FALSE)-HLOOKUP(AE$3,$D$7:$P$336,$R218,FALSE)</f>
        <v>110</v>
      </c>
      <c r="AF218" s="60">
        <f ca="1">100+HLOOKUP(AF$4,$D$7:$P$336,$R218,FALSE)-HLOOKUP(AF$3,$D$7:$P$336,$R218,FALSE)</f>
        <v>105</v>
      </c>
      <c r="AG218" s="60">
        <f ca="1">100+HLOOKUP(AG$4,$D$7:$P$336,$R218,FALSE)-HLOOKUP(AG$3,$D$7:$P$336,$R218,FALSE)</f>
        <v>83</v>
      </c>
      <c r="AH218" s="60" t="e">
        <f>100+HLOOKUP(AH$4,$D$7:$P$336,$R218,FALSE)-HLOOKUP(AH$3,$D$7:$P$336,$R218,FALSE)</f>
        <v>#N/A</v>
      </c>
      <c r="AI218" s="60" t="e">
        <f>100+HLOOKUP(AI$4,$D$7:$P$336,$R218,FALSE)-HLOOKUP(AI$3,$D$7:$P$336,$R218,FALSE)</f>
        <v>#N/A</v>
      </c>
      <c r="AJ218" s="60" t="e">
        <f>100+HLOOKUP(AJ$4,$D$7:$P$336,$R218,FALSE)-HLOOKUP(AJ$3,$D$7:$P$336,$R218,FALSE)</f>
        <v>#N/A</v>
      </c>
      <c r="AK218" s="60" t="e">
        <f>100+HLOOKUP(AK$4,$D$7:$P$336,$R218,FALSE)-HLOOKUP(AK$3,$D$7:$P$336,$R218,FALSE)</f>
        <v>#N/A</v>
      </c>
      <c r="AL218" s="60" t="e">
        <f>100+HLOOKUP(AL$4,$D$7:$P$336,$R218,FALSE)-HLOOKUP(AL$3,$D$7:$P$336,$R218,FALSE)</f>
        <v>#N/A</v>
      </c>
      <c r="AM218" s="60" t="e">
        <f>100+HLOOKUP(AM$4,$D$7:$P$336,$R218,FALSE)-HLOOKUP(AM$3,$D$7:$P$336,$R218,FALSE)</f>
        <v>#N/A</v>
      </c>
      <c r="AN218" s="60" t="e">
        <f>100+HLOOKUP(AN$4,$D$7:$P$336,$R218,FALSE)-HLOOKUP(AN$3,$D$7:$P$336,$R218,FALSE)</f>
        <v>#N/A</v>
      </c>
      <c r="AO218" s="60" t="e">
        <f>100+HLOOKUP(AO$4,$D$7:$P$336,$R218,FALSE)-HLOOKUP(AO$3,$D$7:$P$336,$R218,FALSE)</f>
        <v>#N/A</v>
      </c>
      <c r="AP218" s="60" t="e">
        <f>100+HLOOKUP(AP$4,$D$7:$P$336,$R218,FALSE)-HLOOKUP(AP$3,$D$7:$P$336,$R218,FALSE)</f>
        <v>#N/A</v>
      </c>
      <c r="AQ218" s="60" t="e">
        <f>100+HLOOKUP(AQ$4,$D$7:$P$336,$R218,FALSE)-HLOOKUP(AQ$3,$D$7:$P$336,$R218,FALSE)</f>
        <v>#N/A</v>
      </c>
      <c r="AV218" s="60">
        <f ca="1">AV$5-S218</f>
        <v>12.190399426796432</v>
      </c>
      <c r="AW218" s="60">
        <f ca="1">AW$5-T218</f>
        <v>8.2206505297577479</v>
      </c>
      <c r="AX218" s="60">
        <f ca="1">AX$5-U218</f>
        <v>11.775915403668051</v>
      </c>
      <c r="AY218" s="60">
        <f ca="1">AY$5-V218</f>
        <v>10.603014401527801</v>
      </c>
      <c r="AZ218" s="60">
        <f ca="1">AZ$5-W218</f>
        <v>9.4544821725960304</v>
      </c>
      <c r="BA218" s="60">
        <f ca="1">BA$5-X218</f>
        <v>7.4650590589827033</v>
      </c>
      <c r="BB218" s="60">
        <f ca="1">BB$5-Y218</f>
        <v>7.3505927273811267</v>
      </c>
      <c r="BC218" s="60">
        <f ca="1">BC$5-Z218</f>
        <v>17.437465909882164</v>
      </c>
      <c r="BD218" s="60">
        <f ca="1">BD$5-AA218</f>
        <v>14.936518664382362</v>
      </c>
      <c r="BE218" s="60">
        <f ca="1">BE$5-AB218</f>
        <v>3.829390591992194</v>
      </c>
      <c r="BF218" s="60">
        <f ca="1">BF$5-AC218</f>
        <v>-3.9826956835229197</v>
      </c>
      <c r="BG218" s="60">
        <f ca="1">BG$5-AD218</f>
        <v>-7.0147412949814907</v>
      </c>
      <c r="BH218" s="60">
        <f ca="1">BH$5-AE218</f>
        <v>-11.045407769632433</v>
      </c>
      <c r="BI218" s="60">
        <f ca="1">BI$5-AF218</f>
        <v>-14.391494488745195</v>
      </c>
      <c r="BJ218" s="60">
        <f ca="1">BJ$5-AG218</f>
        <v>8.43955105767877</v>
      </c>
      <c r="BK218" s="60" t="e">
        <f>BK$5-AH218</f>
        <v>#N/A</v>
      </c>
      <c r="BL218" s="60" t="e">
        <f>BL$5-AI218</f>
        <v>#N/A</v>
      </c>
      <c r="BM218" s="60" t="e">
        <f>BM$5-AJ218</f>
        <v>#N/A</v>
      </c>
      <c r="BN218" s="60" t="e">
        <f>BN$5-AK218</f>
        <v>#N/A</v>
      </c>
      <c r="BO218" s="60" t="e">
        <f>BO$5-AL218</f>
        <v>#N/A</v>
      </c>
      <c r="BP218" s="60" t="e">
        <f>BP$5-AM218</f>
        <v>#N/A</v>
      </c>
      <c r="BQ218" s="60" t="e">
        <f>BQ$5-AN218</f>
        <v>#N/A</v>
      </c>
      <c r="BR218" s="60" t="e">
        <f>BR$5-AO218</f>
        <v>#N/A</v>
      </c>
      <c r="BS218" s="60" t="e">
        <f>BS$5-AP218</f>
        <v>#N/A</v>
      </c>
      <c r="BT218" s="60" t="e">
        <f>BT$5-AQ218</f>
        <v>#N/A</v>
      </c>
      <c r="BV218" s="60" cm="1">
        <f t="array" aca="1" ref="BV218" ca="1">SQRT(SUMSQ(_xlfn._xlws.FILTER(AV218:BT218,ISNUMBER(AV218:BT218)))/COUNT(_xlfn._xlws.FILTER(AV218:BT218,ISNUMBER(AV218:BT218))))</f>
        <v>10.563036977913509</v>
      </c>
    </row>
    <row r="219" spans="3:74" x14ac:dyDescent="0.2">
      <c r="C219" s="60" t="s">
        <v>388</v>
      </c>
      <c r="D219" s="60">
        <v>0</v>
      </c>
      <c r="E219" s="60">
        <v>-2</v>
      </c>
      <c r="F219" s="60">
        <v>-6</v>
      </c>
      <c r="G219" s="60">
        <v>-8</v>
      </c>
      <c r="H219" s="60">
        <v>-10</v>
      </c>
      <c r="I219" s="60">
        <v>-12</v>
      </c>
      <c r="J219" s="60">
        <v>-14</v>
      </c>
      <c r="K219" s="60">
        <v>-14</v>
      </c>
      <c r="L219" s="60">
        <v>-14</v>
      </c>
      <c r="M219" s="60">
        <v>0</v>
      </c>
      <c r="N219" s="60">
        <v>0</v>
      </c>
      <c r="O219" s="60">
        <v>0</v>
      </c>
      <c r="P219" s="60">
        <v>0</v>
      </c>
      <c r="R219" s="61">
        <f>(ROW(R219)-ROW($C$6))</f>
        <v>213</v>
      </c>
      <c r="S219" s="60">
        <f ca="1">100+HLOOKUP(S$4,$D$7:$P$336,$R219,FALSE)-HLOOKUP(S$3,$D$7:$P$336,$R219,FALSE)</f>
        <v>90</v>
      </c>
      <c r="T219" s="60">
        <f ca="1">100+HLOOKUP(T$4,$D$7:$P$336,$R219,FALSE)-HLOOKUP(T$3,$D$7:$P$336,$R219,FALSE)</f>
        <v>86</v>
      </c>
      <c r="U219" s="60">
        <f ca="1">100+HLOOKUP(U$4,$D$7:$P$336,$R219,FALSE)-HLOOKUP(U$3,$D$7:$P$336,$R219,FALSE)</f>
        <v>88</v>
      </c>
      <c r="V219" s="60">
        <f ca="1">100+HLOOKUP(V$4,$D$7:$P$336,$R219,FALSE)-HLOOKUP(V$3,$D$7:$P$336,$R219,FALSE)</f>
        <v>88</v>
      </c>
      <c r="W219" s="60">
        <f ca="1">100+HLOOKUP(W$4,$D$7:$P$336,$R219,FALSE)-HLOOKUP(W$3,$D$7:$P$336,$R219,FALSE)</f>
        <v>86</v>
      </c>
      <c r="X219" s="60">
        <f ca="1">100+HLOOKUP(X$4,$D$7:$P$336,$R219,FALSE)-HLOOKUP(X$3,$D$7:$P$336,$R219,FALSE)</f>
        <v>90</v>
      </c>
      <c r="Y219" s="60">
        <f ca="1">100+HLOOKUP(Y$4,$D$7:$P$336,$R219,FALSE)-HLOOKUP(Y$3,$D$7:$P$336,$R219,FALSE)</f>
        <v>86</v>
      </c>
      <c r="Z219" s="60">
        <f ca="1">100+HLOOKUP(Z$4,$D$7:$P$336,$R219,FALSE)-HLOOKUP(Z$3,$D$7:$P$336,$R219,FALSE)</f>
        <v>88</v>
      </c>
      <c r="AA219" s="60">
        <f ca="1">100+HLOOKUP(AA$4,$D$7:$P$336,$R219,FALSE)-HLOOKUP(AA$3,$D$7:$P$336,$R219,FALSE)</f>
        <v>88</v>
      </c>
      <c r="AB219" s="60">
        <f ca="1">100+HLOOKUP(AB$4,$D$7:$P$336,$R219,FALSE)-HLOOKUP(AB$3,$D$7:$P$336,$R219,FALSE)</f>
        <v>86</v>
      </c>
      <c r="AC219" s="60">
        <f ca="1">100+HLOOKUP(AC$4,$D$7:$P$336,$R219,FALSE)-HLOOKUP(AC$3,$D$7:$P$336,$R219,FALSE)</f>
        <v>106</v>
      </c>
      <c r="AD219" s="60">
        <f ca="1">100+HLOOKUP(AD$4,$D$7:$P$336,$R219,FALSE)-HLOOKUP(AD$3,$D$7:$P$336,$R219,FALSE)</f>
        <v>110</v>
      </c>
      <c r="AE219" s="60">
        <f ca="1">100+HLOOKUP(AE$4,$D$7:$P$336,$R219,FALSE)-HLOOKUP(AE$3,$D$7:$P$336,$R219,FALSE)</f>
        <v>112</v>
      </c>
      <c r="AF219" s="60">
        <f ca="1">100+HLOOKUP(AF$4,$D$7:$P$336,$R219,FALSE)-HLOOKUP(AF$3,$D$7:$P$336,$R219,FALSE)</f>
        <v>106</v>
      </c>
      <c r="AG219" s="60">
        <f ca="1">100+HLOOKUP(AG$4,$D$7:$P$336,$R219,FALSE)-HLOOKUP(AG$3,$D$7:$P$336,$R219,FALSE)</f>
        <v>88</v>
      </c>
      <c r="AH219" s="60" t="e">
        <f>100+HLOOKUP(AH$4,$D$7:$P$336,$R219,FALSE)-HLOOKUP(AH$3,$D$7:$P$336,$R219,FALSE)</f>
        <v>#N/A</v>
      </c>
      <c r="AI219" s="60" t="e">
        <f>100+HLOOKUP(AI$4,$D$7:$P$336,$R219,FALSE)-HLOOKUP(AI$3,$D$7:$P$336,$R219,FALSE)</f>
        <v>#N/A</v>
      </c>
      <c r="AJ219" s="60" t="e">
        <f>100+HLOOKUP(AJ$4,$D$7:$P$336,$R219,FALSE)-HLOOKUP(AJ$3,$D$7:$P$336,$R219,FALSE)</f>
        <v>#N/A</v>
      </c>
      <c r="AK219" s="60" t="e">
        <f>100+HLOOKUP(AK$4,$D$7:$P$336,$R219,FALSE)-HLOOKUP(AK$3,$D$7:$P$336,$R219,FALSE)</f>
        <v>#N/A</v>
      </c>
      <c r="AL219" s="60" t="e">
        <f>100+HLOOKUP(AL$4,$D$7:$P$336,$R219,FALSE)-HLOOKUP(AL$3,$D$7:$P$336,$R219,FALSE)</f>
        <v>#N/A</v>
      </c>
      <c r="AM219" s="60" t="e">
        <f>100+HLOOKUP(AM$4,$D$7:$P$336,$R219,FALSE)-HLOOKUP(AM$3,$D$7:$P$336,$R219,FALSE)</f>
        <v>#N/A</v>
      </c>
      <c r="AN219" s="60" t="e">
        <f>100+HLOOKUP(AN$4,$D$7:$P$336,$R219,FALSE)-HLOOKUP(AN$3,$D$7:$P$336,$R219,FALSE)</f>
        <v>#N/A</v>
      </c>
      <c r="AO219" s="60" t="e">
        <f>100+HLOOKUP(AO$4,$D$7:$P$336,$R219,FALSE)-HLOOKUP(AO$3,$D$7:$P$336,$R219,FALSE)</f>
        <v>#N/A</v>
      </c>
      <c r="AP219" s="60" t="e">
        <f>100+HLOOKUP(AP$4,$D$7:$P$336,$R219,FALSE)-HLOOKUP(AP$3,$D$7:$P$336,$R219,FALSE)</f>
        <v>#N/A</v>
      </c>
      <c r="AQ219" s="60" t="e">
        <f>100+HLOOKUP(AQ$4,$D$7:$P$336,$R219,FALSE)-HLOOKUP(AQ$3,$D$7:$P$336,$R219,FALSE)</f>
        <v>#N/A</v>
      </c>
      <c r="AV219" s="60">
        <f ca="1">AV$5-S219</f>
        <v>13.190399426796432</v>
      </c>
      <c r="AW219" s="60">
        <f ca="1">AW$5-T219</f>
        <v>8.2206505297577479</v>
      </c>
      <c r="AX219" s="60">
        <f ca="1">AX$5-U219</f>
        <v>13.775915403668051</v>
      </c>
      <c r="AY219" s="60">
        <f ca="1">AY$5-V219</f>
        <v>5.6030144015278012</v>
      </c>
      <c r="AZ219" s="60">
        <f ca="1">AZ$5-W219</f>
        <v>11.45448217259603</v>
      </c>
      <c r="BA219" s="60">
        <f ca="1">BA$5-X219</f>
        <v>8.4650590589827033</v>
      </c>
      <c r="BB219" s="60">
        <f ca="1">BB$5-Y219</f>
        <v>7.3505927273811267</v>
      </c>
      <c r="BC219" s="60">
        <f ca="1">BC$5-Z219</f>
        <v>19.437465909882164</v>
      </c>
      <c r="BD219" s="60">
        <f ca="1">BD$5-AA219</f>
        <v>9.936518664382362</v>
      </c>
      <c r="BE219" s="60">
        <f ca="1">BE$5-AB219</f>
        <v>5.829390591992194</v>
      </c>
      <c r="BF219" s="60">
        <f ca="1">BF$5-AC219</f>
        <v>-4.9826956835229197</v>
      </c>
      <c r="BG219" s="60">
        <f ca="1">BG$5-AD219</f>
        <v>-6.0147412949814907</v>
      </c>
      <c r="BH219" s="60">
        <f ca="1">BH$5-AE219</f>
        <v>-13.045407769632433</v>
      </c>
      <c r="BI219" s="60">
        <f ca="1">BI$5-AF219</f>
        <v>-15.391494488745195</v>
      </c>
      <c r="BJ219" s="60">
        <f ca="1">BJ$5-AG219</f>
        <v>3.43955105767877</v>
      </c>
      <c r="BK219" s="60" t="e">
        <f>BK$5-AH219</f>
        <v>#N/A</v>
      </c>
      <c r="BL219" s="60" t="e">
        <f>BL$5-AI219</f>
        <v>#N/A</v>
      </c>
      <c r="BM219" s="60" t="e">
        <f>BM$5-AJ219</f>
        <v>#N/A</v>
      </c>
      <c r="BN219" s="60" t="e">
        <f>BN$5-AK219</f>
        <v>#N/A</v>
      </c>
      <c r="BO219" s="60" t="e">
        <f>BO$5-AL219</f>
        <v>#N/A</v>
      </c>
      <c r="BP219" s="60" t="e">
        <f>BP$5-AM219</f>
        <v>#N/A</v>
      </c>
      <c r="BQ219" s="60" t="e">
        <f>BQ$5-AN219</f>
        <v>#N/A</v>
      </c>
      <c r="BR219" s="60" t="e">
        <f>BR$5-AO219</f>
        <v>#N/A</v>
      </c>
      <c r="BS219" s="60" t="e">
        <f>BS$5-AP219</f>
        <v>#N/A</v>
      </c>
      <c r="BT219" s="60" t="e">
        <f>BT$5-AQ219</f>
        <v>#N/A</v>
      </c>
      <c r="BV219" s="60" cm="1">
        <f t="array" aca="1" ref="BV219" ca="1">SQRT(SUMSQ(_xlfn._xlws.FILTER(AV219:BT219,ISNUMBER(AV219:BT219)))/COUNT(_xlfn._xlws.FILTER(AV219:BT219,ISNUMBER(AV219:BT219))))</f>
        <v>10.67731512392152</v>
      </c>
    </row>
    <row r="220" spans="3:74" x14ac:dyDescent="0.2">
      <c r="C220" s="60" t="s">
        <v>337</v>
      </c>
      <c r="D220" s="60">
        <v>0</v>
      </c>
      <c r="E220" s="60">
        <v>-2</v>
      </c>
      <c r="F220" s="60">
        <v>-4</v>
      </c>
      <c r="G220" s="60">
        <v>-4</v>
      </c>
      <c r="H220" s="60">
        <v>-2</v>
      </c>
      <c r="I220" s="60">
        <v>-6</v>
      </c>
      <c r="J220" s="60">
        <v>-11</v>
      </c>
      <c r="K220" s="60">
        <v>-13</v>
      </c>
      <c r="L220" s="60">
        <v>-16</v>
      </c>
      <c r="M220" s="60">
        <v>-6</v>
      </c>
      <c r="N220" s="60">
        <v>4</v>
      </c>
      <c r="O220" s="60">
        <v>6</v>
      </c>
      <c r="P220" s="60">
        <v>0</v>
      </c>
      <c r="R220" s="61">
        <f>(ROW(R220)-ROW($C$6))</f>
        <v>214</v>
      </c>
      <c r="S220" s="60">
        <f ca="1">100+HLOOKUP(S$4,$D$7:$P$336,$R220,FALSE)-HLOOKUP(S$3,$D$7:$P$336,$R220,FALSE)</f>
        <v>104</v>
      </c>
      <c r="T220" s="60">
        <f ca="1">100+HLOOKUP(T$4,$D$7:$P$336,$R220,FALSE)-HLOOKUP(T$3,$D$7:$P$336,$R220,FALSE)</f>
        <v>83</v>
      </c>
      <c r="U220" s="60">
        <f ca="1">100+HLOOKUP(U$4,$D$7:$P$336,$R220,FALSE)-HLOOKUP(U$3,$D$7:$P$336,$R220,FALSE)</f>
        <v>86</v>
      </c>
      <c r="V220" s="60">
        <f ca="1">100+HLOOKUP(V$4,$D$7:$P$336,$R220,FALSE)-HLOOKUP(V$3,$D$7:$P$336,$R220,FALSE)</f>
        <v>90</v>
      </c>
      <c r="W220" s="60">
        <f ca="1">100+HLOOKUP(W$4,$D$7:$P$336,$R220,FALSE)-HLOOKUP(W$3,$D$7:$P$336,$R220,FALSE)</f>
        <v>87</v>
      </c>
      <c r="X220" s="60">
        <f ca="1">100+HLOOKUP(X$4,$D$7:$P$336,$R220,FALSE)-HLOOKUP(X$3,$D$7:$P$336,$R220,FALSE)</f>
        <v>104</v>
      </c>
      <c r="Y220" s="60">
        <f ca="1">100+HLOOKUP(Y$4,$D$7:$P$336,$R220,FALSE)-HLOOKUP(Y$3,$D$7:$P$336,$R220,FALSE)</f>
        <v>83</v>
      </c>
      <c r="Z220" s="60">
        <f ca="1">100+HLOOKUP(Z$4,$D$7:$P$336,$R220,FALSE)-HLOOKUP(Z$3,$D$7:$P$336,$R220,FALSE)</f>
        <v>86</v>
      </c>
      <c r="AA220" s="60">
        <f ca="1">100+HLOOKUP(AA$4,$D$7:$P$336,$R220,FALSE)-HLOOKUP(AA$3,$D$7:$P$336,$R220,FALSE)</f>
        <v>90</v>
      </c>
      <c r="AB220" s="60">
        <f ca="1">100+HLOOKUP(AB$4,$D$7:$P$336,$R220,FALSE)-HLOOKUP(AB$3,$D$7:$P$336,$R220,FALSE)</f>
        <v>87</v>
      </c>
      <c r="AC220" s="60">
        <f ca="1">100+HLOOKUP(AC$4,$D$7:$P$336,$R220,FALSE)-HLOOKUP(AC$3,$D$7:$P$336,$R220,FALSE)</f>
        <v>98</v>
      </c>
      <c r="AD220" s="60">
        <f ca="1">100+HLOOKUP(AD$4,$D$7:$P$336,$R220,FALSE)-HLOOKUP(AD$3,$D$7:$P$336,$R220,FALSE)</f>
        <v>108</v>
      </c>
      <c r="AE220" s="60">
        <f ca="1">100+HLOOKUP(AE$4,$D$7:$P$336,$R220,FALSE)-HLOOKUP(AE$3,$D$7:$P$336,$R220,FALSE)</f>
        <v>109</v>
      </c>
      <c r="AF220" s="60">
        <f ca="1">100+HLOOKUP(AF$4,$D$7:$P$336,$R220,FALSE)-HLOOKUP(AF$3,$D$7:$P$336,$R220,FALSE)</f>
        <v>112</v>
      </c>
      <c r="AG220" s="60">
        <f ca="1">100+HLOOKUP(AG$4,$D$7:$P$336,$R220,FALSE)-HLOOKUP(AG$3,$D$7:$P$336,$R220,FALSE)</f>
        <v>90</v>
      </c>
      <c r="AH220" s="60" t="e">
        <f>100+HLOOKUP(AH$4,$D$7:$P$336,$R220,FALSE)-HLOOKUP(AH$3,$D$7:$P$336,$R220,FALSE)</f>
        <v>#N/A</v>
      </c>
      <c r="AI220" s="60" t="e">
        <f>100+HLOOKUP(AI$4,$D$7:$P$336,$R220,FALSE)-HLOOKUP(AI$3,$D$7:$P$336,$R220,FALSE)</f>
        <v>#N/A</v>
      </c>
      <c r="AJ220" s="60" t="e">
        <f>100+HLOOKUP(AJ$4,$D$7:$P$336,$R220,FALSE)-HLOOKUP(AJ$3,$D$7:$P$336,$R220,FALSE)</f>
        <v>#N/A</v>
      </c>
      <c r="AK220" s="60" t="e">
        <f>100+HLOOKUP(AK$4,$D$7:$P$336,$R220,FALSE)-HLOOKUP(AK$3,$D$7:$P$336,$R220,FALSE)</f>
        <v>#N/A</v>
      </c>
      <c r="AL220" s="60" t="e">
        <f>100+HLOOKUP(AL$4,$D$7:$P$336,$R220,FALSE)-HLOOKUP(AL$3,$D$7:$P$336,$R220,FALSE)</f>
        <v>#N/A</v>
      </c>
      <c r="AM220" s="60" t="e">
        <f>100+HLOOKUP(AM$4,$D$7:$P$336,$R220,FALSE)-HLOOKUP(AM$3,$D$7:$P$336,$R220,FALSE)</f>
        <v>#N/A</v>
      </c>
      <c r="AN220" s="60" t="e">
        <f>100+HLOOKUP(AN$4,$D$7:$P$336,$R220,FALSE)-HLOOKUP(AN$3,$D$7:$P$336,$R220,FALSE)</f>
        <v>#N/A</v>
      </c>
      <c r="AO220" s="60" t="e">
        <f>100+HLOOKUP(AO$4,$D$7:$P$336,$R220,FALSE)-HLOOKUP(AO$3,$D$7:$P$336,$R220,FALSE)</f>
        <v>#N/A</v>
      </c>
      <c r="AP220" s="60" t="e">
        <f>100+HLOOKUP(AP$4,$D$7:$P$336,$R220,FALSE)-HLOOKUP(AP$3,$D$7:$P$336,$R220,FALSE)</f>
        <v>#N/A</v>
      </c>
      <c r="AQ220" s="60" t="e">
        <f>100+HLOOKUP(AQ$4,$D$7:$P$336,$R220,FALSE)-HLOOKUP(AQ$3,$D$7:$P$336,$R220,FALSE)</f>
        <v>#N/A</v>
      </c>
      <c r="AV220" s="60">
        <f ca="1">AV$5-S220</f>
        <v>-0.80960057320356782</v>
      </c>
      <c r="AW220" s="60">
        <f ca="1">AW$5-T220</f>
        <v>11.220650529757748</v>
      </c>
      <c r="AX220" s="60">
        <f ca="1">AX$5-U220</f>
        <v>15.775915403668051</v>
      </c>
      <c r="AY220" s="60">
        <f ca="1">AY$5-V220</f>
        <v>3.6030144015278012</v>
      </c>
      <c r="AZ220" s="60">
        <f ca="1">AZ$5-W220</f>
        <v>10.45448217259603</v>
      </c>
      <c r="BA220" s="60">
        <f ca="1">BA$5-X220</f>
        <v>-5.5349409410172967</v>
      </c>
      <c r="BB220" s="60">
        <f ca="1">BB$5-Y220</f>
        <v>10.350592727381127</v>
      </c>
      <c r="BC220" s="60">
        <f ca="1">BC$5-Z220</f>
        <v>21.437465909882164</v>
      </c>
      <c r="BD220" s="60">
        <f ca="1">BD$5-AA220</f>
        <v>7.936518664382362</v>
      </c>
      <c r="BE220" s="60">
        <f ca="1">BE$5-AB220</f>
        <v>4.829390591992194</v>
      </c>
      <c r="BF220" s="60">
        <f ca="1">BF$5-AC220</f>
        <v>3.0173043164770803</v>
      </c>
      <c r="BG220" s="60">
        <f ca="1">BG$5-AD220</f>
        <v>-4.0147412949814907</v>
      </c>
      <c r="BH220" s="60">
        <f ca="1">BH$5-AE220</f>
        <v>-10.045407769632433</v>
      </c>
      <c r="BI220" s="60">
        <f ca="1">BI$5-AF220</f>
        <v>-21.391494488745195</v>
      </c>
      <c r="BJ220" s="60">
        <f ca="1">BJ$5-AG220</f>
        <v>1.43955105767877</v>
      </c>
      <c r="BK220" s="60" t="e">
        <f>BK$5-AH220</f>
        <v>#N/A</v>
      </c>
      <c r="BL220" s="60" t="e">
        <f>BL$5-AI220</f>
        <v>#N/A</v>
      </c>
      <c r="BM220" s="60" t="e">
        <f>BM$5-AJ220</f>
        <v>#N/A</v>
      </c>
      <c r="BN220" s="60" t="e">
        <f>BN$5-AK220</f>
        <v>#N/A</v>
      </c>
      <c r="BO220" s="60" t="e">
        <f>BO$5-AL220</f>
        <v>#N/A</v>
      </c>
      <c r="BP220" s="60" t="e">
        <f>BP$5-AM220</f>
        <v>#N/A</v>
      </c>
      <c r="BQ220" s="60" t="e">
        <f>BQ$5-AN220</f>
        <v>#N/A</v>
      </c>
      <c r="BR220" s="60" t="e">
        <f>BR$5-AO220</f>
        <v>#N/A</v>
      </c>
      <c r="BS220" s="60" t="e">
        <f>BS$5-AP220</f>
        <v>#N/A</v>
      </c>
      <c r="BT220" s="60" t="e">
        <f>BT$5-AQ220</f>
        <v>#N/A</v>
      </c>
      <c r="BV220" s="60" cm="1">
        <f t="array" aca="1" ref="BV220" ca="1">SQRT(SUMSQ(_xlfn._xlws.FILTER(AV220:BT220,ISNUMBER(AV220:BT220)))/COUNT(_xlfn._xlws.FILTER(AV220:BT220,ISNUMBER(AV220:BT220))))</f>
        <v>10.854072446583938</v>
      </c>
    </row>
    <row r="221" spans="3:74" x14ac:dyDescent="0.2">
      <c r="C221" s="60" t="s">
        <v>405</v>
      </c>
      <c r="D221" s="60">
        <v>0</v>
      </c>
      <c r="E221" s="60">
        <v>4</v>
      </c>
      <c r="F221" s="60">
        <v>3</v>
      </c>
      <c r="G221" s="60">
        <v>-1</v>
      </c>
      <c r="H221" s="60">
        <v>-4</v>
      </c>
      <c r="I221" s="60">
        <v>-5</v>
      </c>
      <c r="J221" s="60">
        <v>-7</v>
      </c>
      <c r="K221" s="60">
        <v>-8</v>
      </c>
      <c r="L221" s="60">
        <v>-9</v>
      </c>
      <c r="M221" s="60">
        <v>-12</v>
      </c>
      <c r="N221" s="60">
        <v>-8</v>
      </c>
      <c r="O221" s="60">
        <v>-4</v>
      </c>
      <c r="P221" s="60">
        <v>0</v>
      </c>
      <c r="R221" s="61">
        <f>(ROW(R221)-ROW($C$6))</f>
        <v>215</v>
      </c>
      <c r="S221" s="60">
        <f ca="1">100+HLOOKUP(S$4,$D$7:$P$336,$R221,FALSE)-HLOOKUP(S$3,$D$7:$P$336,$R221,FALSE)</f>
        <v>108</v>
      </c>
      <c r="T221" s="60">
        <f ca="1">100+HLOOKUP(T$4,$D$7:$P$336,$R221,FALSE)-HLOOKUP(T$3,$D$7:$P$336,$R221,FALSE)</f>
        <v>97</v>
      </c>
      <c r="U221" s="60">
        <f ca="1">100+HLOOKUP(U$4,$D$7:$P$336,$R221,FALSE)-HLOOKUP(U$3,$D$7:$P$336,$R221,FALSE)</f>
        <v>87</v>
      </c>
      <c r="V221" s="60">
        <f ca="1">100+HLOOKUP(V$4,$D$7:$P$336,$R221,FALSE)-HLOOKUP(V$3,$D$7:$P$336,$R221,FALSE)</f>
        <v>103</v>
      </c>
      <c r="W221" s="60">
        <f ca="1">100+HLOOKUP(W$4,$D$7:$P$336,$R221,FALSE)-HLOOKUP(W$3,$D$7:$P$336,$R221,FALSE)</f>
        <v>92</v>
      </c>
      <c r="X221" s="60">
        <f ca="1">100+HLOOKUP(X$4,$D$7:$P$336,$R221,FALSE)-HLOOKUP(X$3,$D$7:$P$336,$R221,FALSE)</f>
        <v>108</v>
      </c>
      <c r="Y221" s="60">
        <f ca="1">100+HLOOKUP(Y$4,$D$7:$P$336,$R221,FALSE)-HLOOKUP(Y$3,$D$7:$P$336,$R221,FALSE)</f>
        <v>97</v>
      </c>
      <c r="Z221" s="60">
        <f ca="1">100+HLOOKUP(Z$4,$D$7:$P$336,$R221,FALSE)-HLOOKUP(Z$3,$D$7:$P$336,$R221,FALSE)</f>
        <v>87</v>
      </c>
      <c r="AA221" s="60">
        <f ca="1">100+HLOOKUP(AA$4,$D$7:$P$336,$R221,FALSE)-HLOOKUP(AA$3,$D$7:$P$336,$R221,FALSE)</f>
        <v>103</v>
      </c>
      <c r="AB221" s="60">
        <f ca="1">100+HLOOKUP(AB$4,$D$7:$P$336,$R221,FALSE)-HLOOKUP(AB$3,$D$7:$P$336,$R221,FALSE)</f>
        <v>92</v>
      </c>
      <c r="AC221" s="60">
        <f ca="1">100+HLOOKUP(AC$4,$D$7:$P$336,$R221,FALSE)-HLOOKUP(AC$3,$D$7:$P$336,$R221,FALSE)</f>
        <v>85</v>
      </c>
      <c r="AD221" s="60">
        <f ca="1">100+HLOOKUP(AD$4,$D$7:$P$336,$R221,FALSE)-HLOOKUP(AD$3,$D$7:$P$336,$R221,FALSE)</f>
        <v>100</v>
      </c>
      <c r="AE221" s="60">
        <f ca="1">100+HLOOKUP(AE$4,$D$7:$P$336,$R221,FALSE)-HLOOKUP(AE$3,$D$7:$P$336,$R221,FALSE)</f>
        <v>111</v>
      </c>
      <c r="AF221" s="60">
        <f ca="1">100+HLOOKUP(AF$4,$D$7:$P$336,$R221,FALSE)-HLOOKUP(AF$3,$D$7:$P$336,$R221,FALSE)</f>
        <v>108</v>
      </c>
      <c r="AG221" s="60">
        <f ca="1">100+HLOOKUP(AG$4,$D$7:$P$336,$R221,FALSE)-HLOOKUP(AG$3,$D$7:$P$336,$R221,FALSE)</f>
        <v>103</v>
      </c>
      <c r="AH221" s="60" t="e">
        <f>100+HLOOKUP(AH$4,$D$7:$P$336,$R221,FALSE)-HLOOKUP(AH$3,$D$7:$P$336,$R221,FALSE)</f>
        <v>#N/A</v>
      </c>
      <c r="AI221" s="60" t="e">
        <f>100+HLOOKUP(AI$4,$D$7:$P$336,$R221,FALSE)-HLOOKUP(AI$3,$D$7:$P$336,$R221,FALSE)</f>
        <v>#N/A</v>
      </c>
      <c r="AJ221" s="60" t="e">
        <f>100+HLOOKUP(AJ$4,$D$7:$P$336,$R221,FALSE)-HLOOKUP(AJ$3,$D$7:$P$336,$R221,FALSE)</f>
        <v>#N/A</v>
      </c>
      <c r="AK221" s="60" t="e">
        <f>100+HLOOKUP(AK$4,$D$7:$P$336,$R221,FALSE)-HLOOKUP(AK$3,$D$7:$P$336,$R221,FALSE)</f>
        <v>#N/A</v>
      </c>
      <c r="AL221" s="60" t="e">
        <f>100+HLOOKUP(AL$4,$D$7:$P$336,$R221,FALSE)-HLOOKUP(AL$3,$D$7:$P$336,$R221,FALSE)</f>
        <v>#N/A</v>
      </c>
      <c r="AM221" s="60" t="e">
        <f>100+HLOOKUP(AM$4,$D$7:$P$336,$R221,FALSE)-HLOOKUP(AM$3,$D$7:$P$336,$R221,FALSE)</f>
        <v>#N/A</v>
      </c>
      <c r="AN221" s="60" t="e">
        <f>100+HLOOKUP(AN$4,$D$7:$P$336,$R221,FALSE)-HLOOKUP(AN$3,$D$7:$P$336,$R221,FALSE)</f>
        <v>#N/A</v>
      </c>
      <c r="AO221" s="60" t="e">
        <f>100+HLOOKUP(AO$4,$D$7:$P$336,$R221,FALSE)-HLOOKUP(AO$3,$D$7:$P$336,$R221,FALSE)</f>
        <v>#N/A</v>
      </c>
      <c r="AP221" s="60" t="e">
        <f>100+HLOOKUP(AP$4,$D$7:$P$336,$R221,FALSE)-HLOOKUP(AP$3,$D$7:$P$336,$R221,FALSE)</f>
        <v>#N/A</v>
      </c>
      <c r="AQ221" s="60" t="e">
        <f>100+HLOOKUP(AQ$4,$D$7:$P$336,$R221,FALSE)-HLOOKUP(AQ$3,$D$7:$P$336,$R221,FALSE)</f>
        <v>#N/A</v>
      </c>
      <c r="AV221" s="60">
        <f ca="1">AV$5-S221</f>
        <v>-4.8096005732035678</v>
      </c>
      <c r="AW221" s="60">
        <f ca="1">AW$5-T221</f>
        <v>-2.7793494702422521</v>
      </c>
      <c r="AX221" s="60">
        <f ca="1">AX$5-U221</f>
        <v>14.775915403668051</v>
      </c>
      <c r="AY221" s="60">
        <f ca="1">AY$5-V221</f>
        <v>-9.3969855984721988</v>
      </c>
      <c r="AZ221" s="60">
        <f ca="1">AZ$5-W221</f>
        <v>5.4544821725960304</v>
      </c>
      <c r="BA221" s="60">
        <f ca="1">BA$5-X221</f>
        <v>-9.5349409410172967</v>
      </c>
      <c r="BB221" s="60">
        <f ca="1">BB$5-Y221</f>
        <v>-3.6494072726188733</v>
      </c>
      <c r="BC221" s="60">
        <f ca="1">BC$5-Z221</f>
        <v>20.437465909882164</v>
      </c>
      <c r="BD221" s="60">
        <f ca="1">BD$5-AA221</f>
        <v>-5.063481335617638</v>
      </c>
      <c r="BE221" s="60">
        <f ca="1">BE$5-AB221</f>
        <v>-0.170609408007806</v>
      </c>
      <c r="BF221" s="60">
        <f ca="1">BF$5-AC221</f>
        <v>16.01730431647708</v>
      </c>
      <c r="BG221" s="60">
        <f ca="1">BG$5-AD221</f>
        <v>3.9852587050185093</v>
      </c>
      <c r="BH221" s="60">
        <f ca="1">BH$5-AE221</f>
        <v>-12.045407769632433</v>
      </c>
      <c r="BI221" s="60">
        <f ca="1">BI$5-AF221</f>
        <v>-17.391494488745195</v>
      </c>
      <c r="BJ221" s="60">
        <f ca="1">BJ$5-AG221</f>
        <v>-11.56044894232123</v>
      </c>
      <c r="BK221" s="60" t="e">
        <f>BK$5-AH221</f>
        <v>#N/A</v>
      </c>
      <c r="BL221" s="60" t="e">
        <f>BL$5-AI221</f>
        <v>#N/A</v>
      </c>
      <c r="BM221" s="60" t="e">
        <f>BM$5-AJ221</f>
        <v>#N/A</v>
      </c>
      <c r="BN221" s="60" t="e">
        <f>BN$5-AK221</f>
        <v>#N/A</v>
      </c>
      <c r="BO221" s="60" t="e">
        <f>BO$5-AL221</f>
        <v>#N/A</v>
      </c>
      <c r="BP221" s="60" t="e">
        <f>BP$5-AM221</f>
        <v>#N/A</v>
      </c>
      <c r="BQ221" s="60" t="e">
        <f>BQ$5-AN221</f>
        <v>#N/A</v>
      </c>
      <c r="BR221" s="60" t="e">
        <f>BR$5-AO221</f>
        <v>#N/A</v>
      </c>
      <c r="BS221" s="60" t="e">
        <f>BS$5-AP221</f>
        <v>#N/A</v>
      </c>
      <c r="BT221" s="60" t="e">
        <f>BT$5-AQ221</f>
        <v>#N/A</v>
      </c>
      <c r="BV221" s="60" cm="1">
        <f t="array" aca="1" ref="BV221" ca="1">SQRT(SUMSQ(_xlfn._xlws.FILTER(AV221:BT221,ISNUMBER(AV221:BT221)))/COUNT(_xlfn._xlws.FILTER(AV221:BT221,ISNUMBER(AV221:BT221))))</f>
        <v>10.858075029642659</v>
      </c>
    </row>
    <row r="222" spans="3:74" x14ac:dyDescent="0.2">
      <c r="C222" s="60" t="s">
        <v>350</v>
      </c>
      <c r="D222" s="60">
        <v>0</v>
      </c>
      <c r="E222" s="60">
        <v>-2</v>
      </c>
      <c r="F222" s="60">
        <v>-5</v>
      </c>
      <c r="G222" s="60">
        <v>-7</v>
      </c>
      <c r="H222" s="60">
        <v>-9</v>
      </c>
      <c r="I222" s="60">
        <v>-12</v>
      </c>
      <c r="J222" s="60">
        <v>-14</v>
      </c>
      <c r="K222" s="60">
        <v>-16</v>
      </c>
      <c r="L222" s="60">
        <v>1</v>
      </c>
      <c r="M222" s="60">
        <v>7</v>
      </c>
      <c r="N222" s="60">
        <v>5</v>
      </c>
      <c r="O222" s="60">
        <v>2</v>
      </c>
      <c r="P222" s="60">
        <v>0</v>
      </c>
      <c r="R222" s="61">
        <f>(ROW(R222)-ROW($C$6))</f>
        <v>216</v>
      </c>
      <c r="S222" s="60">
        <f ca="1">100+HLOOKUP(S$4,$D$7:$P$336,$R222,FALSE)-HLOOKUP(S$3,$D$7:$P$336,$R222,FALSE)</f>
        <v>84</v>
      </c>
      <c r="T222" s="60">
        <f ca="1">100+HLOOKUP(T$4,$D$7:$P$336,$R222,FALSE)-HLOOKUP(T$3,$D$7:$P$336,$R222,FALSE)</f>
        <v>84</v>
      </c>
      <c r="U222" s="60">
        <f ca="1">100+HLOOKUP(U$4,$D$7:$P$336,$R222,FALSE)-HLOOKUP(U$3,$D$7:$P$336,$R222,FALSE)</f>
        <v>103</v>
      </c>
      <c r="V222" s="60">
        <f ca="1">100+HLOOKUP(V$4,$D$7:$P$336,$R222,FALSE)-HLOOKUP(V$3,$D$7:$P$336,$R222,FALSE)</f>
        <v>83</v>
      </c>
      <c r="W222" s="60">
        <f ca="1">100+HLOOKUP(W$4,$D$7:$P$336,$R222,FALSE)-HLOOKUP(W$3,$D$7:$P$336,$R222,FALSE)</f>
        <v>84</v>
      </c>
      <c r="X222" s="60">
        <f ca="1">100+HLOOKUP(X$4,$D$7:$P$336,$R222,FALSE)-HLOOKUP(X$3,$D$7:$P$336,$R222,FALSE)</f>
        <v>84</v>
      </c>
      <c r="Y222" s="60">
        <f ca="1">100+HLOOKUP(Y$4,$D$7:$P$336,$R222,FALSE)-HLOOKUP(Y$3,$D$7:$P$336,$R222,FALSE)</f>
        <v>84</v>
      </c>
      <c r="Z222" s="60">
        <f ca="1">100+HLOOKUP(Z$4,$D$7:$P$336,$R222,FALSE)-HLOOKUP(Z$3,$D$7:$P$336,$R222,FALSE)</f>
        <v>103</v>
      </c>
      <c r="AA222" s="60">
        <f ca="1">100+HLOOKUP(AA$4,$D$7:$P$336,$R222,FALSE)-HLOOKUP(AA$3,$D$7:$P$336,$R222,FALSE)</f>
        <v>83</v>
      </c>
      <c r="AB222" s="60">
        <f ca="1">100+HLOOKUP(AB$4,$D$7:$P$336,$R222,FALSE)-HLOOKUP(AB$3,$D$7:$P$336,$R222,FALSE)</f>
        <v>84</v>
      </c>
      <c r="AC222" s="60">
        <f ca="1">100+HLOOKUP(AC$4,$D$7:$P$336,$R222,FALSE)-HLOOKUP(AC$3,$D$7:$P$336,$R222,FALSE)</f>
        <v>112</v>
      </c>
      <c r="AD222" s="60">
        <f ca="1">100+HLOOKUP(AD$4,$D$7:$P$336,$R222,FALSE)-HLOOKUP(AD$3,$D$7:$P$336,$R222,FALSE)</f>
        <v>111</v>
      </c>
      <c r="AE222" s="60">
        <f ca="1">100+HLOOKUP(AE$4,$D$7:$P$336,$R222,FALSE)-HLOOKUP(AE$3,$D$7:$P$336,$R222,FALSE)</f>
        <v>112</v>
      </c>
      <c r="AF222" s="60">
        <f ca="1">100+HLOOKUP(AF$4,$D$7:$P$336,$R222,FALSE)-HLOOKUP(AF$3,$D$7:$P$336,$R222,FALSE)</f>
        <v>92</v>
      </c>
      <c r="AG222" s="60">
        <f ca="1">100+HLOOKUP(AG$4,$D$7:$P$336,$R222,FALSE)-HLOOKUP(AG$3,$D$7:$P$336,$R222,FALSE)</f>
        <v>83</v>
      </c>
      <c r="AH222" s="60" t="e">
        <f>100+HLOOKUP(AH$4,$D$7:$P$336,$R222,FALSE)-HLOOKUP(AH$3,$D$7:$P$336,$R222,FALSE)</f>
        <v>#N/A</v>
      </c>
      <c r="AI222" s="60" t="e">
        <f>100+HLOOKUP(AI$4,$D$7:$P$336,$R222,FALSE)-HLOOKUP(AI$3,$D$7:$P$336,$R222,FALSE)</f>
        <v>#N/A</v>
      </c>
      <c r="AJ222" s="60" t="e">
        <f>100+HLOOKUP(AJ$4,$D$7:$P$336,$R222,FALSE)-HLOOKUP(AJ$3,$D$7:$P$336,$R222,FALSE)</f>
        <v>#N/A</v>
      </c>
      <c r="AK222" s="60" t="e">
        <f>100+HLOOKUP(AK$4,$D$7:$P$336,$R222,FALSE)-HLOOKUP(AK$3,$D$7:$P$336,$R222,FALSE)</f>
        <v>#N/A</v>
      </c>
      <c r="AL222" s="60" t="e">
        <f>100+HLOOKUP(AL$4,$D$7:$P$336,$R222,FALSE)-HLOOKUP(AL$3,$D$7:$P$336,$R222,FALSE)</f>
        <v>#N/A</v>
      </c>
      <c r="AM222" s="60" t="e">
        <f>100+HLOOKUP(AM$4,$D$7:$P$336,$R222,FALSE)-HLOOKUP(AM$3,$D$7:$P$336,$R222,FALSE)</f>
        <v>#N/A</v>
      </c>
      <c r="AN222" s="60" t="e">
        <f>100+HLOOKUP(AN$4,$D$7:$P$336,$R222,FALSE)-HLOOKUP(AN$3,$D$7:$P$336,$R222,FALSE)</f>
        <v>#N/A</v>
      </c>
      <c r="AO222" s="60" t="e">
        <f>100+HLOOKUP(AO$4,$D$7:$P$336,$R222,FALSE)-HLOOKUP(AO$3,$D$7:$P$336,$R222,FALSE)</f>
        <v>#N/A</v>
      </c>
      <c r="AP222" s="60" t="e">
        <f>100+HLOOKUP(AP$4,$D$7:$P$336,$R222,FALSE)-HLOOKUP(AP$3,$D$7:$P$336,$R222,FALSE)</f>
        <v>#N/A</v>
      </c>
      <c r="AQ222" s="60" t="e">
        <f>100+HLOOKUP(AQ$4,$D$7:$P$336,$R222,FALSE)-HLOOKUP(AQ$3,$D$7:$P$336,$R222,FALSE)</f>
        <v>#N/A</v>
      </c>
      <c r="AV222" s="60">
        <f ca="1">AV$5-S222</f>
        <v>19.190399426796432</v>
      </c>
      <c r="AW222" s="60">
        <f ca="1">AW$5-T222</f>
        <v>10.220650529757748</v>
      </c>
      <c r="AX222" s="60">
        <f ca="1">AX$5-U222</f>
        <v>-1.2240845963319487</v>
      </c>
      <c r="AY222" s="60">
        <f ca="1">AY$5-V222</f>
        <v>10.603014401527801</v>
      </c>
      <c r="AZ222" s="60">
        <f ca="1">AZ$5-W222</f>
        <v>13.45448217259603</v>
      </c>
      <c r="BA222" s="60">
        <f ca="1">BA$5-X222</f>
        <v>14.465059058982703</v>
      </c>
      <c r="BB222" s="60">
        <f ca="1">BB$5-Y222</f>
        <v>9.3505927273811267</v>
      </c>
      <c r="BC222" s="60">
        <f ca="1">BC$5-Z222</f>
        <v>4.4374659098821638</v>
      </c>
      <c r="BD222" s="60">
        <f ca="1">BD$5-AA222</f>
        <v>14.936518664382362</v>
      </c>
      <c r="BE222" s="60">
        <f ca="1">BE$5-AB222</f>
        <v>7.829390591992194</v>
      </c>
      <c r="BF222" s="60">
        <f ca="1">BF$5-AC222</f>
        <v>-10.98269568352292</v>
      </c>
      <c r="BG222" s="60">
        <f ca="1">BG$5-AD222</f>
        <v>-7.0147412949814907</v>
      </c>
      <c r="BH222" s="60">
        <f ca="1">BH$5-AE222</f>
        <v>-13.045407769632433</v>
      </c>
      <c r="BI222" s="60">
        <f ca="1">BI$5-AF222</f>
        <v>-1.3914944887451952</v>
      </c>
      <c r="BJ222" s="60">
        <f ca="1">BJ$5-AG222</f>
        <v>8.43955105767877</v>
      </c>
      <c r="BK222" s="60" t="e">
        <f>BK$5-AH222</f>
        <v>#N/A</v>
      </c>
      <c r="BL222" s="60" t="e">
        <f>BL$5-AI222</f>
        <v>#N/A</v>
      </c>
      <c r="BM222" s="60" t="e">
        <f>BM$5-AJ222</f>
        <v>#N/A</v>
      </c>
      <c r="BN222" s="60" t="e">
        <f>BN$5-AK222</f>
        <v>#N/A</v>
      </c>
      <c r="BO222" s="60" t="e">
        <f>BO$5-AL222</f>
        <v>#N/A</v>
      </c>
      <c r="BP222" s="60" t="e">
        <f>BP$5-AM222</f>
        <v>#N/A</v>
      </c>
      <c r="BQ222" s="60" t="e">
        <f>BQ$5-AN222</f>
        <v>#N/A</v>
      </c>
      <c r="BR222" s="60" t="e">
        <f>BR$5-AO222</f>
        <v>#N/A</v>
      </c>
      <c r="BS222" s="60" t="e">
        <f>BS$5-AP222</f>
        <v>#N/A</v>
      </c>
      <c r="BT222" s="60" t="e">
        <f>BT$5-AQ222</f>
        <v>#N/A</v>
      </c>
      <c r="BV222" s="60" cm="1">
        <f t="array" aca="1" ref="BV222" ca="1">SQRT(SUMSQ(_xlfn._xlws.FILTER(AV222:BT222,ISNUMBER(AV222:BT222)))/COUNT(_xlfn._xlws.FILTER(AV222:BT222,ISNUMBER(AV222:BT222))))</f>
        <v>10.898352250641262</v>
      </c>
    </row>
    <row r="223" spans="3:74" x14ac:dyDescent="0.2">
      <c r="C223" s="60" t="s">
        <v>393</v>
      </c>
      <c r="D223" s="60">
        <v>0</v>
      </c>
      <c r="E223" s="60">
        <v>-2</v>
      </c>
      <c r="F223" s="60">
        <v>-4</v>
      </c>
      <c r="G223" s="60">
        <v>-6</v>
      </c>
      <c r="H223" s="60">
        <v>-8</v>
      </c>
      <c r="I223" s="60">
        <v>-10</v>
      </c>
      <c r="J223" s="60">
        <v>-12</v>
      </c>
      <c r="K223" s="60">
        <v>-14</v>
      </c>
      <c r="L223" s="60">
        <v>-16</v>
      </c>
      <c r="M223" s="60">
        <v>2</v>
      </c>
      <c r="N223" s="60">
        <v>0</v>
      </c>
      <c r="O223" s="60">
        <v>0</v>
      </c>
      <c r="P223" s="60">
        <v>0</v>
      </c>
      <c r="R223" s="61">
        <f>(ROW(R223)-ROW($C$6))</f>
        <v>217</v>
      </c>
      <c r="S223" s="60">
        <f ca="1">100+HLOOKUP(S$4,$D$7:$P$336,$R223,FALSE)-HLOOKUP(S$3,$D$7:$P$336,$R223,FALSE)</f>
        <v>90</v>
      </c>
      <c r="T223" s="60">
        <f ca="1">100+HLOOKUP(T$4,$D$7:$P$336,$R223,FALSE)-HLOOKUP(T$3,$D$7:$P$336,$R223,FALSE)</f>
        <v>88</v>
      </c>
      <c r="U223" s="60">
        <f ca="1">100+HLOOKUP(U$4,$D$7:$P$336,$R223,FALSE)-HLOOKUP(U$3,$D$7:$P$336,$R223,FALSE)</f>
        <v>86</v>
      </c>
      <c r="V223" s="60">
        <f ca="1">100+HLOOKUP(V$4,$D$7:$P$336,$R223,FALSE)-HLOOKUP(V$3,$D$7:$P$336,$R223,FALSE)</f>
        <v>90</v>
      </c>
      <c r="W223" s="60">
        <f ca="1">100+HLOOKUP(W$4,$D$7:$P$336,$R223,FALSE)-HLOOKUP(W$3,$D$7:$P$336,$R223,FALSE)</f>
        <v>86</v>
      </c>
      <c r="X223" s="60">
        <f ca="1">100+HLOOKUP(X$4,$D$7:$P$336,$R223,FALSE)-HLOOKUP(X$3,$D$7:$P$336,$R223,FALSE)</f>
        <v>90</v>
      </c>
      <c r="Y223" s="60">
        <f ca="1">100+HLOOKUP(Y$4,$D$7:$P$336,$R223,FALSE)-HLOOKUP(Y$3,$D$7:$P$336,$R223,FALSE)</f>
        <v>88</v>
      </c>
      <c r="Z223" s="60">
        <f ca="1">100+HLOOKUP(Z$4,$D$7:$P$336,$R223,FALSE)-HLOOKUP(Z$3,$D$7:$P$336,$R223,FALSE)</f>
        <v>86</v>
      </c>
      <c r="AA223" s="60">
        <f ca="1">100+HLOOKUP(AA$4,$D$7:$P$336,$R223,FALSE)-HLOOKUP(AA$3,$D$7:$P$336,$R223,FALSE)</f>
        <v>90</v>
      </c>
      <c r="AB223" s="60">
        <f ca="1">100+HLOOKUP(AB$4,$D$7:$P$336,$R223,FALSE)-HLOOKUP(AB$3,$D$7:$P$336,$R223,FALSE)</f>
        <v>86</v>
      </c>
      <c r="AC223" s="60">
        <f ca="1">100+HLOOKUP(AC$4,$D$7:$P$336,$R223,FALSE)-HLOOKUP(AC$3,$D$7:$P$336,$R223,FALSE)</f>
        <v>106</v>
      </c>
      <c r="AD223" s="60">
        <f ca="1">100+HLOOKUP(AD$4,$D$7:$P$336,$R223,FALSE)-HLOOKUP(AD$3,$D$7:$P$336,$R223,FALSE)</f>
        <v>108</v>
      </c>
      <c r="AE223" s="60">
        <f ca="1">100+HLOOKUP(AE$4,$D$7:$P$336,$R223,FALSE)-HLOOKUP(AE$3,$D$7:$P$336,$R223,FALSE)</f>
        <v>110</v>
      </c>
      <c r="AF223" s="60">
        <f ca="1">100+HLOOKUP(AF$4,$D$7:$P$336,$R223,FALSE)-HLOOKUP(AF$3,$D$7:$P$336,$R223,FALSE)</f>
        <v>110</v>
      </c>
      <c r="AG223" s="60">
        <f ca="1">100+HLOOKUP(AG$4,$D$7:$P$336,$R223,FALSE)-HLOOKUP(AG$3,$D$7:$P$336,$R223,FALSE)</f>
        <v>90</v>
      </c>
      <c r="AH223" s="60" t="e">
        <f>100+HLOOKUP(AH$4,$D$7:$P$336,$R223,FALSE)-HLOOKUP(AH$3,$D$7:$P$336,$R223,FALSE)</f>
        <v>#N/A</v>
      </c>
      <c r="AI223" s="60" t="e">
        <f>100+HLOOKUP(AI$4,$D$7:$P$336,$R223,FALSE)-HLOOKUP(AI$3,$D$7:$P$336,$R223,FALSE)</f>
        <v>#N/A</v>
      </c>
      <c r="AJ223" s="60" t="e">
        <f>100+HLOOKUP(AJ$4,$D$7:$P$336,$R223,FALSE)-HLOOKUP(AJ$3,$D$7:$P$336,$R223,FALSE)</f>
        <v>#N/A</v>
      </c>
      <c r="AK223" s="60" t="e">
        <f>100+HLOOKUP(AK$4,$D$7:$P$336,$R223,FALSE)-HLOOKUP(AK$3,$D$7:$P$336,$R223,FALSE)</f>
        <v>#N/A</v>
      </c>
      <c r="AL223" s="60" t="e">
        <f>100+HLOOKUP(AL$4,$D$7:$P$336,$R223,FALSE)-HLOOKUP(AL$3,$D$7:$P$336,$R223,FALSE)</f>
        <v>#N/A</v>
      </c>
      <c r="AM223" s="60" t="e">
        <f>100+HLOOKUP(AM$4,$D$7:$P$336,$R223,FALSE)-HLOOKUP(AM$3,$D$7:$P$336,$R223,FALSE)</f>
        <v>#N/A</v>
      </c>
      <c r="AN223" s="60" t="e">
        <f>100+HLOOKUP(AN$4,$D$7:$P$336,$R223,FALSE)-HLOOKUP(AN$3,$D$7:$P$336,$R223,FALSE)</f>
        <v>#N/A</v>
      </c>
      <c r="AO223" s="60" t="e">
        <f>100+HLOOKUP(AO$4,$D$7:$P$336,$R223,FALSE)-HLOOKUP(AO$3,$D$7:$P$336,$R223,FALSE)</f>
        <v>#N/A</v>
      </c>
      <c r="AP223" s="60" t="e">
        <f>100+HLOOKUP(AP$4,$D$7:$P$336,$R223,FALSE)-HLOOKUP(AP$3,$D$7:$P$336,$R223,FALSE)</f>
        <v>#N/A</v>
      </c>
      <c r="AQ223" s="60" t="e">
        <f>100+HLOOKUP(AQ$4,$D$7:$P$336,$R223,FALSE)-HLOOKUP(AQ$3,$D$7:$P$336,$R223,FALSE)</f>
        <v>#N/A</v>
      </c>
      <c r="AV223" s="60">
        <f ca="1">AV$5-S223</f>
        <v>13.190399426796432</v>
      </c>
      <c r="AW223" s="60">
        <f ca="1">AW$5-T223</f>
        <v>6.2206505297577479</v>
      </c>
      <c r="AX223" s="60">
        <f ca="1">AX$5-U223</f>
        <v>15.775915403668051</v>
      </c>
      <c r="AY223" s="60">
        <f ca="1">AY$5-V223</f>
        <v>3.6030144015278012</v>
      </c>
      <c r="AZ223" s="60">
        <f ca="1">AZ$5-W223</f>
        <v>11.45448217259603</v>
      </c>
      <c r="BA223" s="60">
        <f ca="1">BA$5-X223</f>
        <v>8.4650590589827033</v>
      </c>
      <c r="BB223" s="60">
        <f ca="1">BB$5-Y223</f>
        <v>5.3505927273811267</v>
      </c>
      <c r="BC223" s="60">
        <f ca="1">BC$5-Z223</f>
        <v>21.437465909882164</v>
      </c>
      <c r="BD223" s="60">
        <f ca="1">BD$5-AA223</f>
        <v>7.936518664382362</v>
      </c>
      <c r="BE223" s="60">
        <f ca="1">BE$5-AB223</f>
        <v>5.829390591992194</v>
      </c>
      <c r="BF223" s="60">
        <f ca="1">BF$5-AC223</f>
        <v>-4.9826956835229197</v>
      </c>
      <c r="BG223" s="60">
        <f ca="1">BG$5-AD223</f>
        <v>-4.0147412949814907</v>
      </c>
      <c r="BH223" s="60">
        <f ca="1">BH$5-AE223</f>
        <v>-11.045407769632433</v>
      </c>
      <c r="BI223" s="60">
        <f ca="1">BI$5-AF223</f>
        <v>-19.391494488745195</v>
      </c>
      <c r="BJ223" s="60">
        <f ca="1">BJ$5-AG223</f>
        <v>1.43955105767877</v>
      </c>
      <c r="BK223" s="60" t="e">
        <f>BK$5-AH223</f>
        <v>#N/A</v>
      </c>
      <c r="BL223" s="60" t="e">
        <f>BL$5-AI223</f>
        <v>#N/A</v>
      </c>
      <c r="BM223" s="60" t="e">
        <f>BM$5-AJ223</f>
        <v>#N/A</v>
      </c>
      <c r="BN223" s="60" t="e">
        <f>BN$5-AK223</f>
        <v>#N/A</v>
      </c>
      <c r="BO223" s="60" t="e">
        <f>BO$5-AL223</f>
        <v>#N/A</v>
      </c>
      <c r="BP223" s="60" t="e">
        <f>BP$5-AM223</f>
        <v>#N/A</v>
      </c>
      <c r="BQ223" s="60" t="e">
        <f>BQ$5-AN223</f>
        <v>#N/A</v>
      </c>
      <c r="BR223" s="60" t="e">
        <f>BR$5-AO223</f>
        <v>#N/A</v>
      </c>
      <c r="BS223" s="60" t="e">
        <f>BS$5-AP223</f>
        <v>#N/A</v>
      </c>
      <c r="BT223" s="60" t="e">
        <f>BT$5-AQ223</f>
        <v>#N/A</v>
      </c>
      <c r="BV223" s="60" cm="1">
        <f t="array" aca="1" ref="BV223" ca="1">SQRT(SUMSQ(_xlfn._xlws.FILTER(AV223:BT223,ISNUMBER(AV223:BT223)))/COUNT(_xlfn._xlws.FILTER(AV223:BT223,ISNUMBER(AV223:BT223))))</f>
        <v>10.965459252323919</v>
      </c>
    </row>
    <row r="224" spans="3:74" x14ac:dyDescent="0.2">
      <c r="C224" s="60" t="s">
        <v>351</v>
      </c>
      <c r="D224" s="60">
        <v>0</v>
      </c>
      <c r="E224" s="60">
        <v>-2.3460000000000001</v>
      </c>
      <c r="F224" s="60">
        <v>-4.6920000000000002</v>
      </c>
      <c r="G224" s="60">
        <v>-7.0380000000000003</v>
      </c>
      <c r="H224" s="60">
        <v>-9.3840000000000003</v>
      </c>
      <c r="I224" s="60">
        <v>-11.73</v>
      </c>
      <c r="J224" s="60">
        <v>-14.076000000000001</v>
      </c>
      <c r="K224" s="60">
        <v>-16.422000000000001</v>
      </c>
      <c r="L224" s="60">
        <v>0.78200000000000003</v>
      </c>
      <c r="M224" s="60">
        <v>7.0380000000000003</v>
      </c>
      <c r="N224" s="60">
        <v>4.6920000000000002</v>
      </c>
      <c r="O224" s="60">
        <v>2.3460000000000001</v>
      </c>
      <c r="P224" s="60">
        <v>0</v>
      </c>
      <c r="R224" s="61">
        <f>(ROW(R224)-ROW($C$6))</f>
        <v>218</v>
      </c>
      <c r="S224" s="60">
        <f ca="1">100+HLOOKUP(S$4,$D$7:$P$336,$R224,FALSE)-HLOOKUP(S$3,$D$7:$P$336,$R224,FALSE)</f>
        <v>83.578000000000003</v>
      </c>
      <c r="T224" s="60">
        <f ca="1">100+HLOOKUP(T$4,$D$7:$P$336,$R224,FALSE)-HLOOKUP(T$3,$D$7:$P$336,$R224,FALSE)</f>
        <v>83.578000000000003</v>
      </c>
      <c r="U224" s="60">
        <f ca="1">100+HLOOKUP(U$4,$D$7:$P$336,$R224,FALSE)-HLOOKUP(U$3,$D$7:$P$336,$R224,FALSE)</f>
        <v>103.128</v>
      </c>
      <c r="V224" s="60">
        <f ca="1">100+HLOOKUP(V$4,$D$7:$P$336,$R224,FALSE)-HLOOKUP(V$3,$D$7:$P$336,$R224,FALSE)</f>
        <v>83.578000000000003</v>
      </c>
      <c r="W224" s="60">
        <f ca="1">100+HLOOKUP(W$4,$D$7:$P$336,$R224,FALSE)-HLOOKUP(W$3,$D$7:$P$336,$R224,FALSE)</f>
        <v>83.578000000000003</v>
      </c>
      <c r="X224" s="60">
        <f ca="1">100+HLOOKUP(X$4,$D$7:$P$336,$R224,FALSE)-HLOOKUP(X$3,$D$7:$P$336,$R224,FALSE)</f>
        <v>83.578000000000003</v>
      </c>
      <c r="Y224" s="60">
        <f ca="1">100+HLOOKUP(Y$4,$D$7:$P$336,$R224,FALSE)-HLOOKUP(Y$3,$D$7:$P$336,$R224,FALSE)</f>
        <v>83.578000000000003</v>
      </c>
      <c r="Z224" s="60">
        <f ca="1">100+HLOOKUP(Z$4,$D$7:$P$336,$R224,FALSE)-HLOOKUP(Z$3,$D$7:$P$336,$R224,FALSE)</f>
        <v>103.128</v>
      </c>
      <c r="AA224" s="60">
        <f ca="1">100+HLOOKUP(AA$4,$D$7:$P$336,$R224,FALSE)-HLOOKUP(AA$3,$D$7:$P$336,$R224,FALSE)</f>
        <v>83.578000000000003</v>
      </c>
      <c r="AB224" s="60">
        <f ca="1">100+HLOOKUP(AB$4,$D$7:$P$336,$R224,FALSE)-HLOOKUP(AB$3,$D$7:$P$336,$R224,FALSE)</f>
        <v>83.578000000000003</v>
      </c>
      <c r="AC224" s="60">
        <f ca="1">100+HLOOKUP(AC$4,$D$7:$P$336,$R224,FALSE)-HLOOKUP(AC$3,$D$7:$P$336,$R224,FALSE)</f>
        <v>111.72999999999999</v>
      </c>
      <c r="AD224" s="60">
        <f ca="1">100+HLOOKUP(AD$4,$D$7:$P$336,$R224,FALSE)-HLOOKUP(AD$3,$D$7:$P$336,$R224,FALSE)</f>
        <v>111.73</v>
      </c>
      <c r="AE224" s="60">
        <f ca="1">100+HLOOKUP(AE$4,$D$7:$P$336,$R224,FALSE)-HLOOKUP(AE$3,$D$7:$P$336,$R224,FALSE)</f>
        <v>111.72999999999999</v>
      </c>
      <c r="AF224" s="60">
        <f ca="1">100+HLOOKUP(AF$4,$D$7:$P$336,$R224,FALSE)-HLOOKUP(AF$3,$D$7:$P$336,$R224,FALSE)</f>
        <v>92.18</v>
      </c>
      <c r="AG224" s="60">
        <f ca="1">100+HLOOKUP(AG$4,$D$7:$P$336,$R224,FALSE)-HLOOKUP(AG$3,$D$7:$P$336,$R224,FALSE)</f>
        <v>83.578000000000003</v>
      </c>
      <c r="AH224" s="60" t="e">
        <f>100+HLOOKUP(AH$4,$D$7:$P$336,$R224,FALSE)-HLOOKUP(AH$3,$D$7:$P$336,$R224,FALSE)</f>
        <v>#N/A</v>
      </c>
      <c r="AI224" s="60" t="e">
        <f>100+HLOOKUP(AI$4,$D$7:$P$336,$R224,FALSE)-HLOOKUP(AI$3,$D$7:$P$336,$R224,FALSE)</f>
        <v>#N/A</v>
      </c>
      <c r="AJ224" s="60" t="e">
        <f>100+HLOOKUP(AJ$4,$D$7:$P$336,$R224,FALSE)-HLOOKUP(AJ$3,$D$7:$P$336,$R224,FALSE)</f>
        <v>#N/A</v>
      </c>
      <c r="AK224" s="60" t="e">
        <f>100+HLOOKUP(AK$4,$D$7:$P$336,$R224,FALSE)-HLOOKUP(AK$3,$D$7:$P$336,$R224,FALSE)</f>
        <v>#N/A</v>
      </c>
      <c r="AL224" s="60" t="e">
        <f>100+HLOOKUP(AL$4,$D$7:$P$336,$R224,FALSE)-HLOOKUP(AL$3,$D$7:$P$336,$R224,FALSE)</f>
        <v>#N/A</v>
      </c>
      <c r="AM224" s="60" t="e">
        <f>100+HLOOKUP(AM$4,$D$7:$P$336,$R224,FALSE)-HLOOKUP(AM$3,$D$7:$P$336,$R224,FALSE)</f>
        <v>#N/A</v>
      </c>
      <c r="AN224" s="60" t="e">
        <f>100+HLOOKUP(AN$4,$D$7:$P$336,$R224,FALSE)-HLOOKUP(AN$3,$D$7:$P$336,$R224,FALSE)</f>
        <v>#N/A</v>
      </c>
      <c r="AO224" s="60" t="e">
        <f>100+HLOOKUP(AO$4,$D$7:$P$336,$R224,FALSE)-HLOOKUP(AO$3,$D$7:$P$336,$R224,FALSE)</f>
        <v>#N/A</v>
      </c>
      <c r="AP224" s="60" t="e">
        <f>100+HLOOKUP(AP$4,$D$7:$P$336,$R224,FALSE)-HLOOKUP(AP$3,$D$7:$P$336,$R224,FALSE)</f>
        <v>#N/A</v>
      </c>
      <c r="AQ224" s="60" t="e">
        <f>100+HLOOKUP(AQ$4,$D$7:$P$336,$R224,FALSE)-HLOOKUP(AQ$3,$D$7:$P$336,$R224,FALSE)</f>
        <v>#N/A</v>
      </c>
      <c r="AV224" s="60">
        <f ca="1">AV$5-S224</f>
        <v>19.612399426796429</v>
      </c>
      <c r="AW224" s="60">
        <f ca="1">AW$5-T224</f>
        <v>10.642650529757745</v>
      </c>
      <c r="AX224" s="60">
        <f ca="1">AX$5-U224</f>
        <v>-1.3520845963319488</v>
      </c>
      <c r="AY224" s="60">
        <f ca="1">AY$5-V224</f>
        <v>10.025014401527798</v>
      </c>
      <c r="AZ224" s="60">
        <f ca="1">AZ$5-W224</f>
        <v>13.876482172596027</v>
      </c>
      <c r="BA224" s="60">
        <f ca="1">BA$5-X224</f>
        <v>14.8870590589827</v>
      </c>
      <c r="BB224" s="60">
        <f ca="1">BB$5-Y224</f>
        <v>9.7725927273811237</v>
      </c>
      <c r="BC224" s="60">
        <f ca="1">BC$5-Z224</f>
        <v>4.3094659098821637</v>
      </c>
      <c r="BD224" s="60">
        <f ca="1">BD$5-AA224</f>
        <v>14.358518664382359</v>
      </c>
      <c r="BE224" s="60">
        <f ca="1">BE$5-AB224</f>
        <v>8.251390591992191</v>
      </c>
      <c r="BF224" s="60">
        <f ca="1">BF$5-AC224</f>
        <v>-10.712695683522909</v>
      </c>
      <c r="BG224" s="60">
        <f ca="1">BG$5-AD224</f>
        <v>-7.7447412949814947</v>
      </c>
      <c r="BH224" s="60">
        <f ca="1">BH$5-AE224</f>
        <v>-12.775407769632423</v>
      </c>
      <c r="BI224" s="60">
        <f ca="1">BI$5-AF224</f>
        <v>-1.571494488745202</v>
      </c>
      <c r="BJ224" s="60">
        <f ca="1">BJ$5-AG224</f>
        <v>7.8615510576787671</v>
      </c>
      <c r="BK224" s="60" t="e">
        <f>BK$5-AH224</f>
        <v>#N/A</v>
      </c>
      <c r="BL224" s="60" t="e">
        <f>BL$5-AI224</f>
        <v>#N/A</v>
      </c>
      <c r="BM224" s="60" t="e">
        <f>BM$5-AJ224</f>
        <v>#N/A</v>
      </c>
      <c r="BN224" s="60" t="e">
        <f>BN$5-AK224</f>
        <v>#N/A</v>
      </c>
      <c r="BO224" s="60" t="e">
        <f>BO$5-AL224</f>
        <v>#N/A</v>
      </c>
      <c r="BP224" s="60" t="e">
        <f>BP$5-AM224</f>
        <v>#N/A</v>
      </c>
      <c r="BQ224" s="60" t="e">
        <f>BQ$5-AN224</f>
        <v>#N/A</v>
      </c>
      <c r="BR224" s="60" t="e">
        <f>BR$5-AO224</f>
        <v>#N/A</v>
      </c>
      <c r="BS224" s="60" t="e">
        <f>BS$5-AP224</f>
        <v>#N/A</v>
      </c>
      <c r="BT224" s="60" t="e">
        <f>BT$5-AQ224</f>
        <v>#N/A</v>
      </c>
      <c r="BV224" s="60" cm="1">
        <f t="array" aca="1" ref="BV224" ca="1">SQRT(SUMSQ(_xlfn._xlws.FILTER(AV224:BT224,ISNUMBER(AV224:BT224)))/COUNT(_xlfn._xlws.FILTER(AV224:BT224,ISNUMBER(AV224:BT224))))</f>
        <v>10.969587087789511</v>
      </c>
    </row>
    <row r="225" spans="3:74" x14ac:dyDescent="0.2">
      <c r="C225" s="60" t="s">
        <v>435</v>
      </c>
      <c r="D225" s="60">
        <v>0</v>
      </c>
      <c r="E225" s="60">
        <v>2</v>
      </c>
      <c r="F225" s="60">
        <v>4</v>
      </c>
      <c r="G225" s="60">
        <v>6</v>
      </c>
      <c r="H225" s="60">
        <v>8</v>
      </c>
      <c r="I225" s="60">
        <v>10</v>
      </c>
      <c r="J225" s="60">
        <v>0</v>
      </c>
      <c r="K225" s="60">
        <v>2</v>
      </c>
      <c r="L225" s="60">
        <v>4</v>
      </c>
      <c r="M225" s="60">
        <v>6</v>
      </c>
      <c r="N225" s="60">
        <v>-4</v>
      </c>
      <c r="O225" s="60">
        <v>-2</v>
      </c>
      <c r="P225" s="60">
        <v>0</v>
      </c>
      <c r="R225" s="61">
        <f>(ROW(R225)-ROW($C$6))</f>
        <v>219</v>
      </c>
      <c r="S225" s="60">
        <f ca="1">100+HLOOKUP(S$4,$D$7:$P$336,$R225,FALSE)-HLOOKUP(S$3,$D$7:$P$336,$R225,FALSE)</f>
        <v>102</v>
      </c>
      <c r="T225" s="60">
        <f ca="1">100+HLOOKUP(T$4,$D$7:$P$336,$R225,FALSE)-HLOOKUP(T$3,$D$7:$P$336,$R225,FALSE)</f>
        <v>102</v>
      </c>
      <c r="U225" s="60">
        <f ca="1">100+HLOOKUP(U$4,$D$7:$P$336,$R225,FALSE)-HLOOKUP(U$3,$D$7:$P$336,$R225,FALSE)</f>
        <v>102</v>
      </c>
      <c r="V225" s="60">
        <f ca="1">100+HLOOKUP(V$4,$D$7:$P$336,$R225,FALSE)-HLOOKUP(V$3,$D$7:$P$336,$R225,FALSE)</f>
        <v>114</v>
      </c>
      <c r="W225" s="60">
        <f ca="1">100+HLOOKUP(W$4,$D$7:$P$336,$R225,FALSE)-HLOOKUP(W$3,$D$7:$P$336,$R225,FALSE)</f>
        <v>102</v>
      </c>
      <c r="X225" s="60">
        <f ca="1">100+HLOOKUP(X$4,$D$7:$P$336,$R225,FALSE)-HLOOKUP(X$3,$D$7:$P$336,$R225,FALSE)</f>
        <v>102</v>
      </c>
      <c r="Y225" s="60">
        <f ca="1">100+HLOOKUP(Y$4,$D$7:$P$336,$R225,FALSE)-HLOOKUP(Y$3,$D$7:$P$336,$R225,FALSE)</f>
        <v>102</v>
      </c>
      <c r="Z225" s="60">
        <f ca="1">100+HLOOKUP(Z$4,$D$7:$P$336,$R225,FALSE)-HLOOKUP(Z$3,$D$7:$P$336,$R225,FALSE)</f>
        <v>102</v>
      </c>
      <c r="AA225" s="60">
        <f ca="1">100+HLOOKUP(AA$4,$D$7:$P$336,$R225,FALSE)-HLOOKUP(AA$3,$D$7:$P$336,$R225,FALSE)</f>
        <v>114</v>
      </c>
      <c r="AB225" s="60">
        <f ca="1">100+HLOOKUP(AB$4,$D$7:$P$336,$R225,FALSE)-HLOOKUP(AB$3,$D$7:$P$336,$R225,FALSE)</f>
        <v>102</v>
      </c>
      <c r="AC225" s="60">
        <f ca="1">100+HLOOKUP(AC$4,$D$7:$P$336,$R225,FALSE)-HLOOKUP(AC$3,$D$7:$P$336,$R225,FALSE)</f>
        <v>102</v>
      </c>
      <c r="AD225" s="60">
        <f ca="1">100+HLOOKUP(AD$4,$D$7:$P$336,$R225,FALSE)-HLOOKUP(AD$3,$D$7:$P$336,$R225,FALSE)</f>
        <v>90</v>
      </c>
      <c r="AE225" s="60">
        <f ca="1">100+HLOOKUP(AE$4,$D$7:$P$336,$R225,FALSE)-HLOOKUP(AE$3,$D$7:$P$336,$R225,FALSE)</f>
        <v>102</v>
      </c>
      <c r="AF225" s="60">
        <f ca="1">100+HLOOKUP(AF$4,$D$7:$P$336,$R225,FALSE)-HLOOKUP(AF$3,$D$7:$P$336,$R225,FALSE)</f>
        <v>102</v>
      </c>
      <c r="AG225" s="60">
        <f ca="1">100+HLOOKUP(AG$4,$D$7:$P$336,$R225,FALSE)-HLOOKUP(AG$3,$D$7:$P$336,$R225,FALSE)</f>
        <v>114</v>
      </c>
      <c r="AH225" s="60" t="e">
        <f>100+HLOOKUP(AH$4,$D$7:$P$336,$R225,FALSE)-HLOOKUP(AH$3,$D$7:$P$336,$R225,FALSE)</f>
        <v>#N/A</v>
      </c>
      <c r="AI225" s="60" t="e">
        <f>100+HLOOKUP(AI$4,$D$7:$P$336,$R225,FALSE)-HLOOKUP(AI$3,$D$7:$P$336,$R225,FALSE)</f>
        <v>#N/A</v>
      </c>
      <c r="AJ225" s="60" t="e">
        <f>100+HLOOKUP(AJ$4,$D$7:$P$336,$R225,FALSE)-HLOOKUP(AJ$3,$D$7:$P$336,$R225,FALSE)</f>
        <v>#N/A</v>
      </c>
      <c r="AK225" s="60" t="e">
        <f>100+HLOOKUP(AK$4,$D$7:$P$336,$R225,FALSE)-HLOOKUP(AK$3,$D$7:$P$336,$R225,FALSE)</f>
        <v>#N/A</v>
      </c>
      <c r="AL225" s="60" t="e">
        <f>100+HLOOKUP(AL$4,$D$7:$P$336,$R225,FALSE)-HLOOKUP(AL$3,$D$7:$P$336,$R225,FALSE)</f>
        <v>#N/A</v>
      </c>
      <c r="AM225" s="60" t="e">
        <f>100+HLOOKUP(AM$4,$D$7:$P$336,$R225,FALSE)-HLOOKUP(AM$3,$D$7:$P$336,$R225,FALSE)</f>
        <v>#N/A</v>
      </c>
      <c r="AN225" s="60" t="e">
        <f>100+HLOOKUP(AN$4,$D$7:$P$336,$R225,FALSE)-HLOOKUP(AN$3,$D$7:$P$336,$R225,FALSE)</f>
        <v>#N/A</v>
      </c>
      <c r="AO225" s="60" t="e">
        <f>100+HLOOKUP(AO$4,$D$7:$P$336,$R225,FALSE)-HLOOKUP(AO$3,$D$7:$P$336,$R225,FALSE)</f>
        <v>#N/A</v>
      </c>
      <c r="AP225" s="60" t="e">
        <f>100+HLOOKUP(AP$4,$D$7:$P$336,$R225,FALSE)-HLOOKUP(AP$3,$D$7:$P$336,$R225,FALSE)</f>
        <v>#N/A</v>
      </c>
      <c r="AQ225" s="60" t="e">
        <f>100+HLOOKUP(AQ$4,$D$7:$P$336,$R225,FALSE)-HLOOKUP(AQ$3,$D$7:$P$336,$R225,FALSE)</f>
        <v>#N/A</v>
      </c>
      <c r="AV225" s="60">
        <f ca="1">AV$5-S225</f>
        <v>1.1903994267964322</v>
      </c>
      <c r="AW225" s="60">
        <f ca="1">AW$5-T225</f>
        <v>-7.7793494702422521</v>
      </c>
      <c r="AX225" s="60">
        <f ca="1">AX$5-U225</f>
        <v>-0.22408459633194866</v>
      </c>
      <c r="AY225" s="60">
        <f ca="1">AY$5-V225</f>
        <v>-20.396985598472199</v>
      </c>
      <c r="AZ225" s="60">
        <f ca="1">AZ$5-W225</f>
        <v>-4.5455178274039696</v>
      </c>
      <c r="BA225" s="60">
        <f ca="1">BA$5-X225</f>
        <v>-3.5349409410172967</v>
      </c>
      <c r="BB225" s="60">
        <f ca="1">BB$5-Y225</f>
        <v>-8.6494072726188733</v>
      </c>
      <c r="BC225" s="60">
        <f ca="1">BC$5-Z225</f>
        <v>5.4374659098821638</v>
      </c>
      <c r="BD225" s="60">
        <f ca="1">BD$5-AA225</f>
        <v>-16.063481335617638</v>
      </c>
      <c r="BE225" s="60">
        <f ca="1">BE$5-AB225</f>
        <v>-10.170609408007806</v>
      </c>
      <c r="BF225" s="60">
        <f ca="1">BF$5-AC225</f>
        <v>-0.98269568352291969</v>
      </c>
      <c r="BG225" s="60">
        <f ca="1">BG$5-AD225</f>
        <v>13.985258705018509</v>
      </c>
      <c r="BH225" s="60">
        <f ca="1">BH$5-AE225</f>
        <v>-3.0454077696324333</v>
      </c>
      <c r="BI225" s="60">
        <f ca="1">BI$5-AF225</f>
        <v>-11.391494488745195</v>
      </c>
      <c r="BJ225" s="60">
        <f ca="1">BJ$5-AG225</f>
        <v>-22.56044894232123</v>
      </c>
      <c r="BK225" s="60" t="e">
        <f>BK$5-AH225</f>
        <v>#N/A</v>
      </c>
      <c r="BL225" s="60" t="e">
        <f>BL$5-AI225</f>
        <v>#N/A</v>
      </c>
      <c r="BM225" s="60" t="e">
        <f>BM$5-AJ225</f>
        <v>#N/A</v>
      </c>
      <c r="BN225" s="60" t="e">
        <f>BN$5-AK225</f>
        <v>#N/A</v>
      </c>
      <c r="BO225" s="60" t="e">
        <f>BO$5-AL225</f>
        <v>#N/A</v>
      </c>
      <c r="BP225" s="60" t="e">
        <f>BP$5-AM225</f>
        <v>#N/A</v>
      </c>
      <c r="BQ225" s="60" t="e">
        <f>BQ$5-AN225</f>
        <v>#N/A</v>
      </c>
      <c r="BR225" s="60" t="e">
        <f>BR$5-AO225</f>
        <v>#N/A</v>
      </c>
      <c r="BS225" s="60" t="e">
        <f>BS$5-AP225</f>
        <v>#N/A</v>
      </c>
      <c r="BT225" s="60" t="e">
        <f>BT$5-AQ225</f>
        <v>#N/A</v>
      </c>
      <c r="BV225" s="60" cm="1">
        <f t="array" aca="1" ref="BV225" ca="1">SQRT(SUMSQ(_xlfn._xlws.FILTER(AV225:BT225,ISNUMBER(AV225:BT225)))/COUNT(_xlfn._xlws.FILTER(AV225:BT225,ISNUMBER(AV225:BT225))))</f>
        <v>11.019990253180199</v>
      </c>
    </row>
    <row r="226" spans="3:74" x14ac:dyDescent="0.2">
      <c r="C226" s="60" t="s">
        <v>297</v>
      </c>
      <c r="D226" s="60">
        <v>0</v>
      </c>
      <c r="E226" s="60">
        <v>0</v>
      </c>
      <c r="F226" s="60">
        <v>-2</v>
      </c>
      <c r="G226" s="60">
        <v>-5</v>
      </c>
      <c r="H226" s="60">
        <v>-7</v>
      </c>
      <c r="I226" s="60">
        <v>-9</v>
      </c>
      <c r="J226" s="60">
        <v>-12</v>
      </c>
      <c r="K226" s="60">
        <v>-14</v>
      </c>
      <c r="L226" s="60">
        <v>-16</v>
      </c>
      <c r="M226" s="60">
        <v>0</v>
      </c>
      <c r="N226" s="60">
        <v>0</v>
      </c>
      <c r="O226" s="60">
        <v>0</v>
      </c>
      <c r="P226" s="60">
        <v>0</v>
      </c>
      <c r="R226" s="61">
        <f>(ROW(R226)-ROW($C$6))</f>
        <v>220</v>
      </c>
      <c r="S226" s="60">
        <f ca="1">100+HLOOKUP(S$4,$D$7:$P$336,$R226,FALSE)-HLOOKUP(S$3,$D$7:$P$336,$R226,FALSE)</f>
        <v>93</v>
      </c>
      <c r="T226" s="60">
        <f ca="1">100+HLOOKUP(T$4,$D$7:$P$336,$R226,FALSE)-HLOOKUP(T$3,$D$7:$P$336,$R226,FALSE)</f>
        <v>88</v>
      </c>
      <c r="U226" s="60">
        <f ca="1">100+HLOOKUP(U$4,$D$7:$P$336,$R226,FALSE)-HLOOKUP(U$3,$D$7:$P$336,$R226,FALSE)</f>
        <v>84</v>
      </c>
      <c r="V226" s="60">
        <f ca="1">100+HLOOKUP(V$4,$D$7:$P$336,$R226,FALSE)-HLOOKUP(V$3,$D$7:$P$336,$R226,FALSE)</f>
        <v>91</v>
      </c>
      <c r="W226" s="60">
        <f ca="1">100+HLOOKUP(W$4,$D$7:$P$336,$R226,FALSE)-HLOOKUP(W$3,$D$7:$P$336,$R226,FALSE)</f>
        <v>86</v>
      </c>
      <c r="X226" s="60">
        <f ca="1">100+HLOOKUP(X$4,$D$7:$P$336,$R226,FALSE)-HLOOKUP(X$3,$D$7:$P$336,$R226,FALSE)</f>
        <v>93</v>
      </c>
      <c r="Y226" s="60">
        <f ca="1">100+HLOOKUP(Y$4,$D$7:$P$336,$R226,FALSE)-HLOOKUP(Y$3,$D$7:$P$336,$R226,FALSE)</f>
        <v>88</v>
      </c>
      <c r="Z226" s="60">
        <f ca="1">100+HLOOKUP(Z$4,$D$7:$P$336,$R226,FALSE)-HLOOKUP(Z$3,$D$7:$P$336,$R226,FALSE)</f>
        <v>84</v>
      </c>
      <c r="AA226" s="60">
        <f ca="1">100+HLOOKUP(AA$4,$D$7:$P$336,$R226,FALSE)-HLOOKUP(AA$3,$D$7:$P$336,$R226,FALSE)</f>
        <v>91</v>
      </c>
      <c r="AB226" s="60">
        <f ca="1">100+HLOOKUP(AB$4,$D$7:$P$336,$R226,FALSE)-HLOOKUP(AB$3,$D$7:$P$336,$R226,FALSE)</f>
        <v>86</v>
      </c>
      <c r="AC226" s="60">
        <f ca="1">100+HLOOKUP(AC$4,$D$7:$P$336,$R226,FALSE)-HLOOKUP(AC$3,$D$7:$P$336,$R226,FALSE)</f>
        <v>102</v>
      </c>
      <c r="AD226" s="60">
        <f ca="1">100+HLOOKUP(AD$4,$D$7:$P$336,$R226,FALSE)-HLOOKUP(AD$3,$D$7:$P$336,$R226,FALSE)</f>
        <v>107</v>
      </c>
      <c r="AE226" s="60">
        <f ca="1">100+HLOOKUP(AE$4,$D$7:$P$336,$R226,FALSE)-HLOOKUP(AE$3,$D$7:$P$336,$R226,FALSE)</f>
        <v>112</v>
      </c>
      <c r="AF226" s="60">
        <f ca="1">100+HLOOKUP(AF$4,$D$7:$P$336,$R226,FALSE)-HLOOKUP(AF$3,$D$7:$P$336,$R226,FALSE)</f>
        <v>111</v>
      </c>
      <c r="AG226" s="60">
        <f ca="1">100+HLOOKUP(AG$4,$D$7:$P$336,$R226,FALSE)-HLOOKUP(AG$3,$D$7:$P$336,$R226,FALSE)</f>
        <v>91</v>
      </c>
      <c r="AH226" s="60" t="e">
        <f>100+HLOOKUP(AH$4,$D$7:$P$336,$R226,FALSE)-HLOOKUP(AH$3,$D$7:$P$336,$R226,FALSE)</f>
        <v>#N/A</v>
      </c>
      <c r="AI226" s="60" t="e">
        <f>100+HLOOKUP(AI$4,$D$7:$P$336,$R226,FALSE)-HLOOKUP(AI$3,$D$7:$P$336,$R226,FALSE)</f>
        <v>#N/A</v>
      </c>
      <c r="AJ226" s="60" t="e">
        <f>100+HLOOKUP(AJ$4,$D$7:$P$336,$R226,FALSE)-HLOOKUP(AJ$3,$D$7:$P$336,$R226,FALSE)</f>
        <v>#N/A</v>
      </c>
      <c r="AK226" s="60" t="e">
        <f>100+HLOOKUP(AK$4,$D$7:$P$336,$R226,FALSE)-HLOOKUP(AK$3,$D$7:$P$336,$R226,FALSE)</f>
        <v>#N/A</v>
      </c>
      <c r="AL226" s="60" t="e">
        <f>100+HLOOKUP(AL$4,$D$7:$P$336,$R226,FALSE)-HLOOKUP(AL$3,$D$7:$P$336,$R226,FALSE)</f>
        <v>#N/A</v>
      </c>
      <c r="AM226" s="60" t="e">
        <f>100+HLOOKUP(AM$4,$D$7:$P$336,$R226,FALSE)-HLOOKUP(AM$3,$D$7:$P$336,$R226,FALSE)</f>
        <v>#N/A</v>
      </c>
      <c r="AN226" s="60" t="e">
        <f>100+HLOOKUP(AN$4,$D$7:$P$336,$R226,FALSE)-HLOOKUP(AN$3,$D$7:$P$336,$R226,FALSE)</f>
        <v>#N/A</v>
      </c>
      <c r="AO226" s="60" t="e">
        <f>100+HLOOKUP(AO$4,$D$7:$P$336,$R226,FALSE)-HLOOKUP(AO$3,$D$7:$P$336,$R226,FALSE)</f>
        <v>#N/A</v>
      </c>
      <c r="AP226" s="60" t="e">
        <f>100+HLOOKUP(AP$4,$D$7:$P$336,$R226,FALSE)-HLOOKUP(AP$3,$D$7:$P$336,$R226,FALSE)</f>
        <v>#N/A</v>
      </c>
      <c r="AQ226" s="60" t="e">
        <f>100+HLOOKUP(AQ$4,$D$7:$P$336,$R226,FALSE)-HLOOKUP(AQ$3,$D$7:$P$336,$R226,FALSE)</f>
        <v>#N/A</v>
      </c>
      <c r="AV226" s="60">
        <f ca="1">AV$5-S226</f>
        <v>10.190399426796432</v>
      </c>
      <c r="AW226" s="60">
        <f ca="1">AW$5-T226</f>
        <v>6.2206505297577479</v>
      </c>
      <c r="AX226" s="60">
        <f ca="1">AX$5-U226</f>
        <v>17.775915403668051</v>
      </c>
      <c r="AY226" s="60">
        <f ca="1">AY$5-V226</f>
        <v>2.6030144015278012</v>
      </c>
      <c r="AZ226" s="60">
        <f ca="1">AZ$5-W226</f>
        <v>11.45448217259603</v>
      </c>
      <c r="BA226" s="60">
        <f ca="1">BA$5-X226</f>
        <v>5.4650590589827033</v>
      </c>
      <c r="BB226" s="60">
        <f ca="1">BB$5-Y226</f>
        <v>5.3505927273811267</v>
      </c>
      <c r="BC226" s="60">
        <f ca="1">BC$5-Z226</f>
        <v>23.437465909882164</v>
      </c>
      <c r="BD226" s="60">
        <f ca="1">BD$5-AA226</f>
        <v>6.936518664382362</v>
      </c>
      <c r="BE226" s="60">
        <f ca="1">BE$5-AB226</f>
        <v>5.829390591992194</v>
      </c>
      <c r="BF226" s="60">
        <f ca="1">BF$5-AC226</f>
        <v>-0.98269568352291969</v>
      </c>
      <c r="BG226" s="60">
        <f ca="1">BG$5-AD226</f>
        <v>-3.0147412949814907</v>
      </c>
      <c r="BH226" s="60">
        <f ca="1">BH$5-AE226</f>
        <v>-13.045407769632433</v>
      </c>
      <c r="BI226" s="60">
        <f ca="1">BI$5-AF226</f>
        <v>-20.391494488745195</v>
      </c>
      <c r="BJ226" s="60">
        <f ca="1">BJ$5-AG226</f>
        <v>0.43955105767877001</v>
      </c>
      <c r="BK226" s="60" t="e">
        <f>BK$5-AH226</f>
        <v>#N/A</v>
      </c>
      <c r="BL226" s="60" t="e">
        <f>BL$5-AI226</f>
        <v>#N/A</v>
      </c>
      <c r="BM226" s="60" t="e">
        <f>BM$5-AJ226</f>
        <v>#N/A</v>
      </c>
      <c r="BN226" s="60" t="e">
        <f>BN$5-AK226</f>
        <v>#N/A</v>
      </c>
      <c r="BO226" s="60" t="e">
        <f>BO$5-AL226</f>
        <v>#N/A</v>
      </c>
      <c r="BP226" s="60" t="e">
        <f>BP$5-AM226</f>
        <v>#N/A</v>
      </c>
      <c r="BQ226" s="60" t="e">
        <f>BQ$5-AN226</f>
        <v>#N/A</v>
      </c>
      <c r="BR226" s="60" t="e">
        <f>BR$5-AO226</f>
        <v>#N/A</v>
      </c>
      <c r="BS226" s="60" t="e">
        <f>BS$5-AP226</f>
        <v>#N/A</v>
      </c>
      <c r="BT226" s="60" t="e">
        <f>BT$5-AQ226</f>
        <v>#N/A</v>
      </c>
      <c r="BV226" s="60" cm="1">
        <f t="array" aca="1" ref="BV226" ca="1">SQRT(SUMSQ(_xlfn._xlws.FILTER(AV226:BT226,ISNUMBER(AV226:BT226)))/COUNT(_xlfn._xlws.FILTER(AV226:BT226,ISNUMBER(AV226:BT226))))</f>
        <v>11.203141307406794</v>
      </c>
    </row>
    <row r="227" spans="3:74" x14ac:dyDescent="0.2">
      <c r="C227" s="60" t="s">
        <v>187</v>
      </c>
      <c r="D227" s="60">
        <v>0</v>
      </c>
      <c r="E227" s="60">
        <v>2</v>
      </c>
      <c r="F227" s="60">
        <v>-2</v>
      </c>
      <c r="G227" s="60">
        <v>-6</v>
      </c>
      <c r="H227" s="60">
        <v>-8</v>
      </c>
      <c r="I227" s="60">
        <v>-8</v>
      </c>
      <c r="J227" s="60">
        <v>-10</v>
      </c>
      <c r="K227" s="60">
        <v>-14</v>
      </c>
      <c r="L227" s="60">
        <v>-16</v>
      </c>
      <c r="M227" s="60">
        <v>3</v>
      </c>
      <c r="N227" s="60">
        <v>-1</v>
      </c>
      <c r="O227" s="60">
        <v>-2</v>
      </c>
      <c r="P227" s="60">
        <v>0</v>
      </c>
      <c r="R227" s="61">
        <f>(ROW(R227)-ROW($C$6))</f>
        <v>221</v>
      </c>
      <c r="S227" s="60">
        <f ca="1">100+HLOOKUP(S$4,$D$7:$P$336,$R227,FALSE)-HLOOKUP(S$3,$D$7:$P$336,$R227,FALSE)</f>
        <v>89</v>
      </c>
      <c r="T227" s="60">
        <f ca="1">100+HLOOKUP(T$4,$D$7:$P$336,$R227,FALSE)-HLOOKUP(T$3,$D$7:$P$336,$R227,FALSE)</f>
        <v>92</v>
      </c>
      <c r="U227" s="60">
        <f ca="1">100+HLOOKUP(U$4,$D$7:$P$336,$R227,FALSE)-HLOOKUP(U$3,$D$7:$P$336,$R227,FALSE)</f>
        <v>82</v>
      </c>
      <c r="V227" s="60">
        <f ca="1">100+HLOOKUP(V$4,$D$7:$P$336,$R227,FALSE)-HLOOKUP(V$3,$D$7:$P$336,$R227,FALSE)</f>
        <v>93</v>
      </c>
      <c r="W227" s="60">
        <f ca="1">100+HLOOKUP(W$4,$D$7:$P$336,$R227,FALSE)-HLOOKUP(W$3,$D$7:$P$336,$R227,FALSE)</f>
        <v>86</v>
      </c>
      <c r="X227" s="60">
        <f ca="1">100+HLOOKUP(X$4,$D$7:$P$336,$R227,FALSE)-HLOOKUP(X$3,$D$7:$P$336,$R227,FALSE)</f>
        <v>89</v>
      </c>
      <c r="Y227" s="60">
        <f ca="1">100+HLOOKUP(Y$4,$D$7:$P$336,$R227,FALSE)-HLOOKUP(Y$3,$D$7:$P$336,$R227,FALSE)</f>
        <v>92</v>
      </c>
      <c r="Z227" s="60">
        <f ca="1">100+HLOOKUP(Z$4,$D$7:$P$336,$R227,FALSE)-HLOOKUP(Z$3,$D$7:$P$336,$R227,FALSE)</f>
        <v>82</v>
      </c>
      <c r="AA227" s="60">
        <f ca="1">100+HLOOKUP(AA$4,$D$7:$P$336,$R227,FALSE)-HLOOKUP(AA$3,$D$7:$P$336,$R227,FALSE)</f>
        <v>93</v>
      </c>
      <c r="AB227" s="60">
        <f ca="1">100+HLOOKUP(AB$4,$D$7:$P$336,$R227,FALSE)-HLOOKUP(AB$3,$D$7:$P$336,$R227,FALSE)</f>
        <v>86</v>
      </c>
      <c r="AC227" s="60">
        <f ca="1">100+HLOOKUP(AC$4,$D$7:$P$336,$R227,FALSE)-HLOOKUP(AC$3,$D$7:$P$336,$R227,FALSE)</f>
        <v>105</v>
      </c>
      <c r="AD227" s="60">
        <f ca="1">100+HLOOKUP(AD$4,$D$7:$P$336,$R227,FALSE)-HLOOKUP(AD$3,$D$7:$P$336,$R227,FALSE)</f>
        <v>106</v>
      </c>
      <c r="AE227" s="60">
        <f ca="1">100+HLOOKUP(AE$4,$D$7:$P$336,$R227,FALSE)-HLOOKUP(AE$3,$D$7:$P$336,$R227,FALSE)</f>
        <v>112</v>
      </c>
      <c r="AF227" s="60">
        <f ca="1">100+HLOOKUP(AF$4,$D$7:$P$336,$R227,FALSE)-HLOOKUP(AF$3,$D$7:$P$336,$R227,FALSE)</f>
        <v>110</v>
      </c>
      <c r="AG227" s="60">
        <f ca="1">100+HLOOKUP(AG$4,$D$7:$P$336,$R227,FALSE)-HLOOKUP(AG$3,$D$7:$P$336,$R227,FALSE)</f>
        <v>93</v>
      </c>
      <c r="AH227" s="60" t="e">
        <f>100+HLOOKUP(AH$4,$D$7:$P$336,$R227,FALSE)-HLOOKUP(AH$3,$D$7:$P$336,$R227,FALSE)</f>
        <v>#N/A</v>
      </c>
      <c r="AI227" s="60" t="e">
        <f>100+HLOOKUP(AI$4,$D$7:$P$336,$R227,FALSE)-HLOOKUP(AI$3,$D$7:$P$336,$R227,FALSE)</f>
        <v>#N/A</v>
      </c>
      <c r="AJ227" s="60" t="e">
        <f>100+HLOOKUP(AJ$4,$D$7:$P$336,$R227,FALSE)-HLOOKUP(AJ$3,$D$7:$P$336,$R227,FALSE)</f>
        <v>#N/A</v>
      </c>
      <c r="AK227" s="60" t="e">
        <f>100+HLOOKUP(AK$4,$D$7:$P$336,$R227,FALSE)-HLOOKUP(AK$3,$D$7:$P$336,$R227,FALSE)</f>
        <v>#N/A</v>
      </c>
      <c r="AL227" s="60" t="e">
        <f>100+HLOOKUP(AL$4,$D$7:$P$336,$R227,FALSE)-HLOOKUP(AL$3,$D$7:$P$336,$R227,FALSE)</f>
        <v>#N/A</v>
      </c>
      <c r="AM227" s="60" t="e">
        <f>100+HLOOKUP(AM$4,$D$7:$P$336,$R227,FALSE)-HLOOKUP(AM$3,$D$7:$P$336,$R227,FALSE)</f>
        <v>#N/A</v>
      </c>
      <c r="AN227" s="60" t="e">
        <f>100+HLOOKUP(AN$4,$D$7:$P$336,$R227,FALSE)-HLOOKUP(AN$3,$D$7:$P$336,$R227,FALSE)</f>
        <v>#N/A</v>
      </c>
      <c r="AO227" s="60" t="e">
        <f>100+HLOOKUP(AO$4,$D$7:$P$336,$R227,FALSE)-HLOOKUP(AO$3,$D$7:$P$336,$R227,FALSE)</f>
        <v>#N/A</v>
      </c>
      <c r="AP227" s="60" t="e">
        <f>100+HLOOKUP(AP$4,$D$7:$P$336,$R227,FALSE)-HLOOKUP(AP$3,$D$7:$P$336,$R227,FALSE)</f>
        <v>#N/A</v>
      </c>
      <c r="AQ227" s="60" t="e">
        <f>100+HLOOKUP(AQ$4,$D$7:$P$336,$R227,FALSE)-HLOOKUP(AQ$3,$D$7:$P$336,$R227,FALSE)</f>
        <v>#N/A</v>
      </c>
      <c r="AV227" s="60">
        <f ca="1">AV$5-S227</f>
        <v>14.190399426796432</v>
      </c>
      <c r="AW227" s="60">
        <f ca="1">AW$5-T227</f>
        <v>2.2206505297577479</v>
      </c>
      <c r="AX227" s="60">
        <f ca="1">AX$5-U227</f>
        <v>19.775915403668051</v>
      </c>
      <c r="AY227" s="60">
        <f ca="1">AY$5-V227</f>
        <v>0.60301440152780117</v>
      </c>
      <c r="AZ227" s="60">
        <f ca="1">AZ$5-W227</f>
        <v>11.45448217259603</v>
      </c>
      <c r="BA227" s="60">
        <f ca="1">BA$5-X227</f>
        <v>9.4650590589827033</v>
      </c>
      <c r="BB227" s="60">
        <f ca="1">BB$5-Y227</f>
        <v>1.3505927273811267</v>
      </c>
      <c r="BC227" s="60">
        <f ca="1">BC$5-Z227</f>
        <v>25.437465909882164</v>
      </c>
      <c r="BD227" s="60">
        <f ca="1">BD$5-AA227</f>
        <v>4.936518664382362</v>
      </c>
      <c r="BE227" s="60">
        <f ca="1">BE$5-AB227</f>
        <v>5.829390591992194</v>
      </c>
      <c r="BF227" s="60">
        <f ca="1">BF$5-AC227</f>
        <v>-3.9826956835229197</v>
      </c>
      <c r="BG227" s="60">
        <f ca="1">BG$5-AD227</f>
        <v>-2.0147412949814907</v>
      </c>
      <c r="BH227" s="60">
        <f ca="1">BH$5-AE227</f>
        <v>-13.045407769632433</v>
      </c>
      <c r="BI227" s="60">
        <f ca="1">BI$5-AF227</f>
        <v>-19.391494488745195</v>
      </c>
      <c r="BJ227" s="60">
        <f ca="1">BJ$5-AG227</f>
        <v>-1.56044894232123</v>
      </c>
      <c r="BK227" s="60" t="e">
        <f>BK$5-AH227</f>
        <v>#N/A</v>
      </c>
      <c r="BL227" s="60" t="e">
        <f>BL$5-AI227</f>
        <v>#N/A</v>
      </c>
      <c r="BM227" s="60" t="e">
        <f>BM$5-AJ227</f>
        <v>#N/A</v>
      </c>
      <c r="BN227" s="60" t="e">
        <f>BN$5-AK227</f>
        <v>#N/A</v>
      </c>
      <c r="BO227" s="60" t="e">
        <f>BO$5-AL227</f>
        <v>#N/A</v>
      </c>
      <c r="BP227" s="60" t="e">
        <f>BP$5-AM227</f>
        <v>#N/A</v>
      </c>
      <c r="BQ227" s="60" t="e">
        <f>BQ$5-AN227</f>
        <v>#N/A</v>
      </c>
      <c r="BR227" s="60" t="e">
        <f>BR$5-AO227</f>
        <v>#N/A</v>
      </c>
      <c r="BS227" s="60" t="e">
        <f>BS$5-AP227</f>
        <v>#N/A</v>
      </c>
      <c r="BT227" s="60" t="e">
        <f>BT$5-AQ227</f>
        <v>#N/A</v>
      </c>
      <c r="BV227" s="60" cm="1">
        <f t="array" aca="1" ref="BV227" ca="1">SQRT(SUMSQ(_xlfn._xlws.FILTER(AV227:BT227,ISNUMBER(AV227:BT227)))/COUNT(_xlfn._xlws.FILTER(AV227:BT227,ISNUMBER(AV227:BT227))))</f>
        <v>11.816232452093228</v>
      </c>
    </row>
    <row r="228" spans="3:74" x14ac:dyDescent="0.2">
      <c r="C228" s="60" t="s">
        <v>210</v>
      </c>
      <c r="D228" s="60">
        <v>0</v>
      </c>
      <c r="E228" s="60">
        <v>-3</v>
      </c>
      <c r="F228" s="60">
        <v>-1</v>
      </c>
      <c r="G228" s="60">
        <v>-4</v>
      </c>
      <c r="H228" s="60">
        <v>-6</v>
      </c>
      <c r="I228" s="60">
        <v>-4</v>
      </c>
      <c r="J228" s="60">
        <v>-11</v>
      </c>
      <c r="K228" s="60">
        <v>-15</v>
      </c>
      <c r="L228" s="60">
        <v>-20</v>
      </c>
      <c r="M228" s="60">
        <v>-4</v>
      </c>
      <c r="N228" s="60">
        <v>-6</v>
      </c>
      <c r="O228" s="60">
        <v>-2</v>
      </c>
      <c r="P228" s="60">
        <v>0</v>
      </c>
      <c r="R228" s="61">
        <f>(ROW(R228)-ROW($C$6))</f>
        <v>222</v>
      </c>
      <c r="S228" s="60">
        <f ca="1">100+HLOOKUP(S$4,$D$7:$P$336,$R228,FALSE)-HLOOKUP(S$3,$D$7:$P$336,$R228,FALSE)</f>
        <v>98</v>
      </c>
      <c r="T228" s="60">
        <f ca="1">100+HLOOKUP(T$4,$D$7:$P$336,$R228,FALSE)-HLOOKUP(T$3,$D$7:$P$336,$R228,FALSE)</f>
        <v>91</v>
      </c>
      <c r="U228" s="60">
        <f ca="1">100+HLOOKUP(U$4,$D$7:$P$336,$R228,FALSE)-HLOOKUP(U$3,$D$7:$P$336,$R228,FALSE)</f>
        <v>83</v>
      </c>
      <c r="V228" s="60">
        <f ca="1">100+HLOOKUP(V$4,$D$7:$P$336,$R228,FALSE)-HLOOKUP(V$3,$D$7:$P$336,$R228,FALSE)</f>
        <v>102</v>
      </c>
      <c r="W228" s="60">
        <f ca="1">100+HLOOKUP(W$4,$D$7:$P$336,$R228,FALSE)-HLOOKUP(W$3,$D$7:$P$336,$R228,FALSE)</f>
        <v>85</v>
      </c>
      <c r="X228" s="60">
        <f ca="1">100+HLOOKUP(X$4,$D$7:$P$336,$R228,FALSE)-HLOOKUP(X$3,$D$7:$P$336,$R228,FALSE)</f>
        <v>98</v>
      </c>
      <c r="Y228" s="60">
        <f ca="1">100+HLOOKUP(Y$4,$D$7:$P$336,$R228,FALSE)-HLOOKUP(Y$3,$D$7:$P$336,$R228,FALSE)</f>
        <v>91</v>
      </c>
      <c r="Z228" s="60">
        <f ca="1">100+HLOOKUP(Z$4,$D$7:$P$336,$R228,FALSE)-HLOOKUP(Z$3,$D$7:$P$336,$R228,FALSE)</f>
        <v>83</v>
      </c>
      <c r="AA228" s="60">
        <f ca="1">100+HLOOKUP(AA$4,$D$7:$P$336,$R228,FALSE)-HLOOKUP(AA$3,$D$7:$P$336,$R228,FALSE)</f>
        <v>102</v>
      </c>
      <c r="AB228" s="60">
        <f ca="1">100+HLOOKUP(AB$4,$D$7:$P$336,$R228,FALSE)-HLOOKUP(AB$3,$D$7:$P$336,$R228,FALSE)</f>
        <v>85</v>
      </c>
      <c r="AC228" s="60">
        <f ca="1">100+HLOOKUP(AC$4,$D$7:$P$336,$R228,FALSE)-HLOOKUP(AC$3,$D$7:$P$336,$R228,FALSE)</f>
        <v>97</v>
      </c>
      <c r="AD228" s="60">
        <f ca="1">100+HLOOKUP(AD$4,$D$7:$P$336,$R228,FALSE)-HLOOKUP(AD$3,$D$7:$P$336,$R228,FALSE)</f>
        <v>104</v>
      </c>
      <c r="AE228" s="60">
        <f ca="1">100+HLOOKUP(AE$4,$D$7:$P$336,$R228,FALSE)-HLOOKUP(AE$3,$D$7:$P$336,$R228,FALSE)</f>
        <v>108</v>
      </c>
      <c r="AF228" s="60">
        <f ca="1">100+HLOOKUP(AF$4,$D$7:$P$336,$R228,FALSE)-HLOOKUP(AF$3,$D$7:$P$336,$R228,FALSE)</f>
        <v>116</v>
      </c>
      <c r="AG228" s="60">
        <f ca="1">100+HLOOKUP(AG$4,$D$7:$P$336,$R228,FALSE)-HLOOKUP(AG$3,$D$7:$P$336,$R228,FALSE)</f>
        <v>102</v>
      </c>
      <c r="AH228" s="60" t="e">
        <f>100+HLOOKUP(AH$4,$D$7:$P$336,$R228,FALSE)-HLOOKUP(AH$3,$D$7:$P$336,$R228,FALSE)</f>
        <v>#N/A</v>
      </c>
      <c r="AI228" s="60" t="e">
        <f>100+HLOOKUP(AI$4,$D$7:$P$336,$R228,FALSE)-HLOOKUP(AI$3,$D$7:$P$336,$R228,FALSE)</f>
        <v>#N/A</v>
      </c>
      <c r="AJ228" s="60" t="e">
        <f>100+HLOOKUP(AJ$4,$D$7:$P$336,$R228,FALSE)-HLOOKUP(AJ$3,$D$7:$P$336,$R228,FALSE)</f>
        <v>#N/A</v>
      </c>
      <c r="AK228" s="60" t="e">
        <f>100+HLOOKUP(AK$4,$D$7:$P$336,$R228,FALSE)-HLOOKUP(AK$3,$D$7:$P$336,$R228,FALSE)</f>
        <v>#N/A</v>
      </c>
      <c r="AL228" s="60" t="e">
        <f>100+HLOOKUP(AL$4,$D$7:$P$336,$R228,FALSE)-HLOOKUP(AL$3,$D$7:$P$336,$R228,FALSE)</f>
        <v>#N/A</v>
      </c>
      <c r="AM228" s="60" t="e">
        <f>100+HLOOKUP(AM$4,$D$7:$P$336,$R228,FALSE)-HLOOKUP(AM$3,$D$7:$P$336,$R228,FALSE)</f>
        <v>#N/A</v>
      </c>
      <c r="AN228" s="60" t="e">
        <f>100+HLOOKUP(AN$4,$D$7:$P$336,$R228,FALSE)-HLOOKUP(AN$3,$D$7:$P$336,$R228,FALSE)</f>
        <v>#N/A</v>
      </c>
      <c r="AO228" s="60" t="e">
        <f>100+HLOOKUP(AO$4,$D$7:$P$336,$R228,FALSE)-HLOOKUP(AO$3,$D$7:$P$336,$R228,FALSE)</f>
        <v>#N/A</v>
      </c>
      <c r="AP228" s="60" t="e">
        <f>100+HLOOKUP(AP$4,$D$7:$P$336,$R228,FALSE)-HLOOKUP(AP$3,$D$7:$P$336,$R228,FALSE)</f>
        <v>#N/A</v>
      </c>
      <c r="AQ228" s="60" t="e">
        <f>100+HLOOKUP(AQ$4,$D$7:$P$336,$R228,FALSE)-HLOOKUP(AQ$3,$D$7:$P$336,$R228,FALSE)</f>
        <v>#N/A</v>
      </c>
      <c r="AV228" s="60">
        <f ca="1">AV$5-S228</f>
        <v>5.1903994267964322</v>
      </c>
      <c r="AW228" s="60">
        <f ca="1">AW$5-T228</f>
        <v>3.2206505297577479</v>
      </c>
      <c r="AX228" s="60">
        <f ca="1">AX$5-U228</f>
        <v>18.775915403668051</v>
      </c>
      <c r="AY228" s="60">
        <f ca="1">AY$5-V228</f>
        <v>-8.3969855984721988</v>
      </c>
      <c r="AZ228" s="60">
        <f ca="1">AZ$5-W228</f>
        <v>12.45448217259603</v>
      </c>
      <c r="BA228" s="60">
        <f ca="1">BA$5-X228</f>
        <v>0.46505905898270328</v>
      </c>
      <c r="BB228" s="60">
        <f ca="1">BB$5-Y228</f>
        <v>2.3505927273811267</v>
      </c>
      <c r="BC228" s="60">
        <f ca="1">BC$5-Z228</f>
        <v>24.437465909882164</v>
      </c>
      <c r="BD228" s="60">
        <f ca="1">BD$5-AA228</f>
        <v>-4.063481335617638</v>
      </c>
      <c r="BE228" s="60">
        <f ca="1">BE$5-AB228</f>
        <v>6.829390591992194</v>
      </c>
      <c r="BF228" s="60">
        <f ca="1">BF$5-AC228</f>
        <v>4.0173043164770803</v>
      </c>
      <c r="BG228" s="60">
        <f ca="1">BG$5-AD228</f>
        <v>-1.4741294981490682E-2</v>
      </c>
      <c r="BH228" s="60">
        <f ca="1">BH$5-AE228</f>
        <v>-9.0454077696324333</v>
      </c>
      <c r="BI228" s="60">
        <f ca="1">BI$5-AF228</f>
        <v>-25.391494488745195</v>
      </c>
      <c r="BJ228" s="60">
        <f ca="1">BJ$5-AG228</f>
        <v>-10.56044894232123</v>
      </c>
      <c r="BK228" s="60" t="e">
        <f>BK$5-AH228</f>
        <v>#N/A</v>
      </c>
      <c r="BL228" s="60" t="e">
        <f>BL$5-AI228</f>
        <v>#N/A</v>
      </c>
      <c r="BM228" s="60" t="e">
        <f>BM$5-AJ228</f>
        <v>#N/A</v>
      </c>
      <c r="BN228" s="60" t="e">
        <f>BN$5-AK228</f>
        <v>#N/A</v>
      </c>
      <c r="BO228" s="60" t="e">
        <f>BO$5-AL228</f>
        <v>#N/A</v>
      </c>
      <c r="BP228" s="60" t="e">
        <f>BP$5-AM228</f>
        <v>#N/A</v>
      </c>
      <c r="BQ228" s="60" t="e">
        <f>BQ$5-AN228</f>
        <v>#N/A</v>
      </c>
      <c r="BR228" s="60" t="e">
        <f>BR$5-AO228</f>
        <v>#N/A</v>
      </c>
      <c r="BS228" s="60" t="e">
        <f>BS$5-AP228</f>
        <v>#N/A</v>
      </c>
      <c r="BT228" s="60" t="e">
        <f>BT$5-AQ228</f>
        <v>#N/A</v>
      </c>
      <c r="BV228" s="60" cm="1">
        <f t="array" aca="1" ref="BV228" ca="1">SQRT(SUMSQ(_xlfn._xlws.FILTER(AV228:BT228,ISNUMBER(AV228:BT228)))/COUNT(_xlfn._xlws.FILTER(AV228:BT228,ISNUMBER(AV228:BT228))))</f>
        <v>11.932489314103284</v>
      </c>
    </row>
    <row r="229" spans="3:74" x14ac:dyDescent="0.2">
      <c r="C229" s="60" t="s">
        <v>188</v>
      </c>
      <c r="D229" s="60">
        <v>0</v>
      </c>
      <c r="E229" s="60">
        <v>1.9550000000000001</v>
      </c>
      <c r="F229" s="60">
        <v>-2.09</v>
      </c>
      <c r="G229" s="60">
        <v>-6.1349999999999998</v>
      </c>
      <c r="H229" s="60">
        <v>-8.18</v>
      </c>
      <c r="I229" s="60">
        <v>-8.2249999999999996</v>
      </c>
      <c r="J229" s="60">
        <v>-10.27</v>
      </c>
      <c r="K229" s="60">
        <v>-14.315</v>
      </c>
      <c r="L229" s="60">
        <v>-16.36</v>
      </c>
      <c r="M229" s="60">
        <v>3.1349999999999998</v>
      </c>
      <c r="N229" s="60">
        <v>-0.91</v>
      </c>
      <c r="O229" s="60">
        <v>-1.9550000000000001</v>
      </c>
      <c r="P229" s="60">
        <v>0</v>
      </c>
      <c r="R229" s="61">
        <f>(ROW(R229)-ROW($C$6))</f>
        <v>223</v>
      </c>
      <c r="S229" s="60">
        <f ca="1">100+HLOOKUP(S$4,$D$7:$P$336,$R229,FALSE)-HLOOKUP(S$3,$D$7:$P$336,$R229,FALSE)</f>
        <v>88.684999999999988</v>
      </c>
      <c r="T229" s="60">
        <f ca="1">100+HLOOKUP(T$4,$D$7:$P$336,$R229,FALSE)-HLOOKUP(T$3,$D$7:$P$336,$R229,FALSE)</f>
        <v>91.685000000000002</v>
      </c>
      <c r="U229" s="60">
        <f ca="1">100+HLOOKUP(U$4,$D$7:$P$336,$R229,FALSE)-HLOOKUP(U$3,$D$7:$P$336,$R229,FALSE)</f>
        <v>81.685000000000002</v>
      </c>
      <c r="V229" s="60">
        <f ca="1">100+HLOOKUP(V$4,$D$7:$P$336,$R229,FALSE)-HLOOKUP(V$3,$D$7:$P$336,$R229,FALSE)</f>
        <v>92.685000000000002</v>
      </c>
      <c r="W229" s="60">
        <f ca="1">100+HLOOKUP(W$4,$D$7:$P$336,$R229,FALSE)-HLOOKUP(W$3,$D$7:$P$336,$R229,FALSE)</f>
        <v>85.685000000000002</v>
      </c>
      <c r="X229" s="60">
        <f ca="1">100+HLOOKUP(X$4,$D$7:$P$336,$R229,FALSE)-HLOOKUP(X$3,$D$7:$P$336,$R229,FALSE)</f>
        <v>88.684999999999988</v>
      </c>
      <c r="Y229" s="60">
        <f ca="1">100+HLOOKUP(Y$4,$D$7:$P$336,$R229,FALSE)-HLOOKUP(Y$3,$D$7:$P$336,$R229,FALSE)</f>
        <v>91.685000000000002</v>
      </c>
      <c r="Z229" s="60">
        <f ca="1">100+HLOOKUP(Z$4,$D$7:$P$336,$R229,FALSE)-HLOOKUP(Z$3,$D$7:$P$336,$R229,FALSE)</f>
        <v>81.685000000000002</v>
      </c>
      <c r="AA229" s="60">
        <f ca="1">100+HLOOKUP(AA$4,$D$7:$P$336,$R229,FALSE)-HLOOKUP(AA$3,$D$7:$P$336,$R229,FALSE)</f>
        <v>92.685000000000002</v>
      </c>
      <c r="AB229" s="60">
        <f ca="1">100+HLOOKUP(AB$4,$D$7:$P$336,$R229,FALSE)-HLOOKUP(AB$3,$D$7:$P$336,$R229,FALSE)</f>
        <v>85.685000000000002</v>
      </c>
      <c r="AC229" s="60">
        <f ca="1">100+HLOOKUP(AC$4,$D$7:$P$336,$R229,FALSE)-HLOOKUP(AC$3,$D$7:$P$336,$R229,FALSE)</f>
        <v>105.22500000000001</v>
      </c>
      <c r="AD229" s="60">
        <f ca="1">100+HLOOKUP(AD$4,$D$7:$P$336,$R229,FALSE)-HLOOKUP(AD$3,$D$7:$P$336,$R229,FALSE)</f>
        <v>106.22499999999999</v>
      </c>
      <c r="AE229" s="60">
        <f ca="1">100+HLOOKUP(AE$4,$D$7:$P$336,$R229,FALSE)-HLOOKUP(AE$3,$D$7:$P$336,$R229,FALSE)</f>
        <v>112.22499999999999</v>
      </c>
      <c r="AF229" s="60">
        <f ca="1">100+HLOOKUP(AF$4,$D$7:$P$336,$R229,FALSE)-HLOOKUP(AF$3,$D$7:$P$336,$R229,FALSE)</f>
        <v>110.22499999999999</v>
      </c>
      <c r="AG229" s="60">
        <f ca="1">100+HLOOKUP(AG$4,$D$7:$P$336,$R229,FALSE)-HLOOKUP(AG$3,$D$7:$P$336,$R229,FALSE)</f>
        <v>92.685000000000002</v>
      </c>
      <c r="AH229" s="60" t="e">
        <f>100+HLOOKUP(AH$4,$D$7:$P$336,$R229,FALSE)-HLOOKUP(AH$3,$D$7:$P$336,$R229,FALSE)</f>
        <v>#N/A</v>
      </c>
      <c r="AI229" s="60" t="e">
        <f>100+HLOOKUP(AI$4,$D$7:$P$336,$R229,FALSE)-HLOOKUP(AI$3,$D$7:$P$336,$R229,FALSE)</f>
        <v>#N/A</v>
      </c>
      <c r="AJ229" s="60" t="e">
        <f>100+HLOOKUP(AJ$4,$D$7:$P$336,$R229,FALSE)-HLOOKUP(AJ$3,$D$7:$P$336,$R229,FALSE)</f>
        <v>#N/A</v>
      </c>
      <c r="AK229" s="60" t="e">
        <f>100+HLOOKUP(AK$4,$D$7:$P$336,$R229,FALSE)-HLOOKUP(AK$3,$D$7:$P$336,$R229,FALSE)</f>
        <v>#N/A</v>
      </c>
      <c r="AL229" s="60" t="e">
        <f>100+HLOOKUP(AL$4,$D$7:$P$336,$R229,FALSE)-HLOOKUP(AL$3,$D$7:$P$336,$R229,FALSE)</f>
        <v>#N/A</v>
      </c>
      <c r="AM229" s="60" t="e">
        <f>100+HLOOKUP(AM$4,$D$7:$P$336,$R229,FALSE)-HLOOKUP(AM$3,$D$7:$P$336,$R229,FALSE)</f>
        <v>#N/A</v>
      </c>
      <c r="AN229" s="60" t="e">
        <f>100+HLOOKUP(AN$4,$D$7:$P$336,$R229,FALSE)-HLOOKUP(AN$3,$D$7:$P$336,$R229,FALSE)</f>
        <v>#N/A</v>
      </c>
      <c r="AO229" s="60" t="e">
        <f>100+HLOOKUP(AO$4,$D$7:$P$336,$R229,FALSE)-HLOOKUP(AO$3,$D$7:$P$336,$R229,FALSE)</f>
        <v>#N/A</v>
      </c>
      <c r="AP229" s="60" t="e">
        <f>100+HLOOKUP(AP$4,$D$7:$P$336,$R229,FALSE)-HLOOKUP(AP$3,$D$7:$P$336,$R229,FALSE)</f>
        <v>#N/A</v>
      </c>
      <c r="AQ229" s="60" t="e">
        <f>100+HLOOKUP(AQ$4,$D$7:$P$336,$R229,FALSE)-HLOOKUP(AQ$3,$D$7:$P$336,$R229,FALSE)</f>
        <v>#N/A</v>
      </c>
      <c r="AV229" s="60">
        <f ca="1">AV$5-S229</f>
        <v>14.505399426796444</v>
      </c>
      <c r="AW229" s="60">
        <f ca="1">AW$5-T229</f>
        <v>2.5356505297577456</v>
      </c>
      <c r="AX229" s="60">
        <f ca="1">AX$5-U229</f>
        <v>20.090915403668049</v>
      </c>
      <c r="AY229" s="60">
        <f ca="1">AY$5-V229</f>
        <v>0.9180144015277989</v>
      </c>
      <c r="AZ229" s="60">
        <f ca="1">AZ$5-W229</f>
        <v>11.769482172596028</v>
      </c>
      <c r="BA229" s="60">
        <f ca="1">BA$5-X229</f>
        <v>9.7800590589827152</v>
      </c>
      <c r="BB229" s="60">
        <f ca="1">BB$5-Y229</f>
        <v>1.6655927273811244</v>
      </c>
      <c r="BC229" s="60">
        <f ca="1">BC$5-Z229</f>
        <v>25.752465909882162</v>
      </c>
      <c r="BD229" s="60">
        <f ca="1">BD$5-AA229</f>
        <v>5.2515186643823597</v>
      </c>
      <c r="BE229" s="60">
        <f ca="1">BE$5-AB229</f>
        <v>6.1443905919921917</v>
      </c>
      <c r="BF229" s="60">
        <f ca="1">BF$5-AC229</f>
        <v>-4.2076956835229282</v>
      </c>
      <c r="BG229" s="60">
        <f ca="1">BG$5-AD229</f>
        <v>-2.239741294981485</v>
      </c>
      <c r="BH229" s="60">
        <f ca="1">BH$5-AE229</f>
        <v>-13.270407769632428</v>
      </c>
      <c r="BI229" s="60">
        <f ca="1">BI$5-AF229</f>
        <v>-19.61649448874519</v>
      </c>
      <c r="BJ229" s="60">
        <f ca="1">BJ$5-AG229</f>
        <v>-1.2454489423212323</v>
      </c>
      <c r="BK229" s="60" t="e">
        <f>BK$5-AH229</f>
        <v>#N/A</v>
      </c>
      <c r="BL229" s="60" t="e">
        <f>BL$5-AI229</f>
        <v>#N/A</v>
      </c>
      <c r="BM229" s="60" t="e">
        <f>BM$5-AJ229</f>
        <v>#N/A</v>
      </c>
      <c r="BN229" s="60" t="e">
        <f>BN$5-AK229</f>
        <v>#N/A</v>
      </c>
      <c r="BO229" s="60" t="e">
        <f>BO$5-AL229</f>
        <v>#N/A</v>
      </c>
      <c r="BP229" s="60" t="e">
        <f>BP$5-AM229</f>
        <v>#N/A</v>
      </c>
      <c r="BQ229" s="60" t="e">
        <f>BQ$5-AN229</f>
        <v>#N/A</v>
      </c>
      <c r="BR229" s="60" t="e">
        <f>BR$5-AO229</f>
        <v>#N/A</v>
      </c>
      <c r="BS229" s="60" t="e">
        <f>BS$5-AP229</f>
        <v>#N/A</v>
      </c>
      <c r="BT229" s="60" t="e">
        <f>BT$5-AQ229</f>
        <v>#N/A</v>
      </c>
      <c r="BV229" s="60" cm="1">
        <f t="array" aca="1" ref="BV229" ca="1">SQRT(SUMSQ(_xlfn._xlws.FILTER(AV229:BT229,ISNUMBER(AV229:BT229)))/COUNT(_xlfn._xlws.FILTER(AV229:BT229,ISNUMBER(AV229:BT229))))</f>
        <v>12.033211217986773</v>
      </c>
    </row>
    <row r="230" spans="3:74" x14ac:dyDescent="0.2">
      <c r="C230" s="60" t="s">
        <v>320</v>
      </c>
      <c r="D230" s="60">
        <v>0</v>
      </c>
      <c r="E230" s="60">
        <v>-1.9550000000000001</v>
      </c>
      <c r="F230" s="60">
        <v>-3.91</v>
      </c>
      <c r="G230" s="60">
        <v>-5.8659999999999997</v>
      </c>
      <c r="H230" s="60">
        <v>-7.8209999999999997</v>
      </c>
      <c r="I230" s="60">
        <v>-9.7759999999999998</v>
      </c>
      <c r="J230" s="60">
        <v>-11.731</v>
      </c>
      <c r="K230" s="60">
        <v>-13.686999999999999</v>
      </c>
      <c r="L230" s="60">
        <v>-15.641999999999999</v>
      </c>
      <c r="M230" s="60">
        <v>5.8659999999999997</v>
      </c>
      <c r="N230" s="60">
        <v>3.91</v>
      </c>
      <c r="O230" s="60">
        <v>1.9550000000000001</v>
      </c>
      <c r="P230" s="60">
        <v>0</v>
      </c>
      <c r="R230" s="61">
        <f>(ROW(R230)-ROW($C$6))</f>
        <v>224</v>
      </c>
      <c r="S230" s="60">
        <f ca="1">100+HLOOKUP(S$4,$D$7:$P$336,$R230,FALSE)-HLOOKUP(S$3,$D$7:$P$336,$R230,FALSE)</f>
        <v>86.313000000000002</v>
      </c>
      <c r="T230" s="60">
        <f ca="1">100+HLOOKUP(T$4,$D$7:$P$336,$R230,FALSE)-HLOOKUP(T$3,$D$7:$P$336,$R230,FALSE)</f>
        <v>86.314000000000007</v>
      </c>
      <c r="U230" s="60">
        <f ca="1">100+HLOOKUP(U$4,$D$7:$P$336,$R230,FALSE)-HLOOKUP(U$3,$D$7:$P$336,$R230,FALSE)</f>
        <v>86.313000000000002</v>
      </c>
      <c r="V230" s="60">
        <f ca="1">100+HLOOKUP(V$4,$D$7:$P$336,$R230,FALSE)-HLOOKUP(V$3,$D$7:$P$336,$R230,FALSE)</f>
        <v>86.314000000000007</v>
      </c>
      <c r="W230" s="60">
        <f ca="1">100+HLOOKUP(W$4,$D$7:$P$336,$R230,FALSE)-HLOOKUP(W$3,$D$7:$P$336,$R230,FALSE)</f>
        <v>86.313000000000002</v>
      </c>
      <c r="X230" s="60">
        <f ca="1">100+HLOOKUP(X$4,$D$7:$P$336,$R230,FALSE)-HLOOKUP(X$3,$D$7:$P$336,$R230,FALSE)</f>
        <v>86.313000000000002</v>
      </c>
      <c r="Y230" s="60">
        <f ca="1">100+HLOOKUP(Y$4,$D$7:$P$336,$R230,FALSE)-HLOOKUP(Y$3,$D$7:$P$336,$R230,FALSE)</f>
        <v>86.314000000000007</v>
      </c>
      <c r="Z230" s="60">
        <f ca="1">100+HLOOKUP(Z$4,$D$7:$P$336,$R230,FALSE)-HLOOKUP(Z$3,$D$7:$P$336,$R230,FALSE)</f>
        <v>86.313000000000002</v>
      </c>
      <c r="AA230" s="60">
        <f ca="1">100+HLOOKUP(AA$4,$D$7:$P$336,$R230,FALSE)-HLOOKUP(AA$3,$D$7:$P$336,$R230,FALSE)</f>
        <v>86.314000000000007</v>
      </c>
      <c r="AB230" s="60">
        <f ca="1">100+HLOOKUP(AB$4,$D$7:$P$336,$R230,FALSE)-HLOOKUP(AB$3,$D$7:$P$336,$R230,FALSE)</f>
        <v>86.313000000000002</v>
      </c>
      <c r="AC230" s="60">
        <f ca="1">100+HLOOKUP(AC$4,$D$7:$P$336,$R230,FALSE)-HLOOKUP(AC$3,$D$7:$P$336,$R230,FALSE)</f>
        <v>109.776</v>
      </c>
      <c r="AD230" s="60">
        <f ca="1">100+HLOOKUP(AD$4,$D$7:$P$336,$R230,FALSE)-HLOOKUP(AD$3,$D$7:$P$336,$R230,FALSE)</f>
        <v>109.776</v>
      </c>
      <c r="AE230" s="60">
        <f ca="1">100+HLOOKUP(AE$4,$D$7:$P$336,$R230,FALSE)-HLOOKUP(AE$3,$D$7:$P$336,$R230,FALSE)</f>
        <v>109.776</v>
      </c>
      <c r="AF230" s="60">
        <f ca="1">100+HLOOKUP(AF$4,$D$7:$P$336,$R230,FALSE)-HLOOKUP(AF$3,$D$7:$P$336,$R230,FALSE)</f>
        <v>109.776</v>
      </c>
      <c r="AG230" s="60">
        <f ca="1">100+HLOOKUP(AG$4,$D$7:$P$336,$R230,FALSE)-HLOOKUP(AG$3,$D$7:$P$336,$R230,FALSE)</f>
        <v>86.314000000000007</v>
      </c>
      <c r="AH230" s="60" t="e">
        <f>100+HLOOKUP(AH$4,$D$7:$P$336,$R230,FALSE)-HLOOKUP(AH$3,$D$7:$P$336,$R230,FALSE)</f>
        <v>#N/A</v>
      </c>
      <c r="AI230" s="60" t="e">
        <f>100+HLOOKUP(AI$4,$D$7:$P$336,$R230,FALSE)-HLOOKUP(AI$3,$D$7:$P$336,$R230,FALSE)</f>
        <v>#N/A</v>
      </c>
      <c r="AJ230" s="60" t="e">
        <f>100+HLOOKUP(AJ$4,$D$7:$P$336,$R230,FALSE)-HLOOKUP(AJ$3,$D$7:$P$336,$R230,FALSE)</f>
        <v>#N/A</v>
      </c>
      <c r="AK230" s="60" t="e">
        <f>100+HLOOKUP(AK$4,$D$7:$P$336,$R230,FALSE)-HLOOKUP(AK$3,$D$7:$P$336,$R230,FALSE)</f>
        <v>#N/A</v>
      </c>
      <c r="AL230" s="60" t="e">
        <f>100+HLOOKUP(AL$4,$D$7:$P$336,$R230,FALSE)-HLOOKUP(AL$3,$D$7:$P$336,$R230,FALSE)</f>
        <v>#N/A</v>
      </c>
      <c r="AM230" s="60" t="e">
        <f>100+HLOOKUP(AM$4,$D$7:$P$336,$R230,FALSE)-HLOOKUP(AM$3,$D$7:$P$336,$R230,FALSE)</f>
        <v>#N/A</v>
      </c>
      <c r="AN230" s="60" t="e">
        <f>100+HLOOKUP(AN$4,$D$7:$P$336,$R230,FALSE)-HLOOKUP(AN$3,$D$7:$P$336,$R230,FALSE)</f>
        <v>#N/A</v>
      </c>
      <c r="AO230" s="60" t="e">
        <f>100+HLOOKUP(AO$4,$D$7:$P$336,$R230,FALSE)-HLOOKUP(AO$3,$D$7:$P$336,$R230,FALSE)</f>
        <v>#N/A</v>
      </c>
      <c r="AP230" s="60" t="e">
        <f>100+HLOOKUP(AP$4,$D$7:$P$336,$R230,FALSE)-HLOOKUP(AP$3,$D$7:$P$336,$R230,FALSE)</f>
        <v>#N/A</v>
      </c>
      <c r="AQ230" s="60" t="e">
        <f>100+HLOOKUP(AQ$4,$D$7:$P$336,$R230,FALSE)-HLOOKUP(AQ$3,$D$7:$P$336,$R230,FALSE)</f>
        <v>#N/A</v>
      </c>
      <c r="AV230" s="60">
        <f ca="1">AV$5-S230</f>
        <v>16.87739942679643</v>
      </c>
      <c r="AW230" s="60">
        <f ca="1">AW$5-T230</f>
        <v>7.9066505297577407</v>
      </c>
      <c r="AX230" s="60">
        <f ca="1">AX$5-U230</f>
        <v>15.462915403668049</v>
      </c>
      <c r="AY230" s="60">
        <f ca="1">AY$5-V230</f>
        <v>7.289014401527794</v>
      </c>
      <c r="AZ230" s="60">
        <f ca="1">AZ$5-W230</f>
        <v>11.141482172596028</v>
      </c>
      <c r="BA230" s="60">
        <f ca="1">BA$5-X230</f>
        <v>12.152059058982701</v>
      </c>
      <c r="BB230" s="60">
        <f ca="1">BB$5-Y230</f>
        <v>7.0365927273811195</v>
      </c>
      <c r="BC230" s="60">
        <f ca="1">BC$5-Z230</f>
        <v>21.124465909882161</v>
      </c>
      <c r="BD230" s="60">
        <f ca="1">BD$5-AA230</f>
        <v>11.622518664382355</v>
      </c>
      <c r="BE230" s="60">
        <f ca="1">BE$5-AB230</f>
        <v>5.5163905919921916</v>
      </c>
      <c r="BF230" s="60">
        <f ca="1">BF$5-AC230</f>
        <v>-8.7586956835229159</v>
      </c>
      <c r="BG230" s="60">
        <f ca="1">BG$5-AD230</f>
        <v>-5.7907412949814869</v>
      </c>
      <c r="BH230" s="60">
        <f ca="1">BH$5-AE230</f>
        <v>-10.82140776963243</v>
      </c>
      <c r="BI230" s="60">
        <f ca="1">BI$5-AF230</f>
        <v>-19.167494488745191</v>
      </c>
      <c r="BJ230" s="60">
        <f ca="1">BJ$5-AG230</f>
        <v>5.1255510576787628</v>
      </c>
      <c r="BK230" s="60" t="e">
        <f>BK$5-AH230</f>
        <v>#N/A</v>
      </c>
      <c r="BL230" s="60" t="e">
        <f>BL$5-AI230</f>
        <v>#N/A</v>
      </c>
      <c r="BM230" s="60" t="e">
        <f>BM$5-AJ230</f>
        <v>#N/A</v>
      </c>
      <c r="BN230" s="60" t="e">
        <f>BN$5-AK230</f>
        <v>#N/A</v>
      </c>
      <c r="BO230" s="60" t="e">
        <f>BO$5-AL230</f>
        <v>#N/A</v>
      </c>
      <c r="BP230" s="60" t="e">
        <f>BP$5-AM230</f>
        <v>#N/A</v>
      </c>
      <c r="BQ230" s="60" t="e">
        <f>BQ$5-AN230</f>
        <v>#N/A</v>
      </c>
      <c r="BR230" s="60" t="e">
        <f>BR$5-AO230</f>
        <v>#N/A</v>
      </c>
      <c r="BS230" s="60" t="e">
        <f>BS$5-AP230</f>
        <v>#N/A</v>
      </c>
      <c r="BT230" s="60" t="e">
        <f>BT$5-AQ230</f>
        <v>#N/A</v>
      </c>
      <c r="BV230" s="60" cm="1">
        <f t="array" aca="1" ref="BV230" ca="1">SQRT(SUMSQ(_xlfn._xlws.FILTER(AV230:BT230,ISNUMBER(AV230:BT230)))/COUNT(_xlfn._xlws.FILTER(AV230:BT230,ISNUMBER(AV230:BT230))))</f>
        <v>12.093201958480694</v>
      </c>
    </row>
    <row r="231" spans="3:74" x14ac:dyDescent="0.2">
      <c r="C231" s="60" t="s">
        <v>381</v>
      </c>
      <c r="D231" s="60">
        <v>0</v>
      </c>
      <c r="E231" s="60">
        <v>-1.9550000000000001</v>
      </c>
      <c r="F231" s="60">
        <v>-3.911</v>
      </c>
      <c r="G231" s="60">
        <v>-5.8659999999999997</v>
      </c>
      <c r="H231" s="60">
        <v>-7.8209999999999997</v>
      </c>
      <c r="I231" s="60">
        <v>-9.7759999999999998</v>
      </c>
      <c r="J231" s="60">
        <v>-11.731999999999999</v>
      </c>
      <c r="K231" s="60">
        <v>-13.69</v>
      </c>
      <c r="L231" s="60">
        <v>-15.641999999999999</v>
      </c>
      <c r="M231" s="60">
        <v>5.8650000000000002</v>
      </c>
      <c r="N231" s="60">
        <v>3.91</v>
      </c>
      <c r="O231" s="60">
        <v>1.9550000000000001</v>
      </c>
      <c r="P231" s="60">
        <v>0</v>
      </c>
      <c r="R231" s="61">
        <f>(ROW(R231)-ROW($C$6))</f>
        <v>225</v>
      </c>
      <c r="S231" s="60">
        <f ca="1">100+HLOOKUP(S$4,$D$7:$P$336,$R231,FALSE)-HLOOKUP(S$3,$D$7:$P$336,$R231,FALSE)</f>
        <v>86.314000000000007</v>
      </c>
      <c r="T231" s="60">
        <f ca="1">100+HLOOKUP(T$4,$D$7:$P$336,$R231,FALSE)-HLOOKUP(T$3,$D$7:$P$336,$R231,FALSE)</f>
        <v>86.313000000000002</v>
      </c>
      <c r="U231" s="60">
        <f ca="1">100+HLOOKUP(U$4,$D$7:$P$336,$R231,FALSE)-HLOOKUP(U$3,$D$7:$P$336,$R231,FALSE)</f>
        <v>86.313000000000002</v>
      </c>
      <c r="V231" s="60">
        <f ca="1">100+HLOOKUP(V$4,$D$7:$P$336,$R231,FALSE)-HLOOKUP(V$3,$D$7:$P$336,$R231,FALSE)</f>
        <v>86.314000000000007</v>
      </c>
      <c r="W231" s="60">
        <f ca="1">100+HLOOKUP(W$4,$D$7:$P$336,$R231,FALSE)-HLOOKUP(W$3,$D$7:$P$336,$R231,FALSE)</f>
        <v>86.31</v>
      </c>
      <c r="X231" s="60">
        <f ca="1">100+HLOOKUP(X$4,$D$7:$P$336,$R231,FALSE)-HLOOKUP(X$3,$D$7:$P$336,$R231,FALSE)</f>
        <v>86.314000000000007</v>
      </c>
      <c r="Y231" s="60">
        <f ca="1">100+HLOOKUP(Y$4,$D$7:$P$336,$R231,FALSE)-HLOOKUP(Y$3,$D$7:$P$336,$R231,FALSE)</f>
        <v>86.313000000000002</v>
      </c>
      <c r="Z231" s="60">
        <f ca="1">100+HLOOKUP(Z$4,$D$7:$P$336,$R231,FALSE)-HLOOKUP(Z$3,$D$7:$P$336,$R231,FALSE)</f>
        <v>86.313000000000002</v>
      </c>
      <c r="AA231" s="60">
        <f ca="1">100+HLOOKUP(AA$4,$D$7:$P$336,$R231,FALSE)-HLOOKUP(AA$3,$D$7:$P$336,$R231,FALSE)</f>
        <v>86.314000000000007</v>
      </c>
      <c r="AB231" s="60">
        <f ca="1">100+HLOOKUP(AB$4,$D$7:$P$336,$R231,FALSE)-HLOOKUP(AB$3,$D$7:$P$336,$R231,FALSE)</f>
        <v>86.31</v>
      </c>
      <c r="AC231" s="60">
        <f ca="1">100+HLOOKUP(AC$4,$D$7:$P$336,$R231,FALSE)-HLOOKUP(AC$3,$D$7:$P$336,$R231,FALSE)</f>
        <v>109.776</v>
      </c>
      <c r="AD231" s="60">
        <f ca="1">100+HLOOKUP(AD$4,$D$7:$P$336,$R231,FALSE)-HLOOKUP(AD$3,$D$7:$P$336,$R231,FALSE)</f>
        <v>109.776</v>
      </c>
      <c r="AE231" s="60">
        <f ca="1">100+HLOOKUP(AE$4,$D$7:$P$336,$R231,FALSE)-HLOOKUP(AE$3,$D$7:$P$336,$R231,FALSE)</f>
        <v>109.777</v>
      </c>
      <c r="AF231" s="60">
        <f ca="1">100+HLOOKUP(AF$4,$D$7:$P$336,$R231,FALSE)-HLOOKUP(AF$3,$D$7:$P$336,$R231,FALSE)</f>
        <v>109.776</v>
      </c>
      <c r="AG231" s="60">
        <f ca="1">100+HLOOKUP(AG$4,$D$7:$P$336,$R231,FALSE)-HLOOKUP(AG$3,$D$7:$P$336,$R231,FALSE)</f>
        <v>86.314000000000007</v>
      </c>
      <c r="AH231" s="60" t="e">
        <f>100+HLOOKUP(AH$4,$D$7:$P$336,$R231,FALSE)-HLOOKUP(AH$3,$D$7:$P$336,$R231,FALSE)</f>
        <v>#N/A</v>
      </c>
      <c r="AI231" s="60" t="e">
        <f>100+HLOOKUP(AI$4,$D$7:$P$336,$R231,FALSE)-HLOOKUP(AI$3,$D$7:$P$336,$R231,FALSE)</f>
        <v>#N/A</v>
      </c>
      <c r="AJ231" s="60" t="e">
        <f>100+HLOOKUP(AJ$4,$D$7:$P$336,$R231,FALSE)-HLOOKUP(AJ$3,$D$7:$P$336,$R231,FALSE)</f>
        <v>#N/A</v>
      </c>
      <c r="AK231" s="60" t="e">
        <f>100+HLOOKUP(AK$4,$D$7:$P$336,$R231,FALSE)-HLOOKUP(AK$3,$D$7:$P$336,$R231,FALSE)</f>
        <v>#N/A</v>
      </c>
      <c r="AL231" s="60" t="e">
        <f>100+HLOOKUP(AL$4,$D$7:$P$336,$R231,FALSE)-HLOOKUP(AL$3,$D$7:$P$336,$R231,FALSE)</f>
        <v>#N/A</v>
      </c>
      <c r="AM231" s="60" t="e">
        <f>100+HLOOKUP(AM$4,$D$7:$P$336,$R231,FALSE)-HLOOKUP(AM$3,$D$7:$P$336,$R231,FALSE)</f>
        <v>#N/A</v>
      </c>
      <c r="AN231" s="60" t="e">
        <f>100+HLOOKUP(AN$4,$D$7:$P$336,$R231,FALSE)-HLOOKUP(AN$3,$D$7:$P$336,$R231,FALSE)</f>
        <v>#N/A</v>
      </c>
      <c r="AO231" s="60" t="e">
        <f>100+HLOOKUP(AO$4,$D$7:$P$336,$R231,FALSE)-HLOOKUP(AO$3,$D$7:$P$336,$R231,FALSE)</f>
        <v>#N/A</v>
      </c>
      <c r="AP231" s="60" t="e">
        <f>100+HLOOKUP(AP$4,$D$7:$P$336,$R231,FALSE)-HLOOKUP(AP$3,$D$7:$P$336,$R231,FALSE)</f>
        <v>#N/A</v>
      </c>
      <c r="AQ231" s="60" t="e">
        <f>100+HLOOKUP(AQ$4,$D$7:$P$336,$R231,FALSE)-HLOOKUP(AQ$3,$D$7:$P$336,$R231,FALSE)</f>
        <v>#N/A</v>
      </c>
      <c r="AV231" s="60">
        <f ca="1">AV$5-S231</f>
        <v>16.876399426796425</v>
      </c>
      <c r="AW231" s="60">
        <f ca="1">AW$5-T231</f>
        <v>7.9076505297577455</v>
      </c>
      <c r="AX231" s="60">
        <f ca="1">AX$5-U231</f>
        <v>15.462915403668049</v>
      </c>
      <c r="AY231" s="60">
        <f ca="1">AY$5-V231</f>
        <v>7.289014401527794</v>
      </c>
      <c r="AZ231" s="60">
        <f ca="1">AZ$5-W231</f>
        <v>11.144482172596028</v>
      </c>
      <c r="BA231" s="60">
        <f ca="1">BA$5-X231</f>
        <v>12.151059058982696</v>
      </c>
      <c r="BB231" s="60">
        <f ca="1">BB$5-Y231</f>
        <v>7.0375927273811243</v>
      </c>
      <c r="BC231" s="60">
        <f ca="1">BC$5-Z231</f>
        <v>21.124465909882161</v>
      </c>
      <c r="BD231" s="60">
        <f ca="1">BD$5-AA231</f>
        <v>11.622518664382355</v>
      </c>
      <c r="BE231" s="60">
        <f ca="1">BE$5-AB231</f>
        <v>5.5193905919921917</v>
      </c>
      <c r="BF231" s="60">
        <f ca="1">BF$5-AC231</f>
        <v>-8.7586956835229159</v>
      </c>
      <c r="BG231" s="60">
        <f ca="1">BG$5-AD231</f>
        <v>-5.7907412949814869</v>
      </c>
      <c r="BH231" s="60">
        <f ca="1">BH$5-AE231</f>
        <v>-10.822407769632434</v>
      </c>
      <c r="BI231" s="60">
        <f ca="1">BI$5-AF231</f>
        <v>-19.167494488745191</v>
      </c>
      <c r="BJ231" s="60">
        <f ca="1">BJ$5-AG231</f>
        <v>5.1255510576787628</v>
      </c>
      <c r="BK231" s="60" t="e">
        <f>BK$5-AH231</f>
        <v>#N/A</v>
      </c>
      <c r="BL231" s="60" t="e">
        <f>BL$5-AI231</f>
        <v>#N/A</v>
      </c>
      <c r="BM231" s="60" t="e">
        <f>BM$5-AJ231</f>
        <v>#N/A</v>
      </c>
      <c r="BN231" s="60" t="e">
        <f>BN$5-AK231</f>
        <v>#N/A</v>
      </c>
      <c r="BO231" s="60" t="e">
        <f>BO$5-AL231</f>
        <v>#N/A</v>
      </c>
      <c r="BP231" s="60" t="e">
        <f>BP$5-AM231</f>
        <v>#N/A</v>
      </c>
      <c r="BQ231" s="60" t="e">
        <f>BQ$5-AN231</f>
        <v>#N/A</v>
      </c>
      <c r="BR231" s="60" t="e">
        <f>BR$5-AO231</f>
        <v>#N/A</v>
      </c>
      <c r="BS231" s="60" t="e">
        <f>BS$5-AP231</f>
        <v>#N/A</v>
      </c>
      <c r="BT231" s="60" t="e">
        <f>BT$5-AQ231</f>
        <v>#N/A</v>
      </c>
      <c r="BV231" s="60" cm="1">
        <f t="array" aca="1" ref="BV231" ca="1">SQRT(SUMSQ(_xlfn._xlws.FILTER(AV231:BT231,ISNUMBER(AV231:BT231)))/COUNT(_xlfn._xlws.FILTER(AV231:BT231,ISNUMBER(AV231:BT231))))</f>
        <v>12.093459512620003</v>
      </c>
    </row>
    <row r="232" spans="3:74" x14ac:dyDescent="0.2">
      <c r="C232" s="60" t="s">
        <v>370</v>
      </c>
      <c r="D232" s="60">
        <v>0</v>
      </c>
      <c r="E232" s="60">
        <v>-2</v>
      </c>
      <c r="F232" s="60">
        <v>-5</v>
      </c>
      <c r="G232" s="60">
        <v>-8</v>
      </c>
      <c r="H232" s="60">
        <v>-10</v>
      </c>
      <c r="I232" s="60">
        <v>-12</v>
      </c>
      <c r="J232" s="60">
        <v>-14</v>
      </c>
      <c r="K232" s="60">
        <v>-15</v>
      </c>
      <c r="L232" s="60">
        <v>-15</v>
      </c>
      <c r="M232" s="60">
        <v>3</v>
      </c>
      <c r="N232" s="60">
        <v>3</v>
      </c>
      <c r="O232" s="60">
        <v>2</v>
      </c>
      <c r="P232" s="60">
        <v>0</v>
      </c>
      <c r="R232" s="61">
        <f>(ROW(R232)-ROW($C$6))</f>
        <v>226</v>
      </c>
      <c r="S232" s="60">
        <f ca="1">100+HLOOKUP(S$4,$D$7:$P$336,$R232,FALSE)-HLOOKUP(S$3,$D$7:$P$336,$R232,FALSE)</f>
        <v>87</v>
      </c>
      <c r="T232" s="60">
        <f ca="1">100+HLOOKUP(T$4,$D$7:$P$336,$R232,FALSE)-HLOOKUP(T$3,$D$7:$P$336,$R232,FALSE)</f>
        <v>84</v>
      </c>
      <c r="U232" s="60">
        <f ca="1">100+HLOOKUP(U$4,$D$7:$P$336,$R232,FALSE)-HLOOKUP(U$3,$D$7:$P$336,$R232,FALSE)</f>
        <v>87</v>
      </c>
      <c r="V232" s="60">
        <f ca="1">100+HLOOKUP(V$4,$D$7:$P$336,$R232,FALSE)-HLOOKUP(V$3,$D$7:$P$336,$R232,FALSE)</f>
        <v>85</v>
      </c>
      <c r="W232" s="60">
        <f ca="1">100+HLOOKUP(W$4,$D$7:$P$336,$R232,FALSE)-HLOOKUP(W$3,$D$7:$P$336,$R232,FALSE)</f>
        <v>85</v>
      </c>
      <c r="X232" s="60">
        <f ca="1">100+HLOOKUP(X$4,$D$7:$P$336,$R232,FALSE)-HLOOKUP(X$3,$D$7:$P$336,$R232,FALSE)</f>
        <v>87</v>
      </c>
      <c r="Y232" s="60">
        <f ca="1">100+HLOOKUP(Y$4,$D$7:$P$336,$R232,FALSE)-HLOOKUP(Y$3,$D$7:$P$336,$R232,FALSE)</f>
        <v>84</v>
      </c>
      <c r="Z232" s="60">
        <f ca="1">100+HLOOKUP(Z$4,$D$7:$P$336,$R232,FALSE)-HLOOKUP(Z$3,$D$7:$P$336,$R232,FALSE)</f>
        <v>87</v>
      </c>
      <c r="AA232" s="60">
        <f ca="1">100+HLOOKUP(AA$4,$D$7:$P$336,$R232,FALSE)-HLOOKUP(AA$3,$D$7:$P$336,$R232,FALSE)</f>
        <v>85</v>
      </c>
      <c r="AB232" s="60">
        <f ca="1">100+HLOOKUP(AB$4,$D$7:$P$336,$R232,FALSE)-HLOOKUP(AB$3,$D$7:$P$336,$R232,FALSE)</f>
        <v>85</v>
      </c>
      <c r="AC232" s="60">
        <f ca="1">100+HLOOKUP(AC$4,$D$7:$P$336,$R232,FALSE)-HLOOKUP(AC$3,$D$7:$P$336,$R232,FALSE)</f>
        <v>108</v>
      </c>
      <c r="AD232" s="60">
        <f ca="1">100+HLOOKUP(AD$4,$D$7:$P$336,$R232,FALSE)-HLOOKUP(AD$3,$D$7:$P$336,$R232,FALSE)</f>
        <v>112</v>
      </c>
      <c r="AE232" s="60">
        <f ca="1">100+HLOOKUP(AE$4,$D$7:$P$336,$R232,FALSE)-HLOOKUP(AE$3,$D$7:$P$336,$R232,FALSE)</f>
        <v>112</v>
      </c>
      <c r="AF232" s="60">
        <f ca="1">100+HLOOKUP(AF$4,$D$7:$P$336,$R232,FALSE)-HLOOKUP(AF$3,$D$7:$P$336,$R232,FALSE)</f>
        <v>107</v>
      </c>
      <c r="AG232" s="60">
        <f ca="1">100+HLOOKUP(AG$4,$D$7:$P$336,$R232,FALSE)-HLOOKUP(AG$3,$D$7:$P$336,$R232,FALSE)</f>
        <v>85</v>
      </c>
      <c r="AH232" s="60" t="e">
        <f>100+HLOOKUP(AH$4,$D$7:$P$336,$R232,FALSE)-HLOOKUP(AH$3,$D$7:$P$336,$R232,FALSE)</f>
        <v>#N/A</v>
      </c>
      <c r="AI232" s="60" t="e">
        <f>100+HLOOKUP(AI$4,$D$7:$P$336,$R232,FALSE)-HLOOKUP(AI$3,$D$7:$P$336,$R232,FALSE)</f>
        <v>#N/A</v>
      </c>
      <c r="AJ232" s="60" t="e">
        <f>100+HLOOKUP(AJ$4,$D$7:$P$336,$R232,FALSE)-HLOOKUP(AJ$3,$D$7:$P$336,$R232,FALSE)</f>
        <v>#N/A</v>
      </c>
      <c r="AK232" s="60" t="e">
        <f>100+HLOOKUP(AK$4,$D$7:$P$336,$R232,FALSE)-HLOOKUP(AK$3,$D$7:$P$336,$R232,FALSE)</f>
        <v>#N/A</v>
      </c>
      <c r="AL232" s="60" t="e">
        <f>100+HLOOKUP(AL$4,$D$7:$P$336,$R232,FALSE)-HLOOKUP(AL$3,$D$7:$P$336,$R232,FALSE)</f>
        <v>#N/A</v>
      </c>
      <c r="AM232" s="60" t="e">
        <f>100+HLOOKUP(AM$4,$D$7:$P$336,$R232,FALSE)-HLOOKUP(AM$3,$D$7:$P$336,$R232,FALSE)</f>
        <v>#N/A</v>
      </c>
      <c r="AN232" s="60" t="e">
        <f>100+HLOOKUP(AN$4,$D$7:$P$336,$R232,FALSE)-HLOOKUP(AN$3,$D$7:$P$336,$R232,FALSE)</f>
        <v>#N/A</v>
      </c>
      <c r="AO232" s="60" t="e">
        <f>100+HLOOKUP(AO$4,$D$7:$P$336,$R232,FALSE)-HLOOKUP(AO$3,$D$7:$P$336,$R232,FALSE)</f>
        <v>#N/A</v>
      </c>
      <c r="AP232" s="60" t="e">
        <f>100+HLOOKUP(AP$4,$D$7:$P$336,$R232,FALSE)-HLOOKUP(AP$3,$D$7:$P$336,$R232,FALSE)</f>
        <v>#N/A</v>
      </c>
      <c r="AQ232" s="60" t="e">
        <f>100+HLOOKUP(AQ$4,$D$7:$P$336,$R232,FALSE)-HLOOKUP(AQ$3,$D$7:$P$336,$R232,FALSE)</f>
        <v>#N/A</v>
      </c>
      <c r="AV232" s="60">
        <f ca="1">AV$5-S232</f>
        <v>16.190399426796432</v>
      </c>
      <c r="AW232" s="60">
        <f ca="1">AW$5-T232</f>
        <v>10.220650529757748</v>
      </c>
      <c r="AX232" s="60">
        <f ca="1">AX$5-U232</f>
        <v>14.775915403668051</v>
      </c>
      <c r="AY232" s="60">
        <f ca="1">AY$5-V232</f>
        <v>8.6030144015278012</v>
      </c>
      <c r="AZ232" s="60">
        <f ca="1">AZ$5-W232</f>
        <v>12.45448217259603</v>
      </c>
      <c r="BA232" s="60">
        <f ca="1">BA$5-X232</f>
        <v>11.465059058982703</v>
      </c>
      <c r="BB232" s="60">
        <f ca="1">BB$5-Y232</f>
        <v>9.3505927273811267</v>
      </c>
      <c r="BC232" s="60">
        <f ca="1">BC$5-Z232</f>
        <v>20.437465909882164</v>
      </c>
      <c r="BD232" s="60">
        <f ca="1">BD$5-AA232</f>
        <v>12.936518664382362</v>
      </c>
      <c r="BE232" s="60">
        <f ca="1">BE$5-AB232</f>
        <v>6.829390591992194</v>
      </c>
      <c r="BF232" s="60">
        <f ca="1">BF$5-AC232</f>
        <v>-6.9826956835229197</v>
      </c>
      <c r="BG232" s="60">
        <f ca="1">BG$5-AD232</f>
        <v>-8.0147412949814907</v>
      </c>
      <c r="BH232" s="60">
        <f ca="1">BH$5-AE232</f>
        <v>-13.045407769632433</v>
      </c>
      <c r="BI232" s="60">
        <f ca="1">BI$5-AF232</f>
        <v>-16.391494488745195</v>
      </c>
      <c r="BJ232" s="60">
        <f ca="1">BJ$5-AG232</f>
        <v>6.43955105767877</v>
      </c>
      <c r="BK232" s="60" t="e">
        <f>BK$5-AH232</f>
        <v>#N/A</v>
      </c>
      <c r="BL232" s="60" t="e">
        <f>BL$5-AI232</f>
        <v>#N/A</v>
      </c>
      <c r="BM232" s="60" t="e">
        <f>BM$5-AJ232</f>
        <v>#N/A</v>
      </c>
      <c r="BN232" s="60" t="e">
        <f>BN$5-AK232</f>
        <v>#N/A</v>
      </c>
      <c r="BO232" s="60" t="e">
        <f>BO$5-AL232</f>
        <v>#N/A</v>
      </c>
      <c r="BP232" s="60" t="e">
        <f>BP$5-AM232</f>
        <v>#N/A</v>
      </c>
      <c r="BQ232" s="60" t="e">
        <f>BQ$5-AN232</f>
        <v>#N/A</v>
      </c>
      <c r="BR232" s="60" t="e">
        <f>BR$5-AO232</f>
        <v>#N/A</v>
      </c>
      <c r="BS232" s="60" t="e">
        <f>BS$5-AP232</f>
        <v>#N/A</v>
      </c>
      <c r="BT232" s="60" t="e">
        <f>BT$5-AQ232</f>
        <v>#N/A</v>
      </c>
      <c r="BV232" s="60" cm="1">
        <f t="array" aca="1" ref="BV232" ca="1">SQRT(SUMSQ(_xlfn._xlws.FILTER(AV232:BT232,ISNUMBER(AV232:BT232)))/COUNT(_xlfn._xlws.FILTER(AV232:BT232,ISNUMBER(AV232:BT232))))</f>
        <v>12.269026985504045</v>
      </c>
    </row>
    <row r="233" spans="3:74" x14ac:dyDescent="0.2">
      <c r="C233" s="60" t="s">
        <v>507</v>
      </c>
      <c r="D233" s="60">
        <v>0</v>
      </c>
      <c r="E233" s="60">
        <v>0</v>
      </c>
      <c r="F233" s="60">
        <v>0</v>
      </c>
      <c r="G233" s="60">
        <v>-5</v>
      </c>
      <c r="H233" s="60">
        <v>-10</v>
      </c>
      <c r="I233" s="60">
        <v>-10</v>
      </c>
      <c r="J233" s="60">
        <v>-15</v>
      </c>
      <c r="K233" s="60">
        <v>-20</v>
      </c>
      <c r="L233" s="60">
        <v>-16</v>
      </c>
      <c r="M233" s="60">
        <v>-12</v>
      </c>
      <c r="N233" s="60">
        <v>-8</v>
      </c>
      <c r="O233" s="60">
        <v>-4</v>
      </c>
      <c r="P233" s="60">
        <v>0</v>
      </c>
      <c r="R233" s="61">
        <f>(ROW(R233)-ROW($C$6))</f>
        <v>227</v>
      </c>
      <c r="S233" s="60">
        <f ca="1">100+HLOOKUP(S$4,$D$7:$P$336,$R233,FALSE)-HLOOKUP(S$3,$D$7:$P$336,$R233,FALSE)</f>
        <v>102</v>
      </c>
      <c r="T233" s="60">
        <f ca="1">100+HLOOKUP(T$4,$D$7:$P$336,$R233,FALSE)-HLOOKUP(T$3,$D$7:$P$336,$R233,FALSE)</f>
        <v>89</v>
      </c>
      <c r="U233" s="60">
        <f ca="1">100+HLOOKUP(U$4,$D$7:$P$336,$R233,FALSE)-HLOOKUP(U$3,$D$7:$P$336,$R233,FALSE)</f>
        <v>84</v>
      </c>
      <c r="V233" s="60">
        <f ca="1">100+HLOOKUP(V$4,$D$7:$P$336,$R233,FALSE)-HLOOKUP(V$3,$D$7:$P$336,$R233,FALSE)</f>
        <v>98</v>
      </c>
      <c r="W233" s="60">
        <f ca="1">100+HLOOKUP(W$4,$D$7:$P$336,$R233,FALSE)-HLOOKUP(W$3,$D$7:$P$336,$R233,FALSE)</f>
        <v>80</v>
      </c>
      <c r="X233" s="60">
        <f ca="1">100+HLOOKUP(X$4,$D$7:$P$336,$R233,FALSE)-HLOOKUP(X$3,$D$7:$P$336,$R233,FALSE)</f>
        <v>102</v>
      </c>
      <c r="Y233" s="60">
        <f ca="1">100+HLOOKUP(Y$4,$D$7:$P$336,$R233,FALSE)-HLOOKUP(Y$3,$D$7:$P$336,$R233,FALSE)</f>
        <v>89</v>
      </c>
      <c r="Z233" s="60">
        <f ca="1">100+HLOOKUP(Z$4,$D$7:$P$336,$R233,FALSE)-HLOOKUP(Z$3,$D$7:$P$336,$R233,FALSE)</f>
        <v>84</v>
      </c>
      <c r="AA233" s="60">
        <f ca="1">100+HLOOKUP(AA$4,$D$7:$P$336,$R233,FALSE)-HLOOKUP(AA$3,$D$7:$P$336,$R233,FALSE)</f>
        <v>98</v>
      </c>
      <c r="AB233" s="60">
        <f ca="1">100+HLOOKUP(AB$4,$D$7:$P$336,$R233,FALSE)-HLOOKUP(AB$3,$D$7:$P$336,$R233,FALSE)</f>
        <v>80</v>
      </c>
      <c r="AC233" s="60">
        <f ca="1">100+HLOOKUP(AC$4,$D$7:$P$336,$R233,FALSE)-HLOOKUP(AC$3,$D$7:$P$336,$R233,FALSE)</f>
        <v>88</v>
      </c>
      <c r="AD233" s="60">
        <f ca="1">100+HLOOKUP(AD$4,$D$7:$P$336,$R233,FALSE)-HLOOKUP(AD$3,$D$7:$P$336,$R233,FALSE)</f>
        <v>106</v>
      </c>
      <c r="AE233" s="60">
        <f ca="1">100+HLOOKUP(AE$4,$D$7:$P$336,$R233,FALSE)-HLOOKUP(AE$3,$D$7:$P$336,$R233,FALSE)</f>
        <v>115</v>
      </c>
      <c r="AF233" s="60">
        <f ca="1">100+HLOOKUP(AF$4,$D$7:$P$336,$R233,FALSE)-HLOOKUP(AF$3,$D$7:$P$336,$R233,FALSE)</f>
        <v>111</v>
      </c>
      <c r="AG233" s="60">
        <f ca="1">100+HLOOKUP(AG$4,$D$7:$P$336,$R233,FALSE)-HLOOKUP(AG$3,$D$7:$P$336,$R233,FALSE)</f>
        <v>98</v>
      </c>
      <c r="AH233" s="60" t="e">
        <f>100+HLOOKUP(AH$4,$D$7:$P$336,$R233,FALSE)-HLOOKUP(AH$3,$D$7:$P$336,$R233,FALSE)</f>
        <v>#N/A</v>
      </c>
      <c r="AI233" s="60" t="e">
        <f>100+HLOOKUP(AI$4,$D$7:$P$336,$R233,FALSE)-HLOOKUP(AI$3,$D$7:$P$336,$R233,FALSE)</f>
        <v>#N/A</v>
      </c>
      <c r="AJ233" s="60" t="e">
        <f>100+HLOOKUP(AJ$4,$D$7:$P$336,$R233,FALSE)-HLOOKUP(AJ$3,$D$7:$P$336,$R233,FALSE)</f>
        <v>#N/A</v>
      </c>
      <c r="AK233" s="60" t="e">
        <f>100+HLOOKUP(AK$4,$D$7:$P$336,$R233,FALSE)-HLOOKUP(AK$3,$D$7:$P$336,$R233,FALSE)</f>
        <v>#N/A</v>
      </c>
      <c r="AL233" s="60" t="e">
        <f>100+HLOOKUP(AL$4,$D$7:$P$336,$R233,FALSE)-HLOOKUP(AL$3,$D$7:$P$336,$R233,FALSE)</f>
        <v>#N/A</v>
      </c>
      <c r="AM233" s="60" t="e">
        <f>100+HLOOKUP(AM$4,$D$7:$P$336,$R233,FALSE)-HLOOKUP(AM$3,$D$7:$P$336,$R233,FALSE)</f>
        <v>#N/A</v>
      </c>
      <c r="AN233" s="60" t="e">
        <f>100+HLOOKUP(AN$4,$D$7:$P$336,$R233,FALSE)-HLOOKUP(AN$3,$D$7:$P$336,$R233,FALSE)</f>
        <v>#N/A</v>
      </c>
      <c r="AO233" s="60" t="e">
        <f>100+HLOOKUP(AO$4,$D$7:$P$336,$R233,FALSE)-HLOOKUP(AO$3,$D$7:$P$336,$R233,FALSE)</f>
        <v>#N/A</v>
      </c>
      <c r="AP233" s="60" t="e">
        <f>100+HLOOKUP(AP$4,$D$7:$P$336,$R233,FALSE)-HLOOKUP(AP$3,$D$7:$P$336,$R233,FALSE)</f>
        <v>#N/A</v>
      </c>
      <c r="AQ233" s="60" t="e">
        <f>100+HLOOKUP(AQ$4,$D$7:$P$336,$R233,FALSE)-HLOOKUP(AQ$3,$D$7:$P$336,$R233,FALSE)</f>
        <v>#N/A</v>
      </c>
      <c r="AV233" s="60">
        <f ca="1">AV$5-S233</f>
        <v>1.1903994267964322</v>
      </c>
      <c r="AW233" s="60">
        <f ca="1">AW$5-T233</f>
        <v>5.2206505297577479</v>
      </c>
      <c r="AX233" s="60">
        <f ca="1">AX$5-U233</f>
        <v>17.775915403668051</v>
      </c>
      <c r="AY233" s="60">
        <f ca="1">AY$5-V233</f>
        <v>-4.3969855984721988</v>
      </c>
      <c r="AZ233" s="60">
        <f ca="1">AZ$5-W233</f>
        <v>17.45448217259603</v>
      </c>
      <c r="BA233" s="60">
        <f ca="1">BA$5-X233</f>
        <v>-3.5349409410172967</v>
      </c>
      <c r="BB233" s="60">
        <f ca="1">BB$5-Y233</f>
        <v>4.3505927273811267</v>
      </c>
      <c r="BC233" s="60">
        <f ca="1">BC$5-Z233</f>
        <v>23.437465909882164</v>
      </c>
      <c r="BD233" s="60">
        <f ca="1">BD$5-AA233</f>
        <v>-6.3481335617638024E-2</v>
      </c>
      <c r="BE233" s="60">
        <f ca="1">BE$5-AB233</f>
        <v>11.829390591992194</v>
      </c>
      <c r="BF233" s="60">
        <f ca="1">BF$5-AC233</f>
        <v>13.01730431647708</v>
      </c>
      <c r="BG233" s="60">
        <f ca="1">BG$5-AD233</f>
        <v>-2.0147412949814907</v>
      </c>
      <c r="BH233" s="60">
        <f ca="1">BH$5-AE233</f>
        <v>-16.045407769632433</v>
      </c>
      <c r="BI233" s="60">
        <f ca="1">BI$5-AF233</f>
        <v>-20.391494488745195</v>
      </c>
      <c r="BJ233" s="60">
        <f ca="1">BJ$5-AG233</f>
        <v>-6.56044894232123</v>
      </c>
      <c r="BK233" s="60" t="e">
        <f>BK$5-AH233</f>
        <v>#N/A</v>
      </c>
      <c r="BL233" s="60" t="e">
        <f>BL$5-AI233</f>
        <v>#N/A</v>
      </c>
      <c r="BM233" s="60" t="e">
        <f>BM$5-AJ233</f>
        <v>#N/A</v>
      </c>
      <c r="BN233" s="60" t="e">
        <f>BN$5-AK233</f>
        <v>#N/A</v>
      </c>
      <c r="BO233" s="60" t="e">
        <f>BO$5-AL233</f>
        <v>#N/A</v>
      </c>
      <c r="BP233" s="60" t="e">
        <f>BP$5-AM233</f>
        <v>#N/A</v>
      </c>
      <c r="BQ233" s="60" t="e">
        <f>BQ$5-AN233</f>
        <v>#N/A</v>
      </c>
      <c r="BR233" s="60" t="e">
        <f>BR$5-AO233</f>
        <v>#N/A</v>
      </c>
      <c r="BS233" s="60" t="e">
        <f>BS$5-AP233</f>
        <v>#N/A</v>
      </c>
      <c r="BT233" s="60" t="e">
        <f>BT$5-AQ233</f>
        <v>#N/A</v>
      </c>
      <c r="BV233" s="60" cm="1">
        <f t="array" aca="1" ref="BV233" ca="1">SQRT(SUMSQ(_xlfn._xlws.FILTER(AV233:BT233,ISNUMBER(AV233:BT233)))/COUNT(_xlfn._xlws.FILTER(AV233:BT233,ISNUMBER(AV233:BT233))))</f>
        <v>12.326507124571197</v>
      </c>
    </row>
    <row r="234" spans="3:74" x14ac:dyDescent="0.2">
      <c r="C234" s="60" t="s">
        <v>355</v>
      </c>
      <c r="D234" s="60">
        <v>0</v>
      </c>
      <c r="E234" s="60">
        <v>-2</v>
      </c>
      <c r="F234" s="60">
        <v>-5</v>
      </c>
      <c r="G234" s="60">
        <v>-7</v>
      </c>
      <c r="H234" s="60">
        <v>-9</v>
      </c>
      <c r="I234" s="60">
        <v>-11</v>
      </c>
      <c r="J234" s="60">
        <v>-12</v>
      </c>
      <c r="K234" s="60">
        <v>-14</v>
      </c>
      <c r="L234" s="60">
        <v>-17</v>
      </c>
      <c r="M234" s="60">
        <v>2</v>
      </c>
      <c r="N234" s="60">
        <v>5</v>
      </c>
      <c r="O234" s="60">
        <v>2</v>
      </c>
      <c r="P234" s="60">
        <v>0</v>
      </c>
      <c r="R234" s="61">
        <f>(ROW(R234)-ROW($C$6))</f>
        <v>228</v>
      </c>
      <c r="S234" s="60">
        <f ca="1">100+HLOOKUP(S$4,$D$7:$P$336,$R234,FALSE)-HLOOKUP(S$3,$D$7:$P$336,$R234,FALSE)</f>
        <v>89</v>
      </c>
      <c r="T234" s="60">
        <f ca="1">100+HLOOKUP(T$4,$D$7:$P$336,$R234,FALSE)-HLOOKUP(T$3,$D$7:$P$336,$R234,FALSE)</f>
        <v>86</v>
      </c>
      <c r="U234" s="60">
        <f ca="1">100+HLOOKUP(U$4,$D$7:$P$336,$R234,FALSE)-HLOOKUP(U$3,$D$7:$P$336,$R234,FALSE)</f>
        <v>85</v>
      </c>
      <c r="V234" s="60">
        <f ca="1">100+HLOOKUP(V$4,$D$7:$P$336,$R234,FALSE)-HLOOKUP(V$3,$D$7:$P$336,$R234,FALSE)</f>
        <v>84</v>
      </c>
      <c r="W234" s="60">
        <f ca="1">100+HLOOKUP(W$4,$D$7:$P$336,$R234,FALSE)-HLOOKUP(W$3,$D$7:$P$336,$R234,FALSE)</f>
        <v>86</v>
      </c>
      <c r="X234" s="60">
        <f ca="1">100+HLOOKUP(X$4,$D$7:$P$336,$R234,FALSE)-HLOOKUP(X$3,$D$7:$P$336,$R234,FALSE)</f>
        <v>89</v>
      </c>
      <c r="Y234" s="60">
        <f ca="1">100+HLOOKUP(Y$4,$D$7:$P$336,$R234,FALSE)-HLOOKUP(Y$3,$D$7:$P$336,$R234,FALSE)</f>
        <v>86</v>
      </c>
      <c r="Z234" s="60">
        <f ca="1">100+HLOOKUP(Z$4,$D$7:$P$336,$R234,FALSE)-HLOOKUP(Z$3,$D$7:$P$336,$R234,FALSE)</f>
        <v>85</v>
      </c>
      <c r="AA234" s="60">
        <f ca="1">100+HLOOKUP(AA$4,$D$7:$P$336,$R234,FALSE)-HLOOKUP(AA$3,$D$7:$P$336,$R234,FALSE)</f>
        <v>84</v>
      </c>
      <c r="AB234" s="60">
        <f ca="1">100+HLOOKUP(AB$4,$D$7:$P$336,$R234,FALSE)-HLOOKUP(AB$3,$D$7:$P$336,$R234,FALSE)</f>
        <v>86</v>
      </c>
      <c r="AC234" s="60">
        <f ca="1">100+HLOOKUP(AC$4,$D$7:$P$336,$R234,FALSE)-HLOOKUP(AC$3,$D$7:$P$336,$R234,FALSE)</f>
        <v>107</v>
      </c>
      <c r="AD234" s="60">
        <f ca="1">100+HLOOKUP(AD$4,$D$7:$P$336,$R234,FALSE)-HLOOKUP(AD$3,$D$7:$P$336,$R234,FALSE)</f>
        <v>111</v>
      </c>
      <c r="AE234" s="60">
        <f ca="1">100+HLOOKUP(AE$4,$D$7:$P$336,$R234,FALSE)-HLOOKUP(AE$3,$D$7:$P$336,$R234,FALSE)</f>
        <v>110</v>
      </c>
      <c r="AF234" s="60">
        <f ca="1">100+HLOOKUP(AF$4,$D$7:$P$336,$R234,FALSE)-HLOOKUP(AF$3,$D$7:$P$336,$R234,FALSE)</f>
        <v>110</v>
      </c>
      <c r="AG234" s="60">
        <f ca="1">100+HLOOKUP(AG$4,$D$7:$P$336,$R234,FALSE)-HLOOKUP(AG$3,$D$7:$P$336,$R234,FALSE)</f>
        <v>84</v>
      </c>
      <c r="AH234" s="60" t="e">
        <f>100+HLOOKUP(AH$4,$D$7:$P$336,$R234,FALSE)-HLOOKUP(AH$3,$D$7:$P$336,$R234,FALSE)</f>
        <v>#N/A</v>
      </c>
      <c r="AI234" s="60" t="e">
        <f>100+HLOOKUP(AI$4,$D$7:$P$336,$R234,FALSE)-HLOOKUP(AI$3,$D$7:$P$336,$R234,FALSE)</f>
        <v>#N/A</v>
      </c>
      <c r="AJ234" s="60" t="e">
        <f>100+HLOOKUP(AJ$4,$D$7:$P$336,$R234,FALSE)-HLOOKUP(AJ$3,$D$7:$P$336,$R234,FALSE)</f>
        <v>#N/A</v>
      </c>
      <c r="AK234" s="60" t="e">
        <f>100+HLOOKUP(AK$4,$D$7:$P$336,$R234,FALSE)-HLOOKUP(AK$3,$D$7:$P$336,$R234,FALSE)</f>
        <v>#N/A</v>
      </c>
      <c r="AL234" s="60" t="e">
        <f>100+HLOOKUP(AL$4,$D$7:$P$336,$R234,FALSE)-HLOOKUP(AL$3,$D$7:$P$336,$R234,FALSE)</f>
        <v>#N/A</v>
      </c>
      <c r="AM234" s="60" t="e">
        <f>100+HLOOKUP(AM$4,$D$7:$P$336,$R234,FALSE)-HLOOKUP(AM$3,$D$7:$P$336,$R234,FALSE)</f>
        <v>#N/A</v>
      </c>
      <c r="AN234" s="60" t="e">
        <f>100+HLOOKUP(AN$4,$D$7:$P$336,$R234,FALSE)-HLOOKUP(AN$3,$D$7:$P$336,$R234,FALSE)</f>
        <v>#N/A</v>
      </c>
      <c r="AO234" s="60" t="e">
        <f>100+HLOOKUP(AO$4,$D$7:$P$336,$R234,FALSE)-HLOOKUP(AO$3,$D$7:$P$336,$R234,FALSE)</f>
        <v>#N/A</v>
      </c>
      <c r="AP234" s="60" t="e">
        <f>100+HLOOKUP(AP$4,$D$7:$P$336,$R234,FALSE)-HLOOKUP(AP$3,$D$7:$P$336,$R234,FALSE)</f>
        <v>#N/A</v>
      </c>
      <c r="AQ234" s="60" t="e">
        <f>100+HLOOKUP(AQ$4,$D$7:$P$336,$R234,FALSE)-HLOOKUP(AQ$3,$D$7:$P$336,$R234,FALSE)</f>
        <v>#N/A</v>
      </c>
      <c r="AV234" s="60">
        <f ca="1">AV$5-S234</f>
        <v>14.190399426796432</v>
      </c>
      <c r="AW234" s="60">
        <f ca="1">AW$5-T234</f>
        <v>8.2206505297577479</v>
      </c>
      <c r="AX234" s="60">
        <f ca="1">AX$5-U234</f>
        <v>16.775915403668051</v>
      </c>
      <c r="AY234" s="60">
        <f ca="1">AY$5-V234</f>
        <v>9.6030144015278012</v>
      </c>
      <c r="AZ234" s="60">
        <f ca="1">AZ$5-W234</f>
        <v>11.45448217259603</v>
      </c>
      <c r="BA234" s="60">
        <f ca="1">BA$5-X234</f>
        <v>9.4650590589827033</v>
      </c>
      <c r="BB234" s="60">
        <f ca="1">BB$5-Y234</f>
        <v>7.3505927273811267</v>
      </c>
      <c r="BC234" s="60">
        <f ca="1">BC$5-Z234</f>
        <v>22.437465909882164</v>
      </c>
      <c r="BD234" s="60">
        <f ca="1">BD$5-AA234</f>
        <v>13.936518664382362</v>
      </c>
      <c r="BE234" s="60">
        <f ca="1">BE$5-AB234</f>
        <v>5.829390591992194</v>
      </c>
      <c r="BF234" s="60">
        <f ca="1">BF$5-AC234</f>
        <v>-5.9826956835229197</v>
      </c>
      <c r="BG234" s="60">
        <f ca="1">BG$5-AD234</f>
        <v>-7.0147412949814907</v>
      </c>
      <c r="BH234" s="60">
        <f ca="1">BH$5-AE234</f>
        <v>-11.045407769632433</v>
      </c>
      <c r="BI234" s="60">
        <f ca="1">BI$5-AF234</f>
        <v>-19.391494488745195</v>
      </c>
      <c r="BJ234" s="60">
        <f ca="1">BJ$5-AG234</f>
        <v>7.43955105767877</v>
      </c>
      <c r="BK234" s="60" t="e">
        <f>BK$5-AH234</f>
        <v>#N/A</v>
      </c>
      <c r="BL234" s="60" t="e">
        <f>BL$5-AI234</f>
        <v>#N/A</v>
      </c>
      <c r="BM234" s="60" t="e">
        <f>BM$5-AJ234</f>
        <v>#N/A</v>
      </c>
      <c r="BN234" s="60" t="e">
        <f>BN$5-AK234</f>
        <v>#N/A</v>
      </c>
      <c r="BO234" s="60" t="e">
        <f>BO$5-AL234</f>
        <v>#N/A</v>
      </c>
      <c r="BP234" s="60" t="e">
        <f>BP$5-AM234</f>
        <v>#N/A</v>
      </c>
      <c r="BQ234" s="60" t="e">
        <f>BQ$5-AN234</f>
        <v>#N/A</v>
      </c>
      <c r="BR234" s="60" t="e">
        <f>BR$5-AO234</f>
        <v>#N/A</v>
      </c>
      <c r="BS234" s="60" t="e">
        <f>BS$5-AP234</f>
        <v>#N/A</v>
      </c>
      <c r="BT234" s="60" t="e">
        <f>BT$5-AQ234</f>
        <v>#N/A</v>
      </c>
      <c r="BV234" s="60" cm="1">
        <f t="array" aca="1" ref="BV234" ca="1">SQRT(SUMSQ(_xlfn._xlws.FILTER(AV234:BT234,ISNUMBER(AV234:BT234)))/COUNT(_xlfn._xlws.FILTER(AV234:BT234,ISNUMBER(AV234:BT234))))</f>
        <v>12.348940441627262</v>
      </c>
    </row>
    <row r="235" spans="3:74" x14ac:dyDescent="0.2">
      <c r="C235" s="60" t="s">
        <v>496</v>
      </c>
      <c r="D235" s="60">
        <v>0</v>
      </c>
      <c r="E235" s="60">
        <v>-3</v>
      </c>
      <c r="F235" s="60">
        <v>-7</v>
      </c>
      <c r="G235" s="60">
        <v>-10</v>
      </c>
      <c r="H235" s="60">
        <v>-14</v>
      </c>
      <c r="I235" s="60">
        <v>-17</v>
      </c>
      <c r="J235" s="60">
        <v>-20</v>
      </c>
      <c r="K235" s="60">
        <v>-19</v>
      </c>
      <c r="L235" s="60">
        <v>-17</v>
      </c>
      <c r="M235" s="60">
        <v>-10</v>
      </c>
      <c r="N235" s="60">
        <v>-4</v>
      </c>
      <c r="O235" s="60">
        <v>-2</v>
      </c>
      <c r="P235" s="60">
        <v>0</v>
      </c>
      <c r="R235" s="61">
        <f>(ROW(R235)-ROW($C$6))</f>
        <v>229</v>
      </c>
      <c r="S235" s="60">
        <f ca="1">100+HLOOKUP(S$4,$D$7:$P$336,$R235,FALSE)-HLOOKUP(S$3,$D$7:$P$336,$R235,FALSE)</f>
        <v>96</v>
      </c>
      <c r="T235" s="60">
        <f ca="1">100+HLOOKUP(T$4,$D$7:$P$336,$R235,FALSE)-HLOOKUP(T$3,$D$7:$P$336,$R235,FALSE)</f>
        <v>82</v>
      </c>
      <c r="U235" s="60">
        <f ca="1">100+HLOOKUP(U$4,$D$7:$P$336,$R235,FALSE)-HLOOKUP(U$3,$D$7:$P$336,$R235,FALSE)</f>
        <v>86</v>
      </c>
      <c r="V235" s="60">
        <f ca="1">100+HLOOKUP(V$4,$D$7:$P$336,$R235,FALSE)-HLOOKUP(V$3,$D$7:$P$336,$R235,FALSE)</f>
        <v>87</v>
      </c>
      <c r="W235" s="60">
        <f ca="1">100+HLOOKUP(W$4,$D$7:$P$336,$R235,FALSE)-HLOOKUP(W$3,$D$7:$P$336,$R235,FALSE)</f>
        <v>81</v>
      </c>
      <c r="X235" s="60">
        <f ca="1">100+HLOOKUP(X$4,$D$7:$P$336,$R235,FALSE)-HLOOKUP(X$3,$D$7:$P$336,$R235,FALSE)</f>
        <v>96</v>
      </c>
      <c r="Y235" s="60">
        <f ca="1">100+HLOOKUP(Y$4,$D$7:$P$336,$R235,FALSE)-HLOOKUP(Y$3,$D$7:$P$336,$R235,FALSE)</f>
        <v>82</v>
      </c>
      <c r="Z235" s="60">
        <f ca="1">100+HLOOKUP(Z$4,$D$7:$P$336,$R235,FALSE)-HLOOKUP(Z$3,$D$7:$P$336,$R235,FALSE)</f>
        <v>86</v>
      </c>
      <c r="AA235" s="60">
        <f ca="1">100+HLOOKUP(AA$4,$D$7:$P$336,$R235,FALSE)-HLOOKUP(AA$3,$D$7:$P$336,$R235,FALSE)</f>
        <v>87</v>
      </c>
      <c r="AB235" s="60">
        <f ca="1">100+HLOOKUP(AB$4,$D$7:$P$336,$R235,FALSE)-HLOOKUP(AB$3,$D$7:$P$336,$R235,FALSE)</f>
        <v>81</v>
      </c>
      <c r="AC235" s="60">
        <f ca="1">100+HLOOKUP(AC$4,$D$7:$P$336,$R235,FALSE)-HLOOKUP(AC$3,$D$7:$P$336,$R235,FALSE)</f>
        <v>97</v>
      </c>
      <c r="AD235" s="60">
        <f ca="1">100+HLOOKUP(AD$4,$D$7:$P$336,$R235,FALSE)-HLOOKUP(AD$3,$D$7:$P$336,$R235,FALSE)</f>
        <v>112</v>
      </c>
      <c r="AE235" s="60">
        <f ca="1">100+HLOOKUP(AE$4,$D$7:$P$336,$R235,FALSE)-HLOOKUP(AE$3,$D$7:$P$336,$R235,FALSE)</f>
        <v>117</v>
      </c>
      <c r="AF235" s="60">
        <f ca="1">100+HLOOKUP(AF$4,$D$7:$P$336,$R235,FALSE)-HLOOKUP(AF$3,$D$7:$P$336,$R235,FALSE)</f>
        <v>107</v>
      </c>
      <c r="AG235" s="60">
        <f ca="1">100+HLOOKUP(AG$4,$D$7:$P$336,$R235,FALSE)-HLOOKUP(AG$3,$D$7:$P$336,$R235,FALSE)</f>
        <v>87</v>
      </c>
      <c r="AH235" s="60" t="e">
        <f>100+HLOOKUP(AH$4,$D$7:$P$336,$R235,FALSE)-HLOOKUP(AH$3,$D$7:$P$336,$R235,FALSE)</f>
        <v>#N/A</v>
      </c>
      <c r="AI235" s="60" t="e">
        <f>100+HLOOKUP(AI$4,$D$7:$P$336,$R235,FALSE)-HLOOKUP(AI$3,$D$7:$P$336,$R235,FALSE)</f>
        <v>#N/A</v>
      </c>
      <c r="AJ235" s="60" t="e">
        <f>100+HLOOKUP(AJ$4,$D$7:$P$336,$R235,FALSE)-HLOOKUP(AJ$3,$D$7:$P$336,$R235,FALSE)</f>
        <v>#N/A</v>
      </c>
      <c r="AK235" s="60" t="e">
        <f>100+HLOOKUP(AK$4,$D$7:$P$336,$R235,FALSE)-HLOOKUP(AK$3,$D$7:$P$336,$R235,FALSE)</f>
        <v>#N/A</v>
      </c>
      <c r="AL235" s="60" t="e">
        <f>100+HLOOKUP(AL$4,$D$7:$P$336,$R235,FALSE)-HLOOKUP(AL$3,$D$7:$P$336,$R235,FALSE)</f>
        <v>#N/A</v>
      </c>
      <c r="AM235" s="60" t="e">
        <f>100+HLOOKUP(AM$4,$D$7:$P$336,$R235,FALSE)-HLOOKUP(AM$3,$D$7:$P$336,$R235,FALSE)</f>
        <v>#N/A</v>
      </c>
      <c r="AN235" s="60" t="e">
        <f>100+HLOOKUP(AN$4,$D$7:$P$336,$R235,FALSE)-HLOOKUP(AN$3,$D$7:$P$336,$R235,FALSE)</f>
        <v>#N/A</v>
      </c>
      <c r="AO235" s="60" t="e">
        <f>100+HLOOKUP(AO$4,$D$7:$P$336,$R235,FALSE)-HLOOKUP(AO$3,$D$7:$P$336,$R235,FALSE)</f>
        <v>#N/A</v>
      </c>
      <c r="AP235" s="60" t="e">
        <f>100+HLOOKUP(AP$4,$D$7:$P$336,$R235,FALSE)-HLOOKUP(AP$3,$D$7:$P$336,$R235,FALSE)</f>
        <v>#N/A</v>
      </c>
      <c r="AQ235" s="60" t="e">
        <f>100+HLOOKUP(AQ$4,$D$7:$P$336,$R235,FALSE)-HLOOKUP(AQ$3,$D$7:$P$336,$R235,FALSE)</f>
        <v>#N/A</v>
      </c>
      <c r="AV235" s="60">
        <f ca="1">AV$5-S235</f>
        <v>7.1903994267964322</v>
      </c>
      <c r="AW235" s="60">
        <f ca="1">AW$5-T235</f>
        <v>12.220650529757748</v>
      </c>
      <c r="AX235" s="60">
        <f ca="1">AX$5-U235</f>
        <v>15.775915403668051</v>
      </c>
      <c r="AY235" s="60">
        <f ca="1">AY$5-V235</f>
        <v>6.6030144015278012</v>
      </c>
      <c r="AZ235" s="60">
        <f ca="1">AZ$5-W235</f>
        <v>16.45448217259603</v>
      </c>
      <c r="BA235" s="60">
        <f ca="1">BA$5-X235</f>
        <v>2.4650590589827033</v>
      </c>
      <c r="BB235" s="60">
        <f ca="1">BB$5-Y235</f>
        <v>11.350592727381127</v>
      </c>
      <c r="BC235" s="60">
        <f ca="1">BC$5-Z235</f>
        <v>21.437465909882164</v>
      </c>
      <c r="BD235" s="60">
        <f ca="1">BD$5-AA235</f>
        <v>10.936518664382362</v>
      </c>
      <c r="BE235" s="60">
        <f ca="1">BE$5-AB235</f>
        <v>10.829390591992194</v>
      </c>
      <c r="BF235" s="60">
        <f ca="1">BF$5-AC235</f>
        <v>4.0173043164770803</v>
      </c>
      <c r="BG235" s="60">
        <f ca="1">BG$5-AD235</f>
        <v>-8.0147412949814907</v>
      </c>
      <c r="BH235" s="60">
        <f ca="1">BH$5-AE235</f>
        <v>-18.045407769632433</v>
      </c>
      <c r="BI235" s="60">
        <f ca="1">BI$5-AF235</f>
        <v>-16.391494488745195</v>
      </c>
      <c r="BJ235" s="60">
        <f ca="1">BJ$5-AG235</f>
        <v>4.43955105767877</v>
      </c>
      <c r="BK235" s="60" t="e">
        <f>BK$5-AH235</f>
        <v>#N/A</v>
      </c>
      <c r="BL235" s="60" t="e">
        <f>BL$5-AI235</f>
        <v>#N/A</v>
      </c>
      <c r="BM235" s="60" t="e">
        <f>BM$5-AJ235</f>
        <v>#N/A</v>
      </c>
      <c r="BN235" s="60" t="e">
        <f>BN$5-AK235</f>
        <v>#N/A</v>
      </c>
      <c r="BO235" s="60" t="e">
        <f>BO$5-AL235</f>
        <v>#N/A</v>
      </c>
      <c r="BP235" s="60" t="e">
        <f>BP$5-AM235</f>
        <v>#N/A</v>
      </c>
      <c r="BQ235" s="60" t="e">
        <f>BQ$5-AN235</f>
        <v>#N/A</v>
      </c>
      <c r="BR235" s="60" t="e">
        <f>BR$5-AO235</f>
        <v>#N/A</v>
      </c>
      <c r="BS235" s="60" t="e">
        <f>BS$5-AP235</f>
        <v>#N/A</v>
      </c>
      <c r="BT235" s="60" t="e">
        <f>BT$5-AQ235</f>
        <v>#N/A</v>
      </c>
      <c r="BV235" s="60" cm="1">
        <f t="array" aca="1" ref="BV235" ca="1">SQRT(SUMSQ(_xlfn._xlws.FILTER(AV235:BT235,ISNUMBER(AV235:BT235)))/COUNT(_xlfn._xlws.FILTER(AV235:BT235,ISNUMBER(AV235:BT235))))</f>
        <v>12.355938514895579</v>
      </c>
    </row>
    <row r="236" spans="3:74" x14ac:dyDescent="0.2">
      <c r="C236" s="60" t="s">
        <v>319</v>
      </c>
      <c r="D236" s="60">
        <v>0</v>
      </c>
      <c r="E236" s="60">
        <v>-2</v>
      </c>
      <c r="F236" s="60">
        <v>-4</v>
      </c>
      <c r="G236" s="60">
        <v>-6</v>
      </c>
      <c r="H236" s="60">
        <v>-8</v>
      </c>
      <c r="I236" s="60">
        <v>-10</v>
      </c>
      <c r="J236" s="60">
        <v>-12</v>
      </c>
      <c r="K236" s="60">
        <v>-14</v>
      </c>
      <c r="L236" s="60">
        <v>-16</v>
      </c>
      <c r="M236" s="60">
        <v>6</v>
      </c>
      <c r="N236" s="60">
        <v>4</v>
      </c>
      <c r="O236" s="60">
        <v>2</v>
      </c>
      <c r="P236" s="60">
        <v>0</v>
      </c>
      <c r="R236" s="61">
        <f>(ROW(R236)-ROW($C$6))</f>
        <v>230</v>
      </c>
      <c r="S236" s="60">
        <f ca="1">100+HLOOKUP(S$4,$D$7:$P$336,$R236,FALSE)-HLOOKUP(S$3,$D$7:$P$336,$R236,FALSE)</f>
        <v>86</v>
      </c>
      <c r="T236" s="60">
        <f ca="1">100+HLOOKUP(T$4,$D$7:$P$336,$R236,FALSE)-HLOOKUP(T$3,$D$7:$P$336,$R236,FALSE)</f>
        <v>86</v>
      </c>
      <c r="U236" s="60">
        <f ca="1">100+HLOOKUP(U$4,$D$7:$P$336,$R236,FALSE)-HLOOKUP(U$3,$D$7:$P$336,$R236,FALSE)</f>
        <v>86</v>
      </c>
      <c r="V236" s="60">
        <f ca="1">100+HLOOKUP(V$4,$D$7:$P$336,$R236,FALSE)-HLOOKUP(V$3,$D$7:$P$336,$R236,FALSE)</f>
        <v>86</v>
      </c>
      <c r="W236" s="60">
        <f ca="1">100+HLOOKUP(W$4,$D$7:$P$336,$R236,FALSE)-HLOOKUP(W$3,$D$7:$P$336,$R236,FALSE)</f>
        <v>86</v>
      </c>
      <c r="X236" s="60">
        <f ca="1">100+HLOOKUP(X$4,$D$7:$P$336,$R236,FALSE)-HLOOKUP(X$3,$D$7:$P$336,$R236,FALSE)</f>
        <v>86</v>
      </c>
      <c r="Y236" s="60">
        <f ca="1">100+HLOOKUP(Y$4,$D$7:$P$336,$R236,FALSE)-HLOOKUP(Y$3,$D$7:$P$336,$R236,FALSE)</f>
        <v>86</v>
      </c>
      <c r="Z236" s="60">
        <f ca="1">100+HLOOKUP(Z$4,$D$7:$P$336,$R236,FALSE)-HLOOKUP(Z$3,$D$7:$P$336,$R236,FALSE)</f>
        <v>86</v>
      </c>
      <c r="AA236" s="60">
        <f ca="1">100+HLOOKUP(AA$4,$D$7:$P$336,$R236,FALSE)-HLOOKUP(AA$3,$D$7:$P$336,$R236,FALSE)</f>
        <v>86</v>
      </c>
      <c r="AB236" s="60">
        <f ca="1">100+HLOOKUP(AB$4,$D$7:$P$336,$R236,FALSE)-HLOOKUP(AB$3,$D$7:$P$336,$R236,FALSE)</f>
        <v>86</v>
      </c>
      <c r="AC236" s="60">
        <f ca="1">100+HLOOKUP(AC$4,$D$7:$P$336,$R236,FALSE)-HLOOKUP(AC$3,$D$7:$P$336,$R236,FALSE)</f>
        <v>110</v>
      </c>
      <c r="AD236" s="60">
        <f ca="1">100+HLOOKUP(AD$4,$D$7:$P$336,$R236,FALSE)-HLOOKUP(AD$3,$D$7:$P$336,$R236,FALSE)</f>
        <v>110</v>
      </c>
      <c r="AE236" s="60">
        <f ca="1">100+HLOOKUP(AE$4,$D$7:$P$336,$R236,FALSE)-HLOOKUP(AE$3,$D$7:$P$336,$R236,FALSE)</f>
        <v>110</v>
      </c>
      <c r="AF236" s="60">
        <f ca="1">100+HLOOKUP(AF$4,$D$7:$P$336,$R236,FALSE)-HLOOKUP(AF$3,$D$7:$P$336,$R236,FALSE)</f>
        <v>110</v>
      </c>
      <c r="AG236" s="60">
        <f ca="1">100+HLOOKUP(AG$4,$D$7:$P$336,$R236,FALSE)-HLOOKUP(AG$3,$D$7:$P$336,$R236,FALSE)</f>
        <v>86</v>
      </c>
      <c r="AH236" s="60" t="e">
        <f>100+HLOOKUP(AH$4,$D$7:$P$336,$R236,FALSE)-HLOOKUP(AH$3,$D$7:$P$336,$R236,FALSE)</f>
        <v>#N/A</v>
      </c>
      <c r="AI236" s="60" t="e">
        <f>100+HLOOKUP(AI$4,$D$7:$P$336,$R236,FALSE)-HLOOKUP(AI$3,$D$7:$P$336,$R236,FALSE)</f>
        <v>#N/A</v>
      </c>
      <c r="AJ236" s="60" t="e">
        <f>100+HLOOKUP(AJ$4,$D$7:$P$336,$R236,FALSE)-HLOOKUP(AJ$3,$D$7:$P$336,$R236,FALSE)</f>
        <v>#N/A</v>
      </c>
      <c r="AK236" s="60" t="e">
        <f>100+HLOOKUP(AK$4,$D$7:$P$336,$R236,FALSE)-HLOOKUP(AK$3,$D$7:$P$336,$R236,FALSE)</f>
        <v>#N/A</v>
      </c>
      <c r="AL236" s="60" t="e">
        <f>100+HLOOKUP(AL$4,$D$7:$P$336,$R236,FALSE)-HLOOKUP(AL$3,$D$7:$P$336,$R236,FALSE)</f>
        <v>#N/A</v>
      </c>
      <c r="AM236" s="60" t="e">
        <f>100+HLOOKUP(AM$4,$D$7:$P$336,$R236,FALSE)-HLOOKUP(AM$3,$D$7:$P$336,$R236,FALSE)</f>
        <v>#N/A</v>
      </c>
      <c r="AN236" s="60" t="e">
        <f>100+HLOOKUP(AN$4,$D$7:$P$336,$R236,FALSE)-HLOOKUP(AN$3,$D$7:$P$336,$R236,FALSE)</f>
        <v>#N/A</v>
      </c>
      <c r="AO236" s="60" t="e">
        <f>100+HLOOKUP(AO$4,$D$7:$P$336,$R236,FALSE)-HLOOKUP(AO$3,$D$7:$P$336,$R236,FALSE)</f>
        <v>#N/A</v>
      </c>
      <c r="AP236" s="60" t="e">
        <f>100+HLOOKUP(AP$4,$D$7:$P$336,$R236,FALSE)-HLOOKUP(AP$3,$D$7:$P$336,$R236,FALSE)</f>
        <v>#N/A</v>
      </c>
      <c r="AQ236" s="60" t="e">
        <f>100+HLOOKUP(AQ$4,$D$7:$P$336,$R236,FALSE)-HLOOKUP(AQ$3,$D$7:$P$336,$R236,FALSE)</f>
        <v>#N/A</v>
      </c>
      <c r="AV236" s="60">
        <f ca="1">AV$5-S236</f>
        <v>17.190399426796432</v>
      </c>
      <c r="AW236" s="60">
        <f ca="1">AW$5-T236</f>
        <v>8.2206505297577479</v>
      </c>
      <c r="AX236" s="60">
        <f ca="1">AX$5-U236</f>
        <v>15.775915403668051</v>
      </c>
      <c r="AY236" s="60">
        <f ca="1">AY$5-V236</f>
        <v>7.6030144015278012</v>
      </c>
      <c r="AZ236" s="60">
        <f ca="1">AZ$5-W236</f>
        <v>11.45448217259603</v>
      </c>
      <c r="BA236" s="60">
        <f ca="1">BA$5-X236</f>
        <v>12.465059058982703</v>
      </c>
      <c r="BB236" s="60">
        <f ca="1">BB$5-Y236</f>
        <v>7.3505927273811267</v>
      </c>
      <c r="BC236" s="60">
        <f ca="1">BC$5-Z236</f>
        <v>21.437465909882164</v>
      </c>
      <c r="BD236" s="60">
        <f ca="1">BD$5-AA236</f>
        <v>11.936518664382362</v>
      </c>
      <c r="BE236" s="60">
        <f ca="1">BE$5-AB236</f>
        <v>5.829390591992194</v>
      </c>
      <c r="BF236" s="60">
        <f ca="1">BF$5-AC236</f>
        <v>-8.9826956835229197</v>
      </c>
      <c r="BG236" s="60">
        <f ca="1">BG$5-AD236</f>
        <v>-6.0147412949814907</v>
      </c>
      <c r="BH236" s="60">
        <f ca="1">BH$5-AE236</f>
        <v>-11.045407769632433</v>
      </c>
      <c r="BI236" s="60">
        <f ca="1">BI$5-AF236</f>
        <v>-19.391494488745195</v>
      </c>
      <c r="BJ236" s="60">
        <f ca="1">BJ$5-AG236</f>
        <v>5.43955105767877</v>
      </c>
      <c r="BK236" s="60" t="e">
        <f>BK$5-AH236</f>
        <v>#N/A</v>
      </c>
      <c r="BL236" s="60" t="e">
        <f>BL$5-AI236</f>
        <v>#N/A</v>
      </c>
      <c r="BM236" s="60" t="e">
        <f>BM$5-AJ236</f>
        <v>#N/A</v>
      </c>
      <c r="BN236" s="60" t="e">
        <f>BN$5-AK236</f>
        <v>#N/A</v>
      </c>
      <c r="BO236" s="60" t="e">
        <f>BO$5-AL236</f>
        <v>#N/A</v>
      </c>
      <c r="BP236" s="60" t="e">
        <f>BP$5-AM236</f>
        <v>#N/A</v>
      </c>
      <c r="BQ236" s="60" t="e">
        <f>BQ$5-AN236</f>
        <v>#N/A</v>
      </c>
      <c r="BR236" s="60" t="e">
        <f>BR$5-AO236</f>
        <v>#N/A</v>
      </c>
      <c r="BS236" s="60" t="e">
        <f>BS$5-AP236</f>
        <v>#N/A</v>
      </c>
      <c r="BT236" s="60" t="e">
        <f>BT$5-AQ236</f>
        <v>#N/A</v>
      </c>
      <c r="BV236" s="60" cm="1">
        <f t="array" aca="1" ref="BV236" ca="1">SQRT(SUMSQ(_xlfn._xlws.FILTER(AV236:BT236,ISNUMBER(AV236:BT236)))/COUNT(_xlfn._xlws.FILTER(AV236:BT236,ISNUMBER(AV236:BT236))))</f>
        <v>12.358266582244328</v>
      </c>
    </row>
    <row r="237" spans="3:74" x14ac:dyDescent="0.2">
      <c r="C237" s="60" t="s">
        <v>380</v>
      </c>
      <c r="D237" s="60">
        <v>0</v>
      </c>
      <c r="E237" s="60">
        <v>-2</v>
      </c>
      <c r="F237" s="60">
        <v>-4</v>
      </c>
      <c r="G237" s="60">
        <v>-6</v>
      </c>
      <c r="H237" s="60">
        <v>-8</v>
      </c>
      <c r="I237" s="60">
        <v>-10</v>
      </c>
      <c r="J237" s="60">
        <v>-12</v>
      </c>
      <c r="K237" s="60">
        <v>-14</v>
      </c>
      <c r="L237" s="60">
        <v>-16</v>
      </c>
      <c r="M237" s="60">
        <v>6</v>
      </c>
      <c r="N237" s="60">
        <v>4</v>
      </c>
      <c r="O237" s="60">
        <v>2</v>
      </c>
      <c r="P237" s="60">
        <v>0</v>
      </c>
      <c r="R237" s="61">
        <f>(ROW(R237)-ROW($C$6))</f>
        <v>231</v>
      </c>
      <c r="S237" s="60">
        <f ca="1">100+HLOOKUP(S$4,$D$7:$P$336,$R237,FALSE)-HLOOKUP(S$3,$D$7:$P$336,$R237,FALSE)</f>
        <v>86</v>
      </c>
      <c r="T237" s="60">
        <f ca="1">100+HLOOKUP(T$4,$D$7:$P$336,$R237,FALSE)-HLOOKUP(T$3,$D$7:$P$336,$R237,FALSE)</f>
        <v>86</v>
      </c>
      <c r="U237" s="60">
        <f ca="1">100+HLOOKUP(U$4,$D$7:$P$336,$R237,FALSE)-HLOOKUP(U$3,$D$7:$P$336,$R237,FALSE)</f>
        <v>86</v>
      </c>
      <c r="V237" s="60">
        <f ca="1">100+HLOOKUP(V$4,$D$7:$P$336,$R237,FALSE)-HLOOKUP(V$3,$D$7:$P$336,$R237,FALSE)</f>
        <v>86</v>
      </c>
      <c r="W237" s="60">
        <f ca="1">100+HLOOKUP(W$4,$D$7:$P$336,$R237,FALSE)-HLOOKUP(W$3,$D$7:$P$336,$R237,FALSE)</f>
        <v>86</v>
      </c>
      <c r="X237" s="60">
        <f ca="1">100+HLOOKUP(X$4,$D$7:$P$336,$R237,FALSE)-HLOOKUP(X$3,$D$7:$P$336,$R237,FALSE)</f>
        <v>86</v>
      </c>
      <c r="Y237" s="60">
        <f ca="1">100+HLOOKUP(Y$4,$D$7:$P$336,$R237,FALSE)-HLOOKUP(Y$3,$D$7:$P$336,$R237,FALSE)</f>
        <v>86</v>
      </c>
      <c r="Z237" s="60">
        <f ca="1">100+HLOOKUP(Z$4,$D$7:$P$336,$R237,FALSE)-HLOOKUP(Z$3,$D$7:$P$336,$R237,FALSE)</f>
        <v>86</v>
      </c>
      <c r="AA237" s="60">
        <f ca="1">100+HLOOKUP(AA$4,$D$7:$P$336,$R237,FALSE)-HLOOKUP(AA$3,$D$7:$P$336,$R237,FALSE)</f>
        <v>86</v>
      </c>
      <c r="AB237" s="60">
        <f ca="1">100+HLOOKUP(AB$4,$D$7:$P$336,$R237,FALSE)-HLOOKUP(AB$3,$D$7:$P$336,$R237,FALSE)</f>
        <v>86</v>
      </c>
      <c r="AC237" s="60">
        <f ca="1">100+HLOOKUP(AC$4,$D$7:$P$336,$R237,FALSE)-HLOOKUP(AC$3,$D$7:$P$336,$R237,FALSE)</f>
        <v>110</v>
      </c>
      <c r="AD237" s="60">
        <f ca="1">100+HLOOKUP(AD$4,$D$7:$P$336,$R237,FALSE)-HLOOKUP(AD$3,$D$7:$P$336,$R237,FALSE)</f>
        <v>110</v>
      </c>
      <c r="AE237" s="60">
        <f ca="1">100+HLOOKUP(AE$4,$D$7:$P$336,$R237,FALSE)-HLOOKUP(AE$3,$D$7:$P$336,$R237,FALSE)</f>
        <v>110</v>
      </c>
      <c r="AF237" s="60">
        <f ca="1">100+HLOOKUP(AF$4,$D$7:$P$336,$R237,FALSE)-HLOOKUP(AF$3,$D$7:$P$336,$R237,FALSE)</f>
        <v>110</v>
      </c>
      <c r="AG237" s="60">
        <f ca="1">100+HLOOKUP(AG$4,$D$7:$P$336,$R237,FALSE)-HLOOKUP(AG$3,$D$7:$P$336,$R237,FALSE)</f>
        <v>86</v>
      </c>
      <c r="AH237" s="60" t="e">
        <f>100+HLOOKUP(AH$4,$D$7:$P$336,$R237,FALSE)-HLOOKUP(AH$3,$D$7:$P$336,$R237,FALSE)</f>
        <v>#N/A</v>
      </c>
      <c r="AI237" s="60" t="e">
        <f>100+HLOOKUP(AI$4,$D$7:$P$336,$R237,FALSE)-HLOOKUP(AI$3,$D$7:$P$336,$R237,FALSE)</f>
        <v>#N/A</v>
      </c>
      <c r="AJ237" s="60" t="e">
        <f>100+HLOOKUP(AJ$4,$D$7:$P$336,$R237,FALSE)-HLOOKUP(AJ$3,$D$7:$P$336,$R237,FALSE)</f>
        <v>#N/A</v>
      </c>
      <c r="AK237" s="60" t="e">
        <f>100+HLOOKUP(AK$4,$D$7:$P$336,$R237,FALSE)-HLOOKUP(AK$3,$D$7:$P$336,$R237,FALSE)</f>
        <v>#N/A</v>
      </c>
      <c r="AL237" s="60" t="e">
        <f>100+HLOOKUP(AL$4,$D$7:$P$336,$R237,FALSE)-HLOOKUP(AL$3,$D$7:$P$336,$R237,FALSE)</f>
        <v>#N/A</v>
      </c>
      <c r="AM237" s="60" t="e">
        <f>100+HLOOKUP(AM$4,$D$7:$P$336,$R237,FALSE)-HLOOKUP(AM$3,$D$7:$P$336,$R237,FALSE)</f>
        <v>#N/A</v>
      </c>
      <c r="AN237" s="60" t="e">
        <f>100+HLOOKUP(AN$4,$D$7:$P$336,$R237,FALSE)-HLOOKUP(AN$3,$D$7:$P$336,$R237,FALSE)</f>
        <v>#N/A</v>
      </c>
      <c r="AO237" s="60" t="e">
        <f>100+HLOOKUP(AO$4,$D$7:$P$336,$R237,FALSE)-HLOOKUP(AO$3,$D$7:$P$336,$R237,FALSE)</f>
        <v>#N/A</v>
      </c>
      <c r="AP237" s="60" t="e">
        <f>100+HLOOKUP(AP$4,$D$7:$P$336,$R237,FALSE)-HLOOKUP(AP$3,$D$7:$P$336,$R237,FALSE)</f>
        <v>#N/A</v>
      </c>
      <c r="AQ237" s="60" t="e">
        <f>100+HLOOKUP(AQ$4,$D$7:$P$336,$R237,FALSE)-HLOOKUP(AQ$3,$D$7:$P$336,$R237,FALSE)</f>
        <v>#N/A</v>
      </c>
      <c r="AV237" s="60">
        <f ca="1">AV$5-S237</f>
        <v>17.190399426796432</v>
      </c>
      <c r="AW237" s="60">
        <f ca="1">AW$5-T237</f>
        <v>8.2206505297577479</v>
      </c>
      <c r="AX237" s="60">
        <f ca="1">AX$5-U237</f>
        <v>15.775915403668051</v>
      </c>
      <c r="AY237" s="60">
        <f ca="1">AY$5-V237</f>
        <v>7.6030144015278012</v>
      </c>
      <c r="AZ237" s="60">
        <f ca="1">AZ$5-W237</f>
        <v>11.45448217259603</v>
      </c>
      <c r="BA237" s="60">
        <f ca="1">BA$5-X237</f>
        <v>12.465059058982703</v>
      </c>
      <c r="BB237" s="60">
        <f ca="1">BB$5-Y237</f>
        <v>7.3505927273811267</v>
      </c>
      <c r="BC237" s="60">
        <f ca="1">BC$5-Z237</f>
        <v>21.437465909882164</v>
      </c>
      <c r="BD237" s="60">
        <f ca="1">BD$5-AA237</f>
        <v>11.936518664382362</v>
      </c>
      <c r="BE237" s="60">
        <f ca="1">BE$5-AB237</f>
        <v>5.829390591992194</v>
      </c>
      <c r="BF237" s="60">
        <f ca="1">BF$5-AC237</f>
        <v>-8.9826956835229197</v>
      </c>
      <c r="BG237" s="60">
        <f ca="1">BG$5-AD237</f>
        <v>-6.0147412949814907</v>
      </c>
      <c r="BH237" s="60">
        <f ca="1">BH$5-AE237</f>
        <v>-11.045407769632433</v>
      </c>
      <c r="BI237" s="60">
        <f ca="1">BI$5-AF237</f>
        <v>-19.391494488745195</v>
      </c>
      <c r="BJ237" s="60">
        <f ca="1">BJ$5-AG237</f>
        <v>5.43955105767877</v>
      </c>
      <c r="BK237" s="60" t="e">
        <f>BK$5-AH237</f>
        <v>#N/A</v>
      </c>
      <c r="BL237" s="60" t="e">
        <f>BL$5-AI237</f>
        <v>#N/A</v>
      </c>
      <c r="BM237" s="60" t="e">
        <f>BM$5-AJ237</f>
        <v>#N/A</v>
      </c>
      <c r="BN237" s="60" t="e">
        <f>BN$5-AK237</f>
        <v>#N/A</v>
      </c>
      <c r="BO237" s="60" t="e">
        <f>BO$5-AL237</f>
        <v>#N/A</v>
      </c>
      <c r="BP237" s="60" t="e">
        <f>BP$5-AM237</f>
        <v>#N/A</v>
      </c>
      <c r="BQ237" s="60" t="e">
        <f>BQ$5-AN237</f>
        <v>#N/A</v>
      </c>
      <c r="BR237" s="60" t="e">
        <f>BR$5-AO237</f>
        <v>#N/A</v>
      </c>
      <c r="BS237" s="60" t="e">
        <f>BS$5-AP237</f>
        <v>#N/A</v>
      </c>
      <c r="BT237" s="60" t="e">
        <f>BT$5-AQ237</f>
        <v>#N/A</v>
      </c>
      <c r="BV237" s="60" cm="1">
        <f t="array" aca="1" ref="BV237" ca="1">SQRT(SUMSQ(_xlfn._xlws.FILTER(AV237:BT237,ISNUMBER(AV237:BT237)))/COUNT(_xlfn._xlws.FILTER(AV237:BT237,ISNUMBER(AV237:BT237))))</f>
        <v>12.358266582244328</v>
      </c>
    </row>
    <row r="238" spans="3:74" x14ac:dyDescent="0.2">
      <c r="C238" s="60" t="s">
        <v>425</v>
      </c>
      <c r="D238" s="60">
        <v>0</v>
      </c>
      <c r="E238" s="60">
        <v>2</v>
      </c>
      <c r="F238" s="60">
        <v>4</v>
      </c>
      <c r="G238" s="60">
        <v>-16</v>
      </c>
      <c r="H238" s="60">
        <v>-14</v>
      </c>
      <c r="I238" s="60">
        <v>-12</v>
      </c>
      <c r="J238" s="60">
        <v>-16</v>
      </c>
      <c r="K238" s="60">
        <v>-19</v>
      </c>
      <c r="L238" s="60">
        <v>-7</v>
      </c>
      <c r="M238" s="60">
        <v>5</v>
      </c>
      <c r="N238" s="60">
        <v>1</v>
      </c>
      <c r="O238" s="60">
        <v>-2</v>
      </c>
      <c r="P238" s="60">
        <v>0</v>
      </c>
      <c r="R238" s="61">
        <f>(ROW(R238)-ROW($C$6))</f>
        <v>232</v>
      </c>
      <c r="S238" s="60">
        <f ca="1">100+HLOOKUP(S$4,$D$7:$P$336,$R238,FALSE)-HLOOKUP(S$3,$D$7:$P$336,$R238,FALSE)</f>
        <v>81</v>
      </c>
      <c r="T238" s="60">
        <f ca="1">100+HLOOKUP(T$4,$D$7:$P$336,$R238,FALSE)-HLOOKUP(T$3,$D$7:$P$336,$R238,FALSE)</f>
        <v>86</v>
      </c>
      <c r="U238" s="60">
        <f ca="1">100+HLOOKUP(U$4,$D$7:$P$336,$R238,FALSE)-HLOOKUP(U$3,$D$7:$P$336,$R238,FALSE)</f>
        <v>91</v>
      </c>
      <c r="V238" s="60">
        <f ca="1">100+HLOOKUP(V$4,$D$7:$P$336,$R238,FALSE)-HLOOKUP(V$3,$D$7:$P$336,$R238,FALSE)</f>
        <v>87</v>
      </c>
      <c r="W238" s="60">
        <f ca="1">100+HLOOKUP(W$4,$D$7:$P$336,$R238,FALSE)-HLOOKUP(W$3,$D$7:$P$336,$R238,FALSE)</f>
        <v>81</v>
      </c>
      <c r="X238" s="60">
        <f ca="1">100+HLOOKUP(X$4,$D$7:$P$336,$R238,FALSE)-HLOOKUP(X$3,$D$7:$P$336,$R238,FALSE)</f>
        <v>81</v>
      </c>
      <c r="Y238" s="60">
        <f ca="1">100+HLOOKUP(Y$4,$D$7:$P$336,$R238,FALSE)-HLOOKUP(Y$3,$D$7:$P$336,$R238,FALSE)</f>
        <v>86</v>
      </c>
      <c r="Z238" s="60">
        <f ca="1">100+HLOOKUP(Z$4,$D$7:$P$336,$R238,FALSE)-HLOOKUP(Z$3,$D$7:$P$336,$R238,FALSE)</f>
        <v>91</v>
      </c>
      <c r="AA238" s="60">
        <f ca="1">100+HLOOKUP(AA$4,$D$7:$P$336,$R238,FALSE)-HLOOKUP(AA$3,$D$7:$P$336,$R238,FALSE)</f>
        <v>87</v>
      </c>
      <c r="AB238" s="60">
        <f ca="1">100+HLOOKUP(AB$4,$D$7:$P$336,$R238,FALSE)-HLOOKUP(AB$3,$D$7:$P$336,$R238,FALSE)</f>
        <v>81</v>
      </c>
      <c r="AC238" s="60">
        <f ca="1">100+HLOOKUP(AC$4,$D$7:$P$336,$R238,FALSE)-HLOOKUP(AC$3,$D$7:$P$336,$R238,FALSE)</f>
        <v>101</v>
      </c>
      <c r="AD238" s="60">
        <f ca="1">100+HLOOKUP(AD$4,$D$7:$P$336,$R238,FALSE)-HLOOKUP(AD$3,$D$7:$P$336,$R238,FALSE)</f>
        <v>112</v>
      </c>
      <c r="AE238" s="60">
        <f ca="1">100+HLOOKUP(AE$4,$D$7:$P$336,$R238,FALSE)-HLOOKUP(AE$3,$D$7:$P$336,$R238,FALSE)</f>
        <v>118</v>
      </c>
      <c r="AF238" s="60">
        <f ca="1">100+HLOOKUP(AF$4,$D$7:$P$336,$R238,FALSE)-HLOOKUP(AF$3,$D$7:$P$336,$R238,FALSE)</f>
        <v>91</v>
      </c>
      <c r="AG238" s="60">
        <f ca="1">100+HLOOKUP(AG$4,$D$7:$P$336,$R238,FALSE)-HLOOKUP(AG$3,$D$7:$P$336,$R238,FALSE)</f>
        <v>87</v>
      </c>
      <c r="AH238" s="60" t="e">
        <f>100+HLOOKUP(AH$4,$D$7:$P$336,$R238,FALSE)-HLOOKUP(AH$3,$D$7:$P$336,$R238,FALSE)</f>
        <v>#N/A</v>
      </c>
      <c r="AI238" s="60" t="e">
        <f>100+HLOOKUP(AI$4,$D$7:$P$336,$R238,FALSE)-HLOOKUP(AI$3,$D$7:$P$336,$R238,FALSE)</f>
        <v>#N/A</v>
      </c>
      <c r="AJ238" s="60" t="e">
        <f>100+HLOOKUP(AJ$4,$D$7:$P$336,$R238,FALSE)-HLOOKUP(AJ$3,$D$7:$P$336,$R238,FALSE)</f>
        <v>#N/A</v>
      </c>
      <c r="AK238" s="60" t="e">
        <f>100+HLOOKUP(AK$4,$D$7:$P$336,$R238,FALSE)-HLOOKUP(AK$3,$D$7:$P$336,$R238,FALSE)</f>
        <v>#N/A</v>
      </c>
      <c r="AL238" s="60" t="e">
        <f>100+HLOOKUP(AL$4,$D$7:$P$336,$R238,FALSE)-HLOOKUP(AL$3,$D$7:$P$336,$R238,FALSE)</f>
        <v>#N/A</v>
      </c>
      <c r="AM238" s="60" t="e">
        <f>100+HLOOKUP(AM$4,$D$7:$P$336,$R238,FALSE)-HLOOKUP(AM$3,$D$7:$P$336,$R238,FALSE)</f>
        <v>#N/A</v>
      </c>
      <c r="AN238" s="60" t="e">
        <f>100+HLOOKUP(AN$4,$D$7:$P$336,$R238,FALSE)-HLOOKUP(AN$3,$D$7:$P$336,$R238,FALSE)</f>
        <v>#N/A</v>
      </c>
      <c r="AO238" s="60" t="e">
        <f>100+HLOOKUP(AO$4,$D$7:$P$336,$R238,FALSE)-HLOOKUP(AO$3,$D$7:$P$336,$R238,FALSE)</f>
        <v>#N/A</v>
      </c>
      <c r="AP238" s="60" t="e">
        <f>100+HLOOKUP(AP$4,$D$7:$P$336,$R238,FALSE)-HLOOKUP(AP$3,$D$7:$P$336,$R238,FALSE)</f>
        <v>#N/A</v>
      </c>
      <c r="AQ238" s="60" t="e">
        <f>100+HLOOKUP(AQ$4,$D$7:$P$336,$R238,FALSE)-HLOOKUP(AQ$3,$D$7:$P$336,$R238,FALSE)</f>
        <v>#N/A</v>
      </c>
      <c r="AV238" s="60">
        <f ca="1">AV$5-S238</f>
        <v>22.190399426796432</v>
      </c>
      <c r="AW238" s="60">
        <f ca="1">AW$5-T238</f>
        <v>8.2206505297577479</v>
      </c>
      <c r="AX238" s="60">
        <f ca="1">AX$5-U238</f>
        <v>10.775915403668051</v>
      </c>
      <c r="AY238" s="60">
        <f ca="1">AY$5-V238</f>
        <v>6.6030144015278012</v>
      </c>
      <c r="AZ238" s="60">
        <f ca="1">AZ$5-W238</f>
        <v>16.45448217259603</v>
      </c>
      <c r="BA238" s="60">
        <f ca="1">BA$5-X238</f>
        <v>17.465059058982703</v>
      </c>
      <c r="BB238" s="60">
        <f ca="1">BB$5-Y238</f>
        <v>7.3505927273811267</v>
      </c>
      <c r="BC238" s="60">
        <f ca="1">BC$5-Z238</f>
        <v>16.437465909882164</v>
      </c>
      <c r="BD238" s="60">
        <f ca="1">BD$5-AA238</f>
        <v>10.936518664382362</v>
      </c>
      <c r="BE238" s="60">
        <f ca="1">BE$5-AB238</f>
        <v>10.829390591992194</v>
      </c>
      <c r="BF238" s="60">
        <f ca="1">BF$5-AC238</f>
        <v>1.7304316477080306E-2</v>
      </c>
      <c r="BG238" s="60">
        <f ca="1">BG$5-AD238</f>
        <v>-8.0147412949814907</v>
      </c>
      <c r="BH238" s="60">
        <f ca="1">BH$5-AE238</f>
        <v>-19.045407769632433</v>
      </c>
      <c r="BI238" s="60">
        <f ca="1">BI$5-AF238</f>
        <v>-0.39149448874519521</v>
      </c>
      <c r="BJ238" s="60">
        <f ca="1">BJ$5-AG238</f>
        <v>4.43955105767877</v>
      </c>
      <c r="BK238" s="60" t="e">
        <f>BK$5-AH238</f>
        <v>#N/A</v>
      </c>
      <c r="BL238" s="60" t="e">
        <f>BL$5-AI238</f>
        <v>#N/A</v>
      </c>
      <c r="BM238" s="60" t="e">
        <f>BM$5-AJ238</f>
        <v>#N/A</v>
      </c>
      <c r="BN238" s="60" t="e">
        <f>BN$5-AK238</f>
        <v>#N/A</v>
      </c>
      <c r="BO238" s="60" t="e">
        <f>BO$5-AL238</f>
        <v>#N/A</v>
      </c>
      <c r="BP238" s="60" t="e">
        <f>BP$5-AM238</f>
        <v>#N/A</v>
      </c>
      <c r="BQ238" s="60" t="e">
        <f>BQ$5-AN238</f>
        <v>#N/A</v>
      </c>
      <c r="BR238" s="60" t="e">
        <f>BR$5-AO238</f>
        <v>#N/A</v>
      </c>
      <c r="BS238" s="60" t="e">
        <f>BS$5-AP238</f>
        <v>#N/A</v>
      </c>
      <c r="BT238" s="60" t="e">
        <f>BT$5-AQ238</f>
        <v>#N/A</v>
      </c>
      <c r="BV238" s="60" cm="1">
        <f t="array" aca="1" ref="BV238" ca="1">SQRT(SUMSQ(_xlfn._xlws.FILTER(AV238:BT238,ISNUMBER(AV238:BT238)))/COUNT(_xlfn._xlws.FILTER(AV238:BT238,ISNUMBER(AV238:BT238))))</f>
        <v>12.391994193851025</v>
      </c>
    </row>
    <row r="239" spans="3:74" x14ac:dyDescent="0.2">
      <c r="C239" s="60" t="s">
        <v>257</v>
      </c>
      <c r="D239" s="60">
        <v>0</v>
      </c>
      <c r="E239" s="60">
        <v>-3</v>
      </c>
      <c r="F239" s="60">
        <v>-7</v>
      </c>
      <c r="G239" s="60">
        <v>-10</v>
      </c>
      <c r="H239" s="60">
        <v>-14</v>
      </c>
      <c r="I239" s="60">
        <v>-17</v>
      </c>
      <c r="J239" s="60">
        <v>-20</v>
      </c>
      <c r="K239" s="60">
        <v>-19</v>
      </c>
      <c r="L239" s="60">
        <v>-17</v>
      </c>
      <c r="M239" s="60">
        <v>-9</v>
      </c>
      <c r="N239" s="60">
        <v>-4</v>
      </c>
      <c r="O239" s="60">
        <v>-2</v>
      </c>
      <c r="P239" s="60">
        <v>0</v>
      </c>
      <c r="R239" s="61">
        <f>(ROW(R239)-ROW($C$6))</f>
        <v>233</v>
      </c>
      <c r="S239" s="60">
        <f ca="1">100+HLOOKUP(S$4,$D$7:$P$336,$R239,FALSE)-HLOOKUP(S$3,$D$7:$P$336,$R239,FALSE)</f>
        <v>95</v>
      </c>
      <c r="T239" s="60">
        <f ca="1">100+HLOOKUP(T$4,$D$7:$P$336,$R239,FALSE)-HLOOKUP(T$3,$D$7:$P$336,$R239,FALSE)</f>
        <v>82</v>
      </c>
      <c r="U239" s="60">
        <f ca="1">100+HLOOKUP(U$4,$D$7:$P$336,$R239,FALSE)-HLOOKUP(U$3,$D$7:$P$336,$R239,FALSE)</f>
        <v>86</v>
      </c>
      <c r="V239" s="60">
        <f ca="1">100+HLOOKUP(V$4,$D$7:$P$336,$R239,FALSE)-HLOOKUP(V$3,$D$7:$P$336,$R239,FALSE)</f>
        <v>87</v>
      </c>
      <c r="W239" s="60">
        <f ca="1">100+HLOOKUP(W$4,$D$7:$P$336,$R239,FALSE)-HLOOKUP(W$3,$D$7:$P$336,$R239,FALSE)</f>
        <v>81</v>
      </c>
      <c r="X239" s="60">
        <f ca="1">100+HLOOKUP(X$4,$D$7:$P$336,$R239,FALSE)-HLOOKUP(X$3,$D$7:$P$336,$R239,FALSE)</f>
        <v>95</v>
      </c>
      <c r="Y239" s="60">
        <f ca="1">100+HLOOKUP(Y$4,$D$7:$P$336,$R239,FALSE)-HLOOKUP(Y$3,$D$7:$P$336,$R239,FALSE)</f>
        <v>82</v>
      </c>
      <c r="Z239" s="60">
        <f ca="1">100+HLOOKUP(Z$4,$D$7:$P$336,$R239,FALSE)-HLOOKUP(Z$3,$D$7:$P$336,$R239,FALSE)</f>
        <v>86</v>
      </c>
      <c r="AA239" s="60">
        <f ca="1">100+HLOOKUP(AA$4,$D$7:$P$336,$R239,FALSE)-HLOOKUP(AA$3,$D$7:$P$336,$R239,FALSE)</f>
        <v>87</v>
      </c>
      <c r="AB239" s="60">
        <f ca="1">100+HLOOKUP(AB$4,$D$7:$P$336,$R239,FALSE)-HLOOKUP(AB$3,$D$7:$P$336,$R239,FALSE)</f>
        <v>81</v>
      </c>
      <c r="AC239" s="60">
        <f ca="1">100+HLOOKUP(AC$4,$D$7:$P$336,$R239,FALSE)-HLOOKUP(AC$3,$D$7:$P$336,$R239,FALSE)</f>
        <v>98</v>
      </c>
      <c r="AD239" s="60">
        <f ca="1">100+HLOOKUP(AD$4,$D$7:$P$336,$R239,FALSE)-HLOOKUP(AD$3,$D$7:$P$336,$R239,FALSE)</f>
        <v>112</v>
      </c>
      <c r="AE239" s="60">
        <f ca="1">100+HLOOKUP(AE$4,$D$7:$P$336,$R239,FALSE)-HLOOKUP(AE$3,$D$7:$P$336,$R239,FALSE)</f>
        <v>117</v>
      </c>
      <c r="AF239" s="60">
        <f ca="1">100+HLOOKUP(AF$4,$D$7:$P$336,$R239,FALSE)-HLOOKUP(AF$3,$D$7:$P$336,$R239,FALSE)</f>
        <v>107</v>
      </c>
      <c r="AG239" s="60">
        <f ca="1">100+HLOOKUP(AG$4,$D$7:$P$336,$R239,FALSE)-HLOOKUP(AG$3,$D$7:$P$336,$R239,FALSE)</f>
        <v>87</v>
      </c>
      <c r="AH239" s="60" t="e">
        <f>100+HLOOKUP(AH$4,$D$7:$P$336,$R239,FALSE)-HLOOKUP(AH$3,$D$7:$P$336,$R239,FALSE)</f>
        <v>#N/A</v>
      </c>
      <c r="AI239" s="60" t="e">
        <f>100+HLOOKUP(AI$4,$D$7:$P$336,$R239,FALSE)-HLOOKUP(AI$3,$D$7:$P$336,$R239,FALSE)</f>
        <v>#N/A</v>
      </c>
      <c r="AJ239" s="60" t="e">
        <f>100+HLOOKUP(AJ$4,$D$7:$P$336,$R239,FALSE)-HLOOKUP(AJ$3,$D$7:$P$336,$R239,FALSE)</f>
        <v>#N/A</v>
      </c>
      <c r="AK239" s="60" t="e">
        <f>100+HLOOKUP(AK$4,$D$7:$P$336,$R239,FALSE)-HLOOKUP(AK$3,$D$7:$P$336,$R239,FALSE)</f>
        <v>#N/A</v>
      </c>
      <c r="AL239" s="60" t="e">
        <f>100+HLOOKUP(AL$4,$D$7:$P$336,$R239,FALSE)-HLOOKUP(AL$3,$D$7:$P$336,$R239,FALSE)</f>
        <v>#N/A</v>
      </c>
      <c r="AM239" s="60" t="e">
        <f>100+HLOOKUP(AM$4,$D$7:$P$336,$R239,FALSE)-HLOOKUP(AM$3,$D$7:$P$336,$R239,FALSE)</f>
        <v>#N/A</v>
      </c>
      <c r="AN239" s="60" t="e">
        <f>100+HLOOKUP(AN$4,$D$7:$P$336,$R239,FALSE)-HLOOKUP(AN$3,$D$7:$P$336,$R239,FALSE)</f>
        <v>#N/A</v>
      </c>
      <c r="AO239" s="60" t="e">
        <f>100+HLOOKUP(AO$4,$D$7:$P$336,$R239,FALSE)-HLOOKUP(AO$3,$D$7:$P$336,$R239,FALSE)</f>
        <v>#N/A</v>
      </c>
      <c r="AP239" s="60" t="e">
        <f>100+HLOOKUP(AP$4,$D$7:$P$336,$R239,FALSE)-HLOOKUP(AP$3,$D$7:$P$336,$R239,FALSE)</f>
        <v>#N/A</v>
      </c>
      <c r="AQ239" s="60" t="e">
        <f>100+HLOOKUP(AQ$4,$D$7:$P$336,$R239,FALSE)-HLOOKUP(AQ$3,$D$7:$P$336,$R239,FALSE)</f>
        <v>#N/A</v>
      </c>
      <c r="AV239" s="60">
        <f ca="1">AV$5-S239</f>
        <v>8.1903994267964322</v>
      </c>
      <c r="AW239" s="60">
        <f ca="1">AW$5-T239</f>
        <v>12.220650529757748</v>
      </c>
      <c r="AX239" s="60">
        <f ca="1">AX$5-U239</f>
        <v>15.775915403668051</v>
      </c>
      <c r="AY239" s="60">
        <f ca="1">AY$5-V239</f>
        <v>6.6030144015278012</v>
      </c>
      <c r="AZ239" s="60">
        <f ca="1">AZ$5-W239</f>
        <v>16.45448217259603</v>
      </c>
      <c r="BA239" s="60">
        <f ca="1">BA$5-X239</f>
        <v>3.4650590589827033</v>
      </c>
      <c r="BB239" s="60">
        <f ca="1">BB$5-Y239</f>
        <v>11.350592727381127</v>
      </c>
      <c r="BC239" s="60">
        <f ca="1">BC$5-Z239</f>
        <v>21.437465909882164</v>
      </c>
      <c r="BD239" s="60">
        <f ca="1">BD$5-AA239</f>
        <v>10.936518664382362</v>
      </c>
      <c r="BE239" s="60">
        <f ca="1">BE$5-AB239</f>
        <v>10.829390591992194</v>
      </c>
      <c r="BF239" s="60">
        <f ca="1">BF$5-AC239</f>
        <v>3.0173043164770803</v>
      </c>
      <c r="BG239" s="60">
        <f ca="1">BG$5-AD239</f>
        <v>-8.0147412949814907</v>
      </c>
      <c r="BH239" s="60">
        <f ca="1">BH$5-AE239</f>
        <v>-18.045407769632433</v>
      </c>
      <c r="BI239" s="60">
        <f ca="1">BI$5-AF239</f>
        <v>-16.391494488745195</v>
      </c>
      <c r="BJ239" s="60">
        <f ca="1">BJ$5-AG239</f>
        <v>4.43955105767877</v>
      </c>
      <c r="BK239" s="60" t="e">
        <f>BK$5-AH239</f>
        <v>#N/A</v>
      </c>
      <c r="BL239" s="60" t="e">
        <f>BL$5-AI239</f>
        <v>#N/A</v>
      </c>
      <c r="BM239" s="60" t="e">
        <f>BM$5-AJ239</f>
        <v>#N/A</v>
      </c>
      <c r="BN239" s="60" t="e">
        <f>BN$5-AK239</f>
        <v>#N/A</v>
      </c>
      <c r="BO239" s="60" t="e">
        <f>BO$5-AL239</f>
        <v>#N/A</v>
      </c>
      <c r="BP239" s="60" t="e">
        <f>BP$5-AM239</f>
        <v>#N/A</v>
      </c>
      <c r="BQ239" s="60" t="e">
        <f>BQ$5-AN239</f>
        <v>#N/A</v>
      </c>
      <c r="BR239" s="60" t="e">
        <f>BR$5-AO239</f>
        <v>#N/A</v>
      </c>
      <c r="BS239" s="60" t="e">
        <f>BS$5-AP239</f>
        <v>#N/A</v>
      </c>
      <c r="BT239" s="60" t="e">
        <f>BT$5-AQ239</f>
        <v>#N/A</v>
      </c>
      <c r="BV239" s="60" cm="1">
        <f t="array" aca="1" ref="BV239" ca="1">SQRT(SUMSQ(_xlfn._xlws.FILTER(AV239:BT239,ISNUMBER(AV239:BT239)))/COUNT(_xlfn._xlws.FILTER(AV239:BT239,ISNUMBER(AV239:BT239))))</f>
        <v>12.39439270287658</v>
      </c>
    </row>
    <row r="240" spans="3:74" x14ac:dyDescent="0.2">
      <c r="C240" s="60" t="s">
        <v>383</v>
      </c>
      <c r="D240" s="60">
        <v>0</v>
      </c>
      <c r="E240" s="60">
        <v>-2.34</v>
      </c>
      <c r="F240" s="60">
        <v>-6.11</v>
      </c>
      <c r="G240" s="60">
        <v>-7.99</v>
      </c>
      <c r="H240" s="60">
        <v>-8.59</v>
      </c>
      <c r="I240" s="60">
        <v>-11.8</v>
      </c>
      <c r="J240" s="60">
        <v>-14.35</v>
      </c>
      <c r="K240" s="60">
        <v>-15.45</v>
      </c>
      <c r="L240" s="60">
        <v>-17.579999999999998</v>
      </c>
      <c r="M240" s="60">
        <v>3.34</v>
      </c>
      <c r="N240" s="60">
        <v>1.7</v>
      </c>
      <c r="O240" s="60">
        <v>1.25</v>
      </c>
      <c r="P240" s="60">
        <v>0</v>
      </c>
      <c r="R240" s="61">
        <f>(ROW(R240)-ROW($C$6))</f>
        <v>234</v>
      </c>
      <c r="S240" s="60">
        <f ca="1">100+HLOOKUP(S$4,$D$7:$P$336,$R240,FALSE)-HLOOKUP(S$3,$D$7:$P$336,$R240,FALSE)</f>
        <v>88.07</v>
      </c>
      <c r="T240" s="60">
        <f ca="1">100+HLOOKUP(T$4,$D$7:$P$336,$R240,FALSE)-HLOOKUP(T$3,$D$7:$P$336,$R240,FALSE)</f>
        <v>84.4</v>
      </c>
      <c r="U240" s="60">
        <f ca="1">100+HLOOKUP(U$4,$D$7:$P$336,$R240,FALSE)-HLOOKUP(U$3,$D$7:$P$336,$R240,FALSE)</f>
        <v>84.76</v>
      </c>
      <c r="V240" s="60">
        <f ca="1">100+HLOOKUP(V$4,$D$7:$P$336,$R240,FALSE)-HLOOKUP(V$3,$D$7:$P$336,$R240,FALSE)</f>
        <v>86.5</v>
      </c>
      <c r="W240" s="60">
        <f ca="1">100+HLOOKUP(W$4,$D$7:$P$336,$R240,FALSE)-HLOOKUP(W$3,$D$7:$P$336,$R240,FALSE)</f>
        <v>84.55</v>
      </c>
      <c r="X240" s="60">
        <f ca="1">100+HLOOKUP(X$4,$D$7:$P$336,$R240,FALSE)-HLOOKUP(X$3,$D$7:$P$336,$R240,FALSE)</f>
        <v>88.07</v>
      </c>
      <c r="Y240" s="60">
        <f ca="1">100+HLOOKUP(Y$4,$D$7:$P$336,$R240,FALSE)-HLOOKUP(Y$3,$D$7:$P$336,$R240,FALSE)</f>
        <v>84.4</v>
      </c>
      <c r="Z240" s="60">
        <f ca="1">100+HLOOKUP(Z$4,$D$7:$P$336,$R240,FALSE)-HLOOKUP(Z$3,$D$7:$P$336,$R240,FALSE)</f>
        <v>84.76</v>
      </c>
      <c r="AA240" s="60">
        <f ca="1">100+HLOOKUP(AA$4,$D$7:$P$336,$R240,FALSE)-HLOOKUP(AA$3,$D$7:$P$336,$R240,FALSE)</f>
        <v>86.5</v>
      </c>
      <c r="AB240" s="60">
        <f ca="1">100+HLOOKUP(AB$4,$D$7:$P$336,$R240,FALSE)-HLOOKUP(AB$3,$D$7:$P$336,$R240,FALSE)</f>
        <v>84.55</v>
      </c>
      <c r="AC240" s="60">
        <f ca="1">100+HLOOKUP(AC$4,$D$7:$P$336,$R240,FALSE)-HLOOKUP(AC$3,$D$7:$P$336,$R240,FALSE)</f>
        <v>109.45</v>
      </c>
      <c r="AD240" s="60">
        <f ca="1">100+HLOOKUP(AD$4,$D$7:$P$336,$R240,FALSE)-HLOOKUP(AD$3,$D$7:$P$336,$R240,FALSE)</f>
        <v>109.84</v>
      </c>
      <c r="AE240" s="60">
        <f ca="1">100+HLOOKUP(AE$4,$D$7:$P$336,$R240,FALSE)-HLOOKUP(AE$3,$D$7:$P$336,$R240,FALSE)</f>
        <v>112.00999999999999</v>
      </c>
      <c r="AF240" s="60">
        <f ca="1">100+HLOOKUP(AF$4,$D$7:$P$336,$R240,FALSE)-HLOOKUP(AF$3,$D$7:$P$336,$R240,FALSE)</f>
        <v>109.59</v>
      </c>
      <c r="AG240" s="60">
        <f ca="1">100+HLOOKUP(AG$4,$D$7:$P$336,$R240,FALSE)-HLOOKUP(AG$3,$D$7:$P$336,$R240,FALSE)</f>
        <v>86.5</v>
      </c>
      <c r="AH240" s="60" t="e">
        <f>100+HLOOKUP(AH$4,$D$7:$P$336,$R240,FALSE)-HLOOKUP(AH$3,$D$7:$P$336,$R240,FALSE)</f>
        <v>#N/A</v>
      </c>
      <c r="AI240" s="60" t="e">
        <f>100+HLOOKUP(AI$4,$D$7:$P$336,$R240,FALSE)-HLOOKUP(AI$3,$D$7:$P$336,$R240,FALSE)</f>
        <v>#N/A</v>
      </c>
      <c r="AJ240" s="60" t="e">
        <f>100+HLOOKUP(AJ$4,$D$7:$P$336,$R240,FALSE)-HLOOKUP(AJ$3,$D$7:$P$336,$R240,FALSE)</f>
        <v>#N/A</v>
      </c>
      <c r="AK240" s="60" t="e">
        <f>100+HLOOKUP(AK$4,$D$7:$P$336,$R240,FALSE)-HLOOKUP(AK$3,$D$7:$P$336,$R240,FALSE)</f>
        <v>#N/A</v>
      </c>
      <c r="AL240" s="60" t="e">
        <f>100+HLOOKUP(AL$4,$D$7:$P$336,$R240,FALSE)-HLOOKUP(AL$3,$D$7:$P$336,$R240,FALSE)</f>
        <v>#N/A</v>
      </c>
      <c r="AM240" s="60" t="e">
        <f>100+HLOOKUP(AM$4,$D$7:$P$336,$R240,FALSE)-HLOOKUP(AM$3,$D$7:$P$336,$R240,FALSE)</f>
        <v>#N/A</v>
      </c>
      <c r="AN240" s="60" t="e">
        <f>100+HLOOKUP(AN$4,$D$7:$P$336,$R240,FALSE)-HLOOKUP(AN$3,$D$7:$P$336,$R240,FALSE)</f>
        <v>#N/A</v>
      </c>
      <c r="AO240" s="60" t="e">
        <f>100+HLOOKUP(AO$4,$D$7:$P$336,$R240,FALSE)-HLOOKUP(AO$3,$D$7:$P$336,$R240,FALSE)</f>
        <v>#N/A</v>
      </c>
      <c r="AP240" s="60" t="e">
        <f>100+HLOOKUP(AP$4,$D$7:$P$336,$R240,FALSE)-HLOOKUP(AP$3,$D$7:$P$336,$R240,FALSE)</f>
        <v>#N/A</v>
      </c>
      <c r="AQ240" s="60" t="e">
        <f>100+HLOOKUP(AQ$4,$D$7:$P$336,$R240,FALSE)-HLOOKUP(AQ$3,$D$7:$P$336,$R240,FALSE)</f>
        <v>#N/A</v>
      </c>
      <c r="AV240" s="60">
        <f ca="1">AV$5-S240</f>
        <v>15.120399426796439</v>
      </c>
      <c r="AW240" s="60">
        <f ca="1">AW$5-T240</f>
        <v>9.8206505297577422</v>
      </c>
      <c r="AX240" s="60">
        <f ca="1">AX$5-U240</f>
        <v>17.015915403668046</v>
      </c>
      <c r="AY240" s="60">
        <f ca="1">AY$5-V240</f>
        <v>7.1030144015278012</v>
      </c>
      <c r="AZ240" s="60">
        <f ca="1">AZ$5-W240</f>
        <v>12.904482172596033</v>
      </c>
      <c r="BA240" s="60">
        <f ca="1">BA$5-X240</f>
        <v>10.39505905898271</v>
      </c>
      <c r="BB240" s="60">
        <f ca="1">BB$5-Y240</f>
        <v>8.950592727381121</v>
      </c>
      <c r="BC240" s="60">
        <f ca="1">BC$5-Z240</f>
        <v>22.677465909882159</v>
      </c>
      <c r="BD240" s="60">
        <f ca="1">BD$5-AA240</f>
        <v>11.436518664382362</v>
      </c>
      <c r="BE240" s="60">
        <f ca="1">BE$5-AB240</f>
        <v>7.2793905919921968</v>
      </c>
      <c r="BF240" s="60">
        <f ca="1">BF$5-AC240</f>
        <v>-8.4326956835229225</v>
      </c>
      <c r="BG240" s="60">
        <f ca="1">BG$5-AD240</f>
        <v>-5.8547412949814941</v>
      </c>
      <c r="BH240" s="60">
        <f ca="1">BH$5-AE240</f>
        <v>-13.055407769632424</v>
      </c>
      <c r="BI240" s="60">
        <f ca="1">BI$5-AF240</f>
        <v>-18.981494488745199</v>
      </c>
      <c r="BJ240" s="60">
        <f ca="1">BJ$5-AG240</f>
        <v>4.93955105767877</v>
      </c>
      <c r="BK240" s="60" t="e">
        <f>BK$5-AH240</f>
        <v>#N/A</v>
      </c>
      <c r="BL240" s="60" t="e">
        <f>BL$5-AI240</f>
        <v>#N/A</v>
      </c>
      <c r="BM240" s="60" t="e">
        <f>BM$5-AJ240</f>
        <v>#N/A</v>
      </c>
      <c r="BN240" s="60" t="e">
        <f>BN$5-AK240</f>
        <v>#N/A</v>
      </c>
      <c r="BO240" s="60" t="e">
        <f>BO$5-AL240</f>
        <v>#N/A</v>
      </c>
      <c r="BP240" s="60" t="e">
        <f>BP$5-AM240</f>
        <v>#N/A</v>
      </c>
      <c r="BQ240" s="60" t="e">
        <f>BQ$5-AN240</f>
        <v>#N/A</v>
      </c>
      <c r="BR240" s="60" t="e">
        <f>BR$5-AO240</f>
        <v>#N/A</v>
      </c>
      <c r="BS240" s="60" t="e">
        <f>BS$5-AP240</f>
        <v>#N/A</v>
      </c>
      <c r="BT240" s="60" t="e">
        <f>BT$5-AQ240</f>
        <v>#N/A</v>
      </c>
      <c r="BV240" s="60" cm="1">
        <f t="array" aca="1" ref="BV240" ca="1">SQRT(SUMSQ(_xlfn._xlws.FILTER(AV240:BT240,ISNUMBER(AV240:BT240)))/COUNT(_xlfn._xlws.FILTER(AV240:BT240,ISNUMBER(AV240:BT240))))</f>
        <v>12.591905171967095</v>
      </c>
    </row>
    <row r="241" spans="3:74" x14ac:dyDescent="0.2">
      <c r="C241" s="60" t="s">
        <v>382</v>
      </c>
      <c r="D241" s="60">
        <v>0</v>
      </c>
      <c r="E241" s="60">
        <v>-2</v>
      </c>
      <c r="F241" s="60">
        <v>-6</v>
      </c>
      <c r="G241" s="60">
        <v>-8</v>
      </c>
      <c r="H241" s="60">
        <v>-9</v>
      </c>
      <c r="I241" s="60">
        <v>-12</v>
      </c>
      <c r="J241" s="60">
        <v>-14</v>
      </c>
      <c r="K241" s="60">
        <v>-15</v>
      </c>
      <c r="L241" s="60">
        <v>-18</v>
      </c>
      <c r="M241" s="60">
        <v>3</v>
      </c>
      <c r="N241" s="60">
        <v>2</v>
      </c>
      <c r="O241" s="60">
        <v>1</v>
      </c>
      <c r="P241" s="60">
        <v>0</v>
      </c>
      <c r="R241" s="61">
        <f>(ROW(R241)-ROW($C$6))</f>
        <v>235</v>
      </c>
      <c r="S241" s="60">
        <f ca="1">100+HLOOKUP(S$4,$D$7:$P$336,$R241,FALSE)-HLOOKUP(S$3,$D$7:$P$336,$R241,FALSE)</f>
        <v>88</v>
      </c>
      <c r="T241" s="60">
        <f ca="1">100+HLOOKUP(T$4,$D$7:$P$336,$R241,FALSE)-HLOOKUP(T$3,$D$7:$P$336,$R241,FALSE)</f>
        <v>85</v>
      </c>
      <c r="U241" s="60">
        <f ca="1">100+HLOOKUP(U$4,$D$7:$P$336,$R241,FALSE)-HLOOKUP(U$3,$D$7:$P$336,$R241,FALSE)</f>
        <v>84</v>
      </c>
      <c r="V241" s="60">
        <f ca="1">100+HLOOKUP(V$4,$D$7:$P$336,$R241,FALSE)-HLOOKUP(V$3,$D$7:$P$336,$R241,FALSE)</f>
        <v>86</v>
      </c>
      <c r="W241" s="60">
        <f ca="1">100+HLOOKUP(W$4,$D$7:$P$336,$R241,FALSE)-HLOOKUP(W$3,$D$7:$P$336,$R241,FALSE)</f>
        <v>85</v>
      </c>
      <c r="X241" s="60">
        <f ca="1">100+HLOOKUP(X$4,$D$7:$P$336,$R241,FALSE)-HLOOKUP(X$3,$D$7:$P$336,$R241,FALSE)</f>
        <v>88</v>
      </c>
      <c r="Y241" s="60">
        <f ca="1">100+HLOOKUP(Y$4,$D$7:$P$336,$R241,FALSE)-HLOOKUP(Y$3,$D$7:$P$336,$R241,FALSE)</f>
        <v>85</v>
      </c>
      <c r="Z241" s="60">
        <f ca="1">100+HLOOKUP(Z$4,$D$7:$P$336,$R241,FALSE)-HLOOKUP(Z$3,$D$7:$P$336,$R241,FALSE)</f>
        <v>84</v>
      </c>
      <c r="AA241" s="60">
        <f ca="1">100+HLOOKUP(AA$4,$D$7:$P$336,$R241,FALSE)-HLOOKUP(AA$3,$D$7:$P$336,$R241,FALSE)</f>
        <v>86</v>
      </c>
      <c r="AB241" s="60">
        <f ca="1">100+HLOOKUP(AB$4,$D$7:$P$336,$R241,FALSE)-HLOOKUP(AB$3,$D$7:$P$336,$R241,FALSE)</f>
        <v>85</v>
      </c>
      <c r="AC241" s="60">
        <f ca="1">100+HLOOKUP(AC$4,$D$7:$P$336,$R241,FALSE)-HLOOKUP(AC$3,$D$7:$P$336,$R241,FALSE)</f>
        <v>109</v>
      </c>
      <c r="AD241" s="60">
        <f ca="1">100+HLOOKUP(AD$4,$D$7:$P$336,$R241,FALSE)-HLOOKUP(AD$3,$D$7:$P$336,$R241,FALSE)</f>
        <v>110</v>
      </c>
      <c r="AE241" s="60">
        <f ca="1">100+HLOOKUP(AE$4,$D$7:$P$336,$R241,FALSE)-HLOOKUP(AE$3,$D$7:$P$336,$R241,FALSE)</f>
        <v>112</v>
      </c>
      <c r="AF241" s="60">
        <f ca="1">100+HLOOKUP(AF$4,$D$7:$P$336,$R241,FALSE)-HLOOKUP(AF$3,$D$7:$P$336,$R241,FALSE)</f>
        <v>110</v>
      </c>
      <c r="AG241" s="60">
        <f ca="1">100+HLOOKUP(AG$4,$D$7:$P$336,$R241,FALSE)-HLOOKUP(AG$3,$D$7:$P$336,$R241,FALSE)</f>
        <v>86</v>
      </c>
      <c r="AH241" s="60" t="e">
        <f>100+HLOOKUP(AH$4,$D$7:$P$336,$R241,FALSE)-HLOOKUP(AH$3,$D$7:$P$336,$R241,FALSE)</f>
        <v>#N/A</v>
      </c>
      <c r="AI241" s="60" t="e">
        <f>100+HLOOKUP(AI$4,$D$7:$P$336,$R241,FALSE)-HLOOKUP(AI$3,$D$7:$P$336,$R241,FALSE)</f>
        <v>#N/A</v>
      </c>
      <c r="AJ241" s="60" t="e">
        <f>100+HLOOKUP(AJ$4,$D$7:$P$336,$R241,FALSE)-HLOOKUP(AJ$3,$D$7:$P$336,$R241,FALSE)</f>
        <v>#N/A</v>
      </c>
      <c r="AK241" s="60" t="e">
        <f>100+HLOOKUP(AK$4,$D$7:$P$336,$R241,FALSE)-HLOOKUP(AK$3,$D$7:$P$336,$R241,FALSE)</f>
        <v>#N/A</v>
      </c>
      <c r="AL241" s="60" t="e">
        <f>100+HLOOKUP(AL$4,$D$7:$P$336,$R241,FALSE)-HLOOKUP(AL$3,$D$7:$P$336,$R241,FALSE)</f>
        <v>#N/A</v>
      </c>
      <c r="AM241" s="60" t="e">
        <f>100+HLOOKUP(AM$4,$D$7:$P$336,$R241,FALSE)-HLOOKUP(AM$3,$D$7:$P$336,$R241,FALSE)</f>
        <v>#N/A</v>
      </c>
      <c r="AN241" s="60" t="e">
        <f>100+HLOOKUP(AN$4,$D$7:$P$336,$R241,FALSE)-HLOOKUP(AN$3,$D$7:$P$336,$R241,FALSE)</f>
        <v>#N/A</v>
      </c>
      <c r="AO241" s="60" t="e">
        <f>100+HLOOKUP(AO$4,$D$7:$P$336,$R241,FALSE)-HLOOKUP(AO$3,$D$7:$P$336,$R241,FALSE)</f>
        <v>#N/A</v>
      </c>
      <c r="AP241" s="60" t="e">
        <f>100+HLOOKUP(AP$4,$D$7:$P$336,$R241,FALSE)-HLOOKUP(AP$3,$D$7:$P$336,$R241,FALSE)</f>
        <v>#N/A</v>
      </c>
      <c r="AQ241" s="60" t="e">
        <f>100+HLOOKUP(AQ$4,$D$7:$P$336,$R241,FALSE)-HLOOKUP(AQ$3,$D$7:$P$336,$R241,FALSE)</f>
        <v>#N/A</v>
      </c>
      <c r="AV241" s="60">
        <f ca="1">AV$5-S241</f>
        <v>15.190399426796432</v>
      </c>
      <c r="AW241" s="60">
        <f ca="1">AW$5-T241</f>
        <v>9.2206505297577479</v>
      </c>
      <c r="AX241" s="60">
        <f ca="1">AX$5-U241</f>
        <v>17.775915403668051</v>
      </c>
      <c r="AY241" s="60">
        <f ca="1">AY$5-V241</f>
        <v>7.6030144015278012</v>
      </c>
      <c r="AZ241" s="60">
        <f ca="1">AZ$5-W241</f>
        <v>12.45448217259603</v>
      </c>
      <c r="BA241" s="60">
        <f ca="1">BA$5-X241</f>
        <v>10.465059058982703</v>
      </c>
      <c r="BB241" s="60">
        <f ca="1">BB$5-Y241</f>
        <v>8.3505927273811267</v>
      </c>
      <c r="BC241" s="60">
        <f ca="1">BC$5-Z241</f>
        <v>23.437465909882164</v>
      </c>
      <c r="BD241" s="60">
        <f ca="1">BD$5-AA241</f>
        <v>11.936518664382362</v>
      </c>
      <c r="BE241" s="60">
        <f ca="1">BE$5-AB241</f>
        <v>6.829390591992194</v>
      </c>
      <c r="BF241" s="60">
        <f ca="1">BF$5-AC241</f>
        <v>-7.9826956835229197</v>
      </c>
      <c r="BG241" s="60">
        <f ca="1">BG$5-AD241</f>
        <v>-6.0147412949814907</v>
      </c>
      <c r="BH241" s="60">
        <f ca="1">BH$5-AE241</f>
        <v>-13.045407769632433</v>
      </c>
      <c r="BI241" s="60">
        <f ca="1">BI$5-AF241</f>
        <v>-19.391494488745195</v>
      </c>
      <c r="BJ241" s="60">
        <f ca="1">BJ$5-AG241</f>
        <v>5.43955105767877</v>
      </c>
      <c r="BK241" s="60" t="e">
        <f>BK$5-AH241</f>
        <v>#N/A</v>
      </c>
      <c r="BL241" s="60" t="e">
        <f>BL$5-AI241</f>
        <v>#N/A</v>
      </c>
      <c r="BM241" s="60" t="e">
        <f>BM$5-AJ241</f>
        <v>#N/A</v>
      </c>
      <c r="BN241" s="60" t="e">
        <f>BN$5-AK241</f>
        <v>#N/A</v>
      </c>
      <c r="BO241" s="60" t="e">
        <f>BO$5-AL241</f>
        <v>#N/A</v>
      </c>
      <c r="BP241" s="60" t="e">
        <f>BP$5-AM241</f>
        <v>#N/A</v>
      </c>
      <c r="BQ241" s="60" t="e">
        <f>BQ$5-AN241</f>
        <v>#N/A</v>
      </c>
      <c r="BR241" s="60" t="e">
        <f>BR$5-AO241</f>
        <v>#N/A</v>
      </c>
      <c r="BS241" s="60" t="e">
        <f>BS$5-AP241</f>
        <v>#N/A</v>
      </c>
      <c r="BT241" s="60" t="e">
        <f>BT$5-AQ241</f>
        <v>#N/A</v>
      </c>
      <c r="BV241" s="60" cm="1">
        <f t="array" aca="1" ref="BV241" ca="1">SQRT(SUMSQ(_xlfn._xlws.FILTER(AV241:BT241,ISNUMBER(AV241:BT241)))/COUNT(_xlfn._xlws.FILTER(AV241:BT241,ISNUMBER(AV241:BT241))))</f>
        <v>12.749011613541592</v>
      </c>
    </row>
    <row r="242" spans="3:74" x14ac:dyDescent="0.2">
      <c r="C242" s="60" t="s">
        <v>182</v>
      </c>
      <c r="D242" s="60">
        <v>0</v>
      </c>
      <c r="E242" s="60">
        <v>-3</v>
      </c>
      <c r="F242" s="60">
        <v>-7</v>
      </c>
      <c r="G242" s="60">
        <v>-10</v>
      </c>
      <c r="H242" s="60">
        <v>-14</v>
      </c>
      <c r="I242" s="60">
        <v>-16</v>
      </c>
      <c r="J242" s="60">
        <v>-18</v>
      </c>
      <c r="K242" s="60">
        <v>-21</v>
      </c>
      <c r="L242" s="60">
        <v>-21</v>
      </c>
      <c r="M242" s="60">
        <v>-12</v>
      </c>
      <c r="N242" s="60">
        <v>-8</v>
      </c>
      <c r="O242" s="60">
        <v>-4</v>
      </c>
      <c r="P242" s="60">
        <v>0</v>
      </c>
      <c r="R242" s="61">
        <f>(ROW(R242)-ROW($C$6))</f>
        <v>236</v>
      </c>
      <c r="S242" s="60">
        <f ca="1">100+HLOOKUP(S$4,$D$7:$P$336,$R242,FALSE)-HLOOKUP(S$3,$D$7:$P$336,$R242,FALSE)</f>
        <v>98</v>
      </c>
      <c r="T242" s="60">
        <f ca="1">100+HLOOKUP(T$4,$D$7:$P$336,$R242,FALSE)-HLOOKUP(T$3,$D$7:$P$336,$R242,FALSE)</f>
        <v>86</v>
      </c>
      <c r="U242" s="60">
        <f ca="1">100+HLOOKUP(U$4,$D$7:$P$336,$R242,FALSE)-HLOOKUP(U$3,$D$7:$P$336,$R242,FALSE)</f>
        <v>82</v>
      </c>
      <c r="V242" s="60">
        <f ca="1">100+HLOOKUP(V$4,$D$7:$P$336,$R242,FALSE)-HLOOKUP(V$3,$D$7:$P$336,$R242,FALSE)</f>
        <v>92</v>
      </c>
      <c r="W242" s="60">
        <f ca="1">100+HLOOKUP(W$4,$D$7:$P$336,$R242,FALSE)-HLOOKUP(W$3,$D$7:$P$336,$R242,FALSE)</f>
        <v>79</v>
      </c>
      <c r="X242" s="60">
        <f ca="1">100+HLOOKUP(X$4,$D$7:$P$336,$R242,FALSE)-HLOOKUP(X$3,$D$7:$P$336,$R242,FALSE)</f>
        <v>98</v>
      </c>
      <c r="Y242" s="60">
        <f ca="1">100+HLOOKUP(Y$4,$D$7:$P$336,$R242,FALSE)-HLOOKUP(Y$3,$D$7:$P$336,$R242,FALSE)</f>
        <v>86</v>
      </c>
      <c r="Z242" s="60">
        <f ca="1">100+HLOOKUP(Z$4,$D$7:$P$336,$R242,FALSE)-HLOOKUP(Z$3,$D$7:$P$336,$R242,FALSE)</f>
        <v>82</v>
      </c>
      <c r="AA242" s="60">
        <f ca="1">100+HLOOKUP(AA$4,$D$7:$P$336,$R242,FALSE)-HLOOKUP(AA$3,$D$7:$P$336,$R242,FALSE)</f>
        <v>92</v>
      </c>
      <c r="AB242" s="60">
        <f ca="1">100+HLOOKUP(AB$4,$D$7:$P$336,$R242,FALSE)-HLOOKUP(AB$3,$D$7:$P$336,$R242,FALSE)</f>
        <v>79</v>
      </c>
      <c r="AC242" s="60">
        <f ca="1">100+HLOOKUP(AC$4,$D$7:$P$336,$R242,FALSE)-HLOOKUP(AC$3,$D$7:$P$336,$R242,FALSE)</f>
        <v>95</v>
      </c>
      <c r="AD242" s="60">
        <f ca="1">100+HLOOKUP(AD$4,$D$7:$P$336,$R242,FALSE)-HLOOKUP(AD$3,$D$7:$P$336,$R242,FALSE)</f>
        <v>110</v>
      </c>
      <c r="AE242" s="60">
        <f ca="1">100+HLOOKUP(AE$4,$D$7:$P$336,$R242,FALSE)-HLOOKUP(AE$3,$D$7:$P$336,$R242,FALSE)</f>
        <v>115</v>
      </c>
      <c r="AF242" s="60">
        <f ca="1">100+HLOOKUP(AF$4,$D$7:$P$336,$R242,FALSE)-HLOOKUP(AF$3,$D$7:$P$336,$R242,FALSE)</f>
        <v>111</v>
      </c>
      <c r="AG242" s="60">
        <f ca="1">100+HLOOKUP(AG$4,$D$7:$P$336,$R242,FALSE)-HLOOKUP(AG$3,$D$7:$P$336,$R242,FALSE)</f>
        <v>92</v>
      </c>
      <c r="AH242" s="60" t="e">
        <f>100+HLOOKUP(AH$4,$D$7:$P$336,$R242,FALSE)-HLOOKUP(AH$3,$D$7:$P$336,$R242,FALSE)</f>
        <v>#N/A</v>
      </c>
      <c r="AI242" s="60" t="e">
        <f>100+HLOOKUP(AI$4,$D$7:$P$336,$R242,FALSE)-HLOOKUP(AI$3,$D$7:$P$336,$R242,FALSE)</f>
        <v>#N/A</v>
      </c>
      <c r="AJ242" s="60" t="e">
        <f>100+HLOOKUP(AJ$4,$D$7:$P$336,$R242,FALSE)-HLOOKUP(AJ$3,$D$7:$P$336,$R242,FALSE)</f>
        <v>#N/A</v>
      </c>
      <c r="AK242" s="60" t="e">
        <f>100+HLOOKUP(AK$4,$D$7:$P$336,$R242,FALSE)-HLOOKUP(AK$3,$D$7:$P$336,$R242,FALSE)</f>
        <v>#N/A</v>
      </c>
      <c r="AL242" s="60" t="e">
        <f>100+HLOOKUP(AL$4,$D$7:$P$336,$R242,FALSE)-HLOOKUP(AL$3,$D$7:$P$336,$R242,FALSE)</f>
        <v>#N/A</v>
      </c>
      <c r="AM242" s="60" t="e">
        <f>100+HLOOKUP(AM$4,$D$7:$P$336,$R242,FALSE)-HLOOKUP(AM$3,$D$7:$P$336,$R242,FALSE)</f>
        <v>#N/A</v>
      </c>
      <c r="AN242" s="60" t="e">
        <f>100+HLOOKUP(AN$4,$D$7:$P$336,$R242,FALSE)-HLOOKUP(AN$3,$D$7:$P$336,$R242,FALSE)</f>
        <v>#N/A</v>
      </c>
      <c r="AO242" s="60" t="e">
        <f>100+HLOOKUP(AO$4,$D$7:$P$336,$R242,FALSE)-HLOOKUP(AO$3,$D$7:$P$336,$R242,FALSE)</f>
        <v>#N/A</v>
      </c>
      <c r="AP242" s="60" t="e">
        <f>100+HLOOKUP(AP$4,$D$7:$P$336,$R242,FALSE)-HLOOKUP(AP$3,$D$7:$P$336,$R242,FALSE)</f>
        <v>#N/A</v>
      </c>
      <c r="AQ242" s="60" t="e">
        <f>100+HLOOKUP(AQ$4,$D$7:$P$336,$R242,FALSE)-HLOOKUP(AQ$3,$D$7:$P$336,$R242,FALSE)</f>
        <v>#N/A</v>
      </c>
      <c r="AV242" s="60">
        <f ca="1">AV$5-S242</f>
        <v>5.1903994267964322</v>
      </c>
      <c r="AW242" s="60">
        <f ca="1">AW$5-T242</f>
        <v>8.2206505297577479</v>
      </c>
      <c r="AX242" s="60">
        <f ca="1">AX$5-U242</f>
        <v>19.775915403668051</v>
      </c>
      <c r="AY242" s="60">
        <f ca="1">AY$5-V242</f>
        <v>1.6030144015278012</v>
      </c>
      <c r="AZ242" s="60">
        <f ca="1">AZ$5-W242</f>
        <v>18.45448217259603</v>
      </c>
      <c r="BA242" s="60">
        <f ca="1">BA$5-X242</f>
        <v>0.46505905898270328</v>
      </c>
      <c r="BB242" s="60">
        <f ca="1">BB$5-Y242</f>
        <v>7.3505927273811267</v>
      </c>
      <c r="BC242" s="60">
        <f ca="1">BC$5-Z242</f>
        <v>25.437465909882164</v>
      </c>
      <c r="BD242" s="60">
        <f ca="1">BD$5-AA242</f>
        <v>5.936518664382362</v>
      </c>
      <c r="BE242" s="60">
        <f ca="1">BE$5-AB242</f>
        <v>12.829390591992194</v>
      </c>
      <c r="BF242" s="60">
        <f ca="1">BF$5-AC242</f>
        <v>6.0173043164770803</v>
      </c>
      <c r="BG242" s="60">
        <f ca="1">BG$5-AD242</f>
        <v>-6.0147412949814907</v>
      </c>
      <c r="BH242" s="60">
        <f ca="1">BH$5-AE242</f>
        <v>-16.045407769632433</v>
      </c>
      <c r="BI242" s="60">
        <f ca="1">BI$5-AF242</f>
        <v>-20.391494488745195</v>
      </c>
      <c r="BJ242" s="60">
        <f ca="1">BJ$5-AG242</f>
        <v>-0.56044894232122999</v>
      </c>
      <c r="BK242" s="60" t="e">
        <f>BK$5-AH242</f>
        <v>#N/A</v>
      </c>
      <c r="BL242" s="60" t="e">
        <f>BL$5-AI242</f>
        <v>#N/A</v>
      </c>
      <c r="BM242" s="60" t="e">
        <f>BM$5-AJ242</f>
        <v>#N/A</v>
      </c>
      <c r="BN242" s="60" t="e">
        <f>BN$5-AK242</f>
        <v>#N/A</v>
      </c>
      <c r="BO242" s="60" t="e">
        <f>BO$5-AL242</f>
        <v>#N/A</v>
      </c>
      <c r="BP242" s="60" t="e">
        <f>BP$5-AM242</f>
        <v>#N/A</v>
      </c>
      <c r="BQ242" s="60" t="e">
        <f>BQ$5-AN242</f>
        <v>#N/A</v>
      </c>
      <c r="BR242" s="60" t="e">
        <f>BR$5-AO242</f>
        <v>#N/A</v>
      </c>
      <c r="BS242" s="60" t="e">
        <f>BS$5-AP242</f>
        <v>#N/A</v>
      </c>
      <c r="BT242" s="60" t="e">
        <f>BT$5-AQ242</f>
        <v>#N/A</v>
      </c>
      <c r="BV242" s="60" cm="1">
        <f t="array" aca="1" ref="BV242" ca="1">SQRT(SUMSQ(_xlfn._xlws.FILTER(AV242:BT242,ISNUMBER(AV242:BT242)))/COUNT(_xlfn._xlws.FILTER(AV242:BT242,ISNUMBER(AV242:BT242))))</f>
        <v>12.847460828262918</v>
      </c>
    </row>
    <row r="243" spans="3:74" x14ac:dyDescent="0.2">
      <c r="C243" s="60" t="s">
        <v>233</v>
      </c>
      <c r="D243" s="60">
        <v>0</v>
      </c>
      <c r="E243" s="60">
        <v>-3</v>
      </c>
      <c r="F243" s="60">
        <v>-7</v>
      </c>
      <c r="G243" s="60">
        <v>-10</v>
      </c>
      <c r="H243" s="60">
        <v>-14</v>
      </c>
      <c r="I243" s="60">
        <v>-17</v>
      </c>
      <c r="J243" s="60">
        <v>-15</v>
      </c>
      <c r="K243" s="60">
        <v>-13</v>
      </c>
      <c r="L243" s="60">
        <v>-11</v>
      </c>
      <c r="M243" s="60">
        <v>-3</v>
      </c>
      <c r="N243" s="60">
        <v>7</v>
      </c>
      <c r="O243" s="60">
        <v>3</v>
      </c>
      <c r="P243" s="60">
        <v>0</v>
      </c>
      <c r="R243" s="61">
        <f>(ROW(R243)-ROW($C$6))</f>
        <v>237</v>
      </c>
      <c r="S243" s="60">
        <f ca="1">100+HLOOKUP(S$4,$D$7:$P$336,$R243,FALSE)-HLOOKUP(S$3,$D$7:$P$336,$R243,FALSE)</f>
        <v>89</v>
      </c>
      <c r="T243" s="60">
        <f ca="1">100+HLOOKUP(T$4,$D$7:$P$336,$R243,FALSE)-HLOOKUP(T$3,$D$7:$P$336,$R243,FALSE)</f>
        <v>82</v>
      </c>
      <c r="U243" s="60">
        <f ca="1">100+HLOOKUP(U$4,$D$7:$P$336,$R243,FALSE)-HLOOKUP(U$3,$D$7:$P$336,$R243,FALSE)</f>
        <v>92</v>
      </c>
      <c r="V243" s="60">
        <f ca="1">100+HLOOKUP(V$4,$D$7:$P$336,$R243,FALSE)-HLOOKUP(V$3,$D$7:$P$336,$R243,FALSE)</f>
        <v>76</v>
      </c>
      <c r="W243" s="60">
        <f ca="1">100+HLOOKUP(W$4,$D$7:$P$336,$R243,FALSE)-HLOOKUP(W$3,$D$7:$P$336,$R243,FALSE)</f>
        <v>87</v>
      </c>
      <c r="X243" s="60">
        <f ca="1">100+HLOOKUP(X$4,$D$7:$P$336,$R243,FALSE)-HLOOKUP(X$3,$D$7:$P$336,$R243,FALSE)</f>
        <v>89</v>
      </c>
      <c r="Y243" s="60">
        <f ca="1">100+HLOOKUP(Y$4,$D$7:$P$336,$R243,FALSE)-HLOOKUP(Y$3,$D$7:$P$336,$R243,FALSE)</f>
        <v>82</v>
      </c>
      <c r="Z243" s="60">
        <f ca="1">100+HLOOKUP(Z$4,$D$7:$P$336,$R243,FALSE)-HLOOKUP(Z$3,$D$7:$P$336,$R243,FALSE)</f>
        <v>92</v>
      </c>
      <c r="AA243" s="60">
        <f ca="1">100+HLOOKUP(AA$4,$D$7:$P$336,$R243,FALSE)-HLOOKUP(AA$3,$D$7:$P$336,$R243,FALSE)</f>
        <v>76</v>
      </c>
      <c r="AB243" s="60">
        <f ca="1">100+HLOOKUP(AB$4,$D$7:$P$336,$R243,FALSE)-HLOOKUP(AB$3,$D$7:$P$336,$R243,FALSE)</f>
        <v>87</v>
      </c>
      <c r="AC243" s="60">
        <f ca="1">100+HLOOKUP(AC$4,$D$7:$P$336,$R243,FALSE)-HLOOKUP(AC$3,$D$7:$P$336,$R243,FALSE)</f>
        <v>104</v>
      </c>
      <c r="AD243" s="60">
        <f ca="1">100+HLOOKUP(AD$4,$D$7:$P$336,$R243,FALSE)-HLOOKUP(AD$3,$D$7:$P$336,$R243,FALSE)</f>
        <v>117</v>
      </c>
      <c r="AE243" s="60">
        <f ca="1">100+HLOOKUP(AE$4,$D$7:$P$336,$R243,FALSE)-HLOOKUP(AE$3,$D$7:$P$336,$R243,FALSE)</f>
        <v>112</v>
      </c>
      <c r="AF243" s="60">
        <f ca="1">100+HLOOKUP(AF$4,$D$7:$P$336,$R243,FALSE)-HLOOKUP(AF$3,$D$7:$P$336,$R243,FALSE)</f>
        <v>101</v>
      </c>
      <c r="AG243" s="60">
        <f ca="1">100+HLOOKUP(AG$4,$D$7:$P$336,$R243,FALSE)-HLOOKUP(AG$3,$D$7:$P$336,$R243,FALSE)</f>
        <v>76</v>
      </c>
      <c r="AH243" s="60" t="e">
        <f>100+HLOOKUP(AH$4,$D$7:$P$336,$R243,FALSE)-HLOOKUP(AH$3,$D$7:$P$336,$R243,FALSE)</f>
        <v>#N/A</v>
      </c>
      <c r="AI243" s="60" t="e">
        <f>100+HLOOKUP(AI$4,$D$7:$P$336,$R243,FALSE)-HLOOKUP(AI$3,$D$7:$P$336,$R243,FALSE)</f>
        <v>#N/A</v>
      </c>
      <c r="AJ243" s="60" t="e">
        <f>100+HLOOKUP(AJ$4,$D$7:$P$336,$R243,FALSE)-HLOOKUP(AJ$3,$D$7:$P$336,$R243,FALSE)</f>
        <v>#N/A</v>
      </c>
      <c r="AK243" s="60" t="e">
        <f>100+HLOOKUP(AK$4,$D$7:$P$336,$R243,FALSE)-HLOOKUP(AK$3,$D$7:$P$336,$R243,FALSE)</f>
        <v>#N/A</v>
      </c>
      <c r="AL243" s="60" t="e">
        <f>100+HLOOKUP(AL$4,$D$7:$P$336,$R243,FALSE)-HLOOKUP(AL$3,$D$7:$P$336,$R243,FALSE)</f>
        <v>#N/A</v>
      </c>
      <c r="AM243" s="60" t="e">
        <f>100+HLOOKUP(AM$4,$D$7:$P$336,$R243,FALSE)-HLOOKUP(AM$3,$D$7:$P$336,$R243,FALSE)</f>
        <v>#N/A</v>
      </c>
      <c r="AN243" s="60" t="e">
        <f>100+HLOOKUP(AN$4,$D$7:$P$336,$R243,FALSE)-HLOOKUP(AN$3,$D$7:$P$336,$R243,FALSE)</f>
        <v>#N/A</v>
      </c>
      <c r="AO243" s="60" t="e">
        <f>100+HLOOKUP(AO$4,$D$7:$P$336,$R243,FALSE)-HLOOKUP(AO$3,$D$7:$P$336,$R243,FALSE)</f>
        <v>#N/A</v>
      </c>
      <c r="AP243" s="60" t="e">
        <f>100+HLOOKUP(AP$4,$D$7:$P$336,$R243,FALSE)-HLOOKUP(AP$3,$D$7:$P$336,$R243,FALSE)</f>
        <v>#N/A</v>
      </c>
      <c r="AQ243" s="60" t="e">
        <f>100+HLOOKUP(AQ$4,$D$7:$P$336,$R243,FALSE)-HLOOKUP(AQ$3,$D$7:$P$336,$R243,FALSE)</f>
        <v>#N/A</v>
      </c>
      <c r="AV243" s="60">
        <f ca="1">AV$5-S243</f>
        <v>14.190399426796432</v>
      </c>
      <c r="AW243" s="60">
        <f ca="1">AW$5-T243</f>
        <v>12.220650529757748</v>
      </c>
      <c r="AX243" s="60">
        <f ca="1">AX$5-U243</f>
        <v>9.7759154036680513</v>
      </c>
      <c r="AY243" s="60">
        <f ca="1">AY$5-V243</f>
        <v>17.603014401527801</v>
      </c>
      <c r="AZ243" s="60">
        <f ca="1">AZ$5-W243</f>
        <v>10.45448217259603</v>
      </c>
      <c r="BA243" s="60">
        <f ca="1">BA$5-X243</f>
        <v>9.4650590589827033</v>
      </c>
      <c r="BB243" s="60">
        <f ca="1">BB$5-Y243</f>
        <v>11.350592727381127</v>
      </c>
      <c r="BC243" s="60">
        <f ca="1">BC$5-Z243</f>
        <v>15.437465909882164</v>
      </c>
      <c r="BD243" s="60">
        <f ca="1">BD$5-AA243</f>
        <v>21.936518664382362</v>
      </c>
      <c r="BE243" s="60">
        <f ca="1">BE$5-AB243</f>
        <v>4.829390591992194</v>
      </c>
      <c r="BF243" s="60">
        <f ca="1">BF$5-AC243</f>
        <v>-2.9826956835229197</v>
      </c>
      <c r="BG243" s="60">
        <f ca="1">BG$5-AD243</f>
        <v>-13.014741294981491</v>
      </c>
      <c r="BH243" s="60">
        <f ca="1">BH$5-AE243</f>
        <v>-13.045407769632433</v>
      </c>
      <c r="BI243" s="60">
        <f ca="1">BI$5-AF243</f>
        <v>-10.391494488745195</v>
      </c>
      <c r="BJ243" s="60">
        <f ca="1">BJ$5-AG243</f>
        <v>15.43955105767877</v>
      </c>
      <c r="BK243" s="60" t="e">
        <f>BK$5-AH243</f>
        <v>#N/A</v>
      </c>
      <c r="BL243" s="60" t="e">
        <f>BL$5-AI243</f>
        <v>#N/A</v>
      </c>
      <c r="BM243" s="60" t="e">
        <f>BM$5-AJ243</f>
        <v>#N/A</v>
      </c>
      <c r="BN243" s="60" t="e">
        <f>BN$5-AK243</f>
        <v>#N/A</v>
      </c>
      <c r="BO243" s="60" t="e">
        <f>BO$5-AL243</f>
        <v>#N/A</v>
      </c>
      <c r="BP243" s="60" t="e">
        <f>BP$5-AM243</f>
        <v>#N/A</v>
      </c>
      <c r="BQ243" s="60" t="e">
        <f>BQ$5-AN243</f>
        <v>#N/A</v>
      </c>
      <c r="BR243" s="60" t="e">
        <f>BR$5-AO243</f>
        <v>#N/A</v>
      </c>
      <c r="BS243" s="60" t="e">
        <f>BS$5-AP243</f>
        <v>#N/A</v>
      </c>
      <c r="BT243" s="60" t="e">
        <f>BT$5-AQ243</f>
        <v>#N/A</v>
      </c>
      <c r="BV243" s="60" cm="1">
        <f t="array" aca="1" ref="BV243" ca="1">SQRT(SUMSQ(_xlfn._xlws.FILTER(AV243:BT243,ISNUMBER(AV243:BT243)))/COUNT(_xlfn._xlws.FILTER(AV243:BT243,ISNUMBER(AV243:BT243))))</f>
        <v>12.965442813618751</v>
      </c>
    </row>
    <row r="244" spans="3:74" x14ac:dyDescent="0.2">
      <c r="C244" s="60" t="s">
        <v>437</v>
      </c>
      <c r="D244" s="60">
        <v>0</v>
      </c>
      <c r="E244" s="60">
        <v>-2</v>
      </c>
      <c r="F244" s="60">
        <v>-4</v>
      </c>
      <c r="G244" s="60">
        <v>-6</v>
      </c>
      <c r="H244" s="60">
        <v>-8</v>
      </c>
      <c r="I244" s="60">
        <v>-11</v>
      </c>
      <c r="J244" s="60">
        <v>-13</v>
      </c>
      <c r="K244" s="60">
        <v>-15</v>
      </c>
      <c r="L244" s="60">
        <v>-17</v>
      </c>
      <c r="M244" s="60">
        <v>6</v>
      </c>
      <c r="N244" s="60">
        <v>4</v>
      </c>
      <c r="O244" s="60">
        <v>2</v>
      </c>
      <c r="P244" s="60">
        <v>0</v>
      </c>
      <c r="R244" s="61">
        <f>(ROW(R244)-ROW($C$6))</f>
        <v>238</v>
      </c>
      <c r="S244" s="60">
        <f ca="1">100+HLOOKUP(S$4,$D$7:$P$336,$R244,FALSE)-HLOOKUP(S$3,$D$7:$P$336,$R244,FALSE)</f>
        <v>86</v>
      </c>
      <c r="T244" s="60">
        <f ca="1">100+HLOOKUP(T$4,$D$7:$P$336,$R244,FALSE)-HLOOKUP(T$3,$D$7:$P$336,$R244,FALSE)</f>
        <v>85</v>
      </c>
      <c r="U244" s="60">
        <f ca="1">100+HLOOKUP(U$4,$D$7:$P$336,$R244,FALSE)-HLOOKUP(U$3,$D$7:$P$336,$R244,FALSE)</f>
        <v>85</v>
      </c>
      <c r="V244" s="60">
        <f ca="1">100+HLOOKUP(V$4,$D$7:$P$336,$R244,FALSE)-HLOOKUP(V$3,$D$7:$P$336,$R244,FALSE)</f>
        <v>85</v>
      </c>
      <c r="W244" s="60">
        <f ca="1">100+HLOOKUP(W$4,$D$7:$P$336,$R244,FALSE)-HLOOKUP(W$3,$D$7:$P$336,$R244,FALSE)</f>
        <v>85</v>
      </c>
      <c r="X244" s="60">
        <f ca="1">100+HLOOKUP(X$4,$D$7:$P$336,$R244,FALSE)-HLOOKUP(X$3,$D$7:$P$336,$R244,FALSE)</f>
        <v>86</v>
      </c>
      <c r="Y244" s="60">
        <f ca="1">100+HLOOKUP(Y$4,$D$7:$P$336,$R244,FALSE)-HLOOKUP(Y$3,$D$7:$P$336,$R244,FALSE)</f>
        <v>85</v>
      </c>
      <c r="Z244" s="60">
        <f ca="1">100+HLOOKUP(Z$4,$D$7:$P$336,$R244,FALSE)-HLOOKUP(Z$3,$D$7:$P$336,$R244,FALSE)</f>
        <v>85</v>
      </c>
      <c r="AA244" s="60">
        <f ca="1">100+HLOOKUP(AA$4,$D$7:$P$336,$R244,FALSE)-HLOOKUP(AA$3,$D$7:$P$336,$R244,FALSE)</f>
        <v>85</v>
      </c>
      <c r="AB244" s="60">
        <f ca="1">100+HLOOKUP(AB$4,$D$7:$P$336,$R244,FALSE)-HLOOKUP(AB$3,$D$7:$P$336,$R244,FALSE)</f>
        <v>85</v>
      </c>
      <c r="AC244" s="60">
        <f ca="1">100+HLOOKUP(AC$4,$D$7:$P$336,$R244,FALSE)-HLOOKUP(AC$3,$D$7:$P$336,$R244,FALSE)</f>
        <v>110</v>
      </c>
      <c r="AD244" s="60">
        <f ca="1">100+HLOOKUP(AD$4,$D$7:$P$336,$R244,FALSE)-HLOOKUP(AD$3,$D$7:$P$336,$R244,FALSE)</f>
        <v>110</v>
      </c>
      <c r="AE244" s="60">
        <f ca="1">100+HLOOKUP(AE$4,$D$7:$P$336,$R244,FALSE)-HLOOKUP(AE$3,$D$7:$P$336,$R244,FALSE)</f>
        <v>111</v>
      </c>
      <c r="AF244" s="60">
        <f ca="1">100+HLOOKUP(AF$4,$D$7:$P$336,$R244,FALSE)-HLOOKUP(AF$3,$D$7:$P$336,$R244,FALSE)</f>
        <v>111</v>
      </c>
      <c r="AG244" s="60">
        <f ca="1">100+HLOOKUP(AG$4,$D$7:$P$336,$R244,FALSE)-HLOOKUP(AG$3,$D$7:$P$336,$R244,FALSE)</f>
        <v>85</v>
      </c>
      <c r="AH244" s="60" t="e">
        <f>100+HLOOKUP(AH$4,$D$7:$P$336,$R244,FALSE)-HLOOKUP(AH$3,$D$7:$P$336,$R244,FALSE)</f>
        <v>#N/A</v>
      </c>
      <c r="AI244" s="60" t="e">
        <f>100+HLOOKUP(AI$4,$D$7:$P$336,$R244,FALSE)-HLOOKUP(AI$3,$D$7:$P$336,$R244,FALSE)</f>
        <v>#N/A</v>
      </c>
      <c r="AJ244" s="60" t="e">
        <f>100+HLOOKUP(AJ$4,$D$7:$P$336,$R244,FALSE)-HLOOKUP(AJ$3,$D$7:$P$336,$R244,FALSE)</f>
        <v>#N/A</v>
      </c>
      <c r="AK244" s="60" t="e">
        <f>100+HLOOKUP(AK$4,$D$7:$P$336,$R244,FALSE)-HLOOKUP(AK$3,$D$7:$P$336,$R244,FALSE)</f>
        <v>#N/A</v>
      </c>
      <c r="AL244" s="60" t="e">
        <f>100+HLOOKUP(AL$4,$D$7:$P$336,$R244,FALSE)-HLOOKUP(AL$3,$D$7:$P$336,$R244,FALSE)</f>
        <v>#N/A</v>
      </c>
      <c r="AM244" s="60" t="e">
        <f>100+HLOOKUP(AM$4,$D$7:$P$336,$R244,FALSE)-HLOOKUP(AM$3,$D$7:$P$336,$R244,FALSE)</f>
        <v>#N/A</v>
      </c>
      <c r="AN244" s="60" t="e">
        <f>100+HLOOKUP(AN$4,$D$7:$P$336,$R244,FALSE)-HLOOKUP(AN$3,$D$7:$P$336,$R244,FALSE)</f>
        <v>#N/A</v>
      </c>
      <c r="AO244" s="60" t="e">
        <f>100+HLOOKUP(AO$4,$D$7:$P$336,$R244,FALSE)-HLOOKUP(AO$3,$D$7:$P$336,$R244,FALSE)</f>
        <v>#N/A</v>
      </c>
      <c r="AP244" s="60" t="e">
        <f>100+HLOOKUP(AP$4,$D$7:$P$336,$R244,FALSE)-HLOOKUP(AP$3,$D$7:$P$336,$R244,FALSE)</f>
        <v>#N/A</v>
      </c>
      <c r="AQ244" s="60" t="e">
        <f>100+HLOOKUP(AQ$4,$D$7:$P$336,$R244,FALSE)-HLOOKUP(AQ$3,$D$7:$P$336,$R244,FALSE)</f>
        <v>#N/A</v>
      </c>
      <c r="AV244" s="60">
        <f ca="1">AV$5-S244</f>
        <v>17.190399426796432</v>
      </c>
      <c r="AW244" s="60">
        <f ca="1">AW$5-T244</f>
        <v>9.2206505297577479</v>
      </c>
      <c r="AX244" s="60">
        <f ca="1">AX$5-U244</f>
        <v>16.775915403668051</v>
      </c>
      <c r="AY244" s="60">
        <f ca="1">AY$5-V244</f>
        <v>8.6030144015278012</v>
      </c>
      <c r="AZ244" s="60">
        <f ca="1">AZ$5-W244</f>
        <v>12.45448217259603</v>
      </c>
      <c r="BA244" s="60">
        <f ca="1">BA$5-X244</f>
        <v>12.465059058982703</v>
      </c>
      <c r="BB244" s="60">
        <f ca="1">BB$5-Y244</f>
        <v>8.3505927273811267</v>
      </c>
      <c r="BC244" s="60">
        <f ca="1">BC$5-Z244</f>
        <v>22.437465909882164</v>
      </c>
      <c r="BD244" s="60">
        <f ca="1">BD$5-AA244</f>
        <v>12.936518664382362</v>
      </c>
      <c r="BE244" s="60">
        <f ca="1">BE$5-AB244</f>
        <v>6.829390591992194</v>
      </c>
      <c r="BF244" s="60">
        <f ca="1">BF$5-AC244</f>
        <v>-8.9826956835229197</v>
      </c>
      <c r="BG244" s="60">
        <f ca="1">BG$5-AD244</f>
        <v>-6.0147412949814907</v>
      </c>
      <c r="BH244" s="60">
        <f ca="1">BH$5-AE244</f>
        <v>-12.045407769632433</v>
      </c>
      <c r="BI244" s="60">
        <f ca="1">BI$5-AF244</f>
        <v>-20.391494488745195</v>
      </c>
      <c r="BJ244" s="60">
        <f ca="1">BJ$5-AG244</f>
        <v>6.43955105767877</v>
      </c>
      <c r="BK244" s="60" t="e">
        <f>BK$5-AH244</f>
        <v>#N/A</v>
      </c>
      <c r="BL244" s="60" t="e">
        <f>BL$5-AI244</f>
        <v>#N/A</v>
      </c>
      <c r="BM244" s="60" t="e">
        <f>BM$5-AJ244</f>
        <v>#N/A</v>
      </c>
      <c r="BN244" s="60" t="e">
        <f>BN$5-AK244</f>
        <v>#N/A</v>
      </c>
      <c r="BO244" s="60" t="e">
        <f>BO$5-AL244</f>
        <v>#N/A</v>
      </c>
      <c r="BP244" s="60" t="e">
        <f>BP$5-AM244</f>
        <v>#N/A</v>
      </c>
      <c r="BQ244" s="60" t="e">
        <f>BQ$5-AN244</f>
        <v>#N/A</v>
      </c>
      <c r="BR244" s="60" t="e">
        <f>BR$5-AO244</f>
        <v>#N/A</v>
      </c>
      <c r="BS244" s="60" t="e">
        <f>BS$5-AP244</f>
        <v>#N/A</v>
      </c>
      <c r="BT244" s="60" t="e">
        <f>BT$5-AQ244</f>
        <v>#N/A</v>
      </c>
      <c r="BV244" s="60" cm="1">
        <f t="array" aca="1" ref="BV244" ca="1">SQRT(SUMSQ(_xlfn._xlws.FILTER(AV244:BT244,ISNUMBER(AV244:BT244)))/COUNT(_xlfn._xlws.FILTER(AV244:BT244,ISNUMBER(AV244:BT244))))</f>
        <v>13.045740712845044</v>
      </c>
    </row>
    <row r="245" spans="3:74" x14ac:dyDescent="0.2">
      <c r="C245" s="60" t="s">
        <v>438</v>
      </c>
      <c r="D245" s="60">
        <v>0</v>
      </c>
      <c r="E245" s="60">
        <v>-2.133</v>
      </c>
      <c r="F245" s="60">
        <v>-4.266</v>
      </c>
      <c r="G245" s="60">
        <v>-6.399</v>
      </c>
      <c r="H245" s="60">
        <v>-8.532</v>
      </c>
      <c r="I245" s="60">
        <v>-10.664999999999999</v>
      </c>
      <c r="J245" s="60">
        <v>-12.798</v>
      </c>
      <c r="K245" s="60">
        <v>-14.930999999999999</v>
      </c>
      <c r="L245" s="60">
        <v>-17.064</v>
      </c>
      <c r="M245" s="60">
        <v>6.399</v>
      </c>
      <c r="N245" s="60">
        <v>4.266</v>
      </c>
      <c r="O245" s="60">
        <v>2.133</v>
      </c>
      <c r="P245" s="60">
        <v>0</v>
      </c>
      <c r="R245" s="61">
        <f>(ROW(R245)-ROW($C$6))</f>
        <v>239</v>
      </c>
      <c r="S245" s="60">
        <f ca="1">100+HLOOKUP(S$4,$D$7:$P$336,$R245,FALSE)-HLOOKUP(S$3,$D$7:$P$336,$R245,FALSE)</f>
        <v>85.069000000000003</v>
      </c>
      <c r="T245" s="60">
        <f ca="1">100+HLOOKUP(T$4,$D$7:$P$336,$R245,FALSE)-HLOOKUP(T$3,$D$7:$P$336,$R245,FALSE)</f>
        <v>85.069000000000003</v>
      </c>
      <c r="U245" s="60">
        <f ca="1">100+HLOOKUP(U$4,$D$7:$P$336,$R245,FALSE)-HLOOKUP(U$3,$D$7:$P$336,$R245,FALSE)</f>
        <v>85.069000000000003</v>
      </c>
      <c r="V245" s="60">
        <f ca="1">100+HLOOKUP(V$4,$D$7:$P$336,$R245,FALSE)-HLOOKUP(V$3,$D$7:$P$336,$R245,FALSE)</f>
        <v>85.069000000000003</v>
      </c>
      <c r="W245" s="60">
        <f ca="1">100+HLOOKUP(W$4,$D$7:$P$336,$R245,FALSE)-HLOOKUP(W$3,$D$7:$P$336,$R245,FALSE)</f>
        <v>85.069000000000003</v>
      </c>
      <c r="X245" s="60">
        <f ca="1">100+HLOOKUP(X$4,$D$7:$P$336,$R245,FALSE)-HLOOKUP(X$3,$D$7:$P$336,$R245,FALSE)</f>
        <v>85.069000000000003</v>
      </c>
      <c r="Y245" s="60">
        <f ca="1">100+HLOOKUP(Y$4,$D$7:$P$336,$R245,FALSE)-HLOOKUP(Y$3,$D$7:$P$336,$R245,FALSE)</f>
        <v>85.069000000000003</v>
      </c>
      <c r="Z245" s="60">
        <f ca="1">100+HLOOKUP(Z$4,$D$7:$P$336,$R245,FALSE)-HLOOKUP(Z$3,$D$7:$P$336,$R245,FALSE)</f>
        <v>85.069000000000003</v>
      </c>
      <c r="AA245" s="60">
        <f ca="1">100+HLOOKUP(AA$4,$D$7:$P$336,$R245,FALSE)-HLOOKUP(AA$3,$D$7:$P$336,$R245,FALSE)</f>
        <v>85.069000000000003</v>
      </c>
      <c r="AB245" s="60">
        <f ca="1">100+HLOOKUP(AB$4,$D$7:$P$336,$R245,FALSE)-HLOOKUP(AB$3,$D$7:$P$336,$R245,FALSE)</f>
        <v>85.069000000000003</v>
      </c>
      <c r="AC245" s="60">
        <f ca="1">100+HLOOKUP(AC$4,$D$7:$P$336,$R245,FALSE)-HLOOKUP(AC$3,$D$7:$P$336,$R245,FALSE)</f>
        <v>110.66500000000001</v>
      </c>
      <c r="AD245" s="60">
        <f ca="1">100+HLOOKUP(AD$4,$D$7:$P$336,$R245,FALSE)-HLOOKUP(AD$3,$D$7:$P$336,$R245,FALSE)</f>
        <v>110.66499999999999</v>
      </c>
      <c r="AE245" s="60">
        <f ca="1">100+HLOOKUP(AE$4,$D$7:$P$336,$R245,FALSE)-HLOOKUP(AE$3,$D$7:$P$336,$R245,FALSE)</f>
        <v>110.66500000000001</v>
      </c>
      <c r="AF245" s="60">
        <f ca="1">100+HLOOKUP(AF$4,$D$7:$P$336,$R245,FALSE)-HLOOKUP(AF$3,$D$7:$P$336,$R245,FALSE)</f>
        <v>110.66499999999999</v>
      </c>
      <c r="AG245" s="60">
        <f ca="1">100+HLOOKUP(AG$4,$D$7:$P$336,$R245,FALSE)-HLOOKUP(AG$3,$D$7:$P$336,$R245,FALSE)</f>
        <v>85.069000000000003</v>
      </c>
      <c r="AH245" s="60" t="e">
        <f>100+HLOOKUP(AH$4,$D$7:$P$336,$R245,FALSE)-HLOOKUP(AH$3,$D$7:$P$336,$R245,FALSE)</f>
        <v>#N/A</v>
      </c>
      <c r="AI245" s="60" t="e">
        <f>100+HLOOKUP(AI$4,$D$7:$P$336,$R245,FALSE)-HLOOKUP(AI$3,$D$7:$P$336,$R245,FALSE)</f>
        <v>#N/A</v>
      </c>
      <c r="AJ245" s="60" t="e">
        <f>100+HLOOKUP(AJ$4,$D$7:$P$336,$R245,FALSE)-HLOOKUP(AJ$3,$D$7:$P$336,$R245,FALSE)</f>
        <v>#N/A</v>
      </c>
      <c r="AK245" s="60" t="e">
        <f>100+HLOOKUP(AK$4,$D$7:$P$336,$R245,FALSE)-HLOOKUP(AK$3,$D$7:$P$336,$R245,FALSE)</f>
        <v>#N/A</v>
      </c>
      <c r="AL245" s="60" t="e">
        <f>100+HLOOKUP(AL$4,$D$7:$P$336,$R245,FALSE)-HLOOKUP(AL$3,$D$7:$P$336,$R245,FALSE)</f>
        <v>#N/A</v>
      </c>
      <c r="AM245" s="60" t="e">
        <f>100+HLOOKUP(AM$4,$D$7:$P$336,$R245,FALSE)-HLOOKUP(AM$3,$D$7:$P$336,$R245,FALSE)</f>
        <v>#N/A</v>
      </c>
      <c r="AN245" s="60" t="e">
        <f>100+HLOOKUP(AN$4,$D$7:$P$336,$R245,FALSE)-HLOOKUP(AN$3,$D$7:$P$336,$R245,FALSE)</f>
        <v>#N/A</v>
      </c>
      <c r="AO245" s="60" t="e">
        <f>100+HLOOKUP(AO$4,$D$7:$P$336,$R245,FALSE)-HLOOKUP(AO$3,$D$7:$P$336,$R245,FALSE)</f>
        <v>#N/A</v>
      </c>
      <c r="AP245" s="60" t="e">
        <f>100+HLOOKUP(AP$4,$D$7:$P$336,$R245,FALSE)-HLOOKUP(AP$3,$D$7:$P$336,$R245,FALSE)</f>
        <v>#N/A</v>
      </c>
      <c r="AQ245" s="60" t="e">
        <f>100+HLOOKUP(AQ$4,$D$7:$P$336,$R245,FALSE)-HLOOKUP(AQ$3,$D$7:$P$336,$R245,FALSE)</f>
        <v>#N/A</v>
      </c>
      <c r="AV245" s="60">
        <f ca="1">AV$5-S245</f>
        <v>18.12139942679643</v>
      </c>
      <c r="AW245" s="60">
        <f ca="1">AW$5-T245</f>
        <v>9.1516505297577453</v>
      </c>
      <c r="AX245" s="60">
        <f ca="1">AX$5-U245</f>
        <v>16.706915403668049</v>
      </c>
      <c r="AY245" s="60">
        <f ca="1">AY$5-V245</f>
        <v>8.5340144015277986</v>
      </c>
      <c r="AZ245" s="60">
        <f ca="1">AZ$5-W245</f>
        <v>12.385482172596028</v>
      </c>
      <c r="BA245" s="60">
        <f ca="1">BA$5-X245</f>
        <v>13.396059058982701</v>
      </c>
      <c r="BB245" s="60">
        <f ca="1">BB$5-Y245</f>
        <v>8.2815927273811241</v>
      </c>
      <c r="BC245" s="60">
        <f ca="1">BC$5-Z245</f>
        <v>22.368465909882161</v>
      </c>
      <c r="BD245" s="60">
        <f ca="1">BD$5-AA245</f>
        <v>12.867518664382359</v>
      </c>
      <c r="BE245" s="60">
        <f ca="1">BE$5-AB245</f>
        <v>6.7603905919921914</v>
      </c>
      <c r="BF245" s="60">
        <f ca="1">BF$5-AC245</f>
        <v>-9.6476956835229259</v>
      </c>
      <c r="BG245" s="60">
        <f ca="1">BG$5-AD245</f>
        <v>-6.6797412949814827</v>
      </c>
      <c r="BH245" s="60">
        <f ca="1">BH$5-AE245</f>
        <v>-11.71040776963244</v>
      </c>
      <c r="BI245" s="60">
        <f ca="1">BI$5-AF245</f>
        <v>-20.056494488745187</v>
      </c>
      <c r="BJ245" s="60">
        <f ca="1">BJ$5-AG245</f>
        <v>6.3705510576787674</v>
      </c>
      <c r="BK245" s="60" t="e">
        <f>BK$5-AH245</f>
        <v>#N/A</v>
      </c>
      <c r="BL245" s="60" t="e">
        <f>BL$5-AI245</f>
        <v>#N/A</v>
      </c>
      <c r="BM245" s="60" t="e">
        <f>BM$5-AJ245</f>
        <v>#N/A</v>
      </c>
      <c r="BN245" s="60" t="e">
        <f>BN$5-AK245</f>
        <v>#N/A</v>
      </c>
      <c r="BO245" s="60" t="e">
        <f>BO$5-AL245</f>
        <v>#N/A</v>
      </c>
      <c r="BP245" s="60" t="e">
        <f>BP$5-AM245</f>
        <v>#N/A</v>
      </c>
      <c r="BQ245" s="60" t="e">
        <f>BQ$5-AN245</f>
        <v>#N/A</v>
      </c>
      <c r="BR245" s="60" t="e">
        <f>BR$5-AO245</f>
        <v>#N/A</v>
      </c>
      <c r="BS245" s="60" t="e">
        <f>BS$5-AP245</f>
        <v>#N/A</v>
      </c>
      <c r="BT245" s="60" t="e">
        <f>BT$5-AQ245</f>
        <v>#N/A</v>
      </c>
      <c r="BV245" s="60" cm="1">
        <f t="array" aca="1" ref="BV245" ca="1">SQRT(SUMSQ(_xlfn._xlws.FILTER(AV245:BT245,ISNUMBER(AV245:BT245)))/COUNT(_xlfn._xlws.FILTER(AV245:BT245,ISNUMBER(AV245:BT245))))</f>
        <v>13.152513818859205</v>
      </c>
    </row>
    <row r="246" spans="3:74" x14ac:dyDescent="0.2">
      <c r="C246" s="60" t="s">
        <v>181</v>
      </c>
      <c r="D246" s="60">
        <v>0</v>
      </c>
      <c r="E246" s="60">
        <v>1.9550000000000001</v>
      </c>
      <c r="F246" s="60">
        <v>3.91</v>
      </c>
      <c r="G246" s="60">
        <v>5.8650000000000002</v>
      </c>
      <c r="H246" s="60">
        <v>7.82</v>
      </c>
      <c r="I246" s="60">
        <v>9.7750000000000004</v>
      </c>
      <c r="J246" s="60">
        <v>-9.7759999999999998</v>
      </c>
      <c r="K246" s="60">
        <v>-7.8209999999999997</v>
      </c>
      <c r="L246" s="60">
        <v>-5.8659999999999997</v>
      </c>
      <c r="M246" s="60">
        <v>-3.911</v>
      </c>
      <c r="N246" s="60">
        <v>-3.91</v>
      </c>
      <c r="O246" s="60">
        <v>-1.9550000000000001</v>
      </c>
      <c r="P246" s="60">
        <v>0</v>
      </c>
      <c r="R246" s="61">
        <f>(ROW(R246)-ROW($C$6))</f>
        <v>240</v>
      </c>
      <c r="S246" s="60">
        <f ca="1">100+HLOOKUP(S$4,$D$7:$P$336,$R246,FALSE)-HLOOKUP(S$3,$D$7:$P$336,$R246,FALSE)</f>
        <v>111.73099999999999</v>
      </c>
      <c r="T246" s="60">
        <f ca="1">100+HLOOKUP(T$4,$D$7:$P$336,$R246,FALSE)-HLOOKUP(T$3,$D$7:$P$336,$R246,FALSE)</f>
        <v>92.179000000000002</v>
      </c>
      <c r="U246" s="60">
        <f ca="1">100+HLOOKUP(U$4,$D$7:$P$336,$R246,FALSE)-HLOOKUP(U$3,$D$7:$P$336,$R246,FALSE)</f>
        <v>92.179000000000002</v>
      </c>
      <c r="V246" s="60">
        <f ca="1">100+HLOOKUP(V$4,$D$7:$P$336,$R246,FALSE)-HLOOKUP(V$3,$D$7:$P$336,$R246,FALSE)</f>
        <v>113.685</v>
      </c>
      <c r="W246" s="60">
        <f ca="1">100+HLOOKUP(W$4,$D$7:$P$336,$R246,FALSE)-HLOOKUP(W$3,$D$7:$P$336,$R246,FALSE)</f>
        <v>92.179000000000002</v>
      </c>
      <c r="X246" s="60">
        <f ca="1">100+HLOOKUP(X$4,$D$7:$P$336,$R246,FALSE)-HLOOKUP(X$3,$D$7:$P$336,$R246,FALSE)</f>
        <v>111.73099999999999</v>
      </c>
      <c r="Y246" s="60">
        <f ca="1">100+HLOOKUP(Y$4,$D$7:$P$336,$R246,FALSE)-HLOOKUP(Y$3,$D$7:$P$336,$R246,FALSE)</f>
        <v>92.179000000000002</v>
      </c>
      <c r="Z246" s="60">
        <f ca="1">100+HLOOKUP(Z$4,$D$7:$P$336,$R246,FALSE)-HLOOKUP(Z$3,$D$7:$P$336,$R246,FALSE)</f>
        <v>92.179000000000002</v>
      </c>
      <c r="AA246" s="60">
        <f ca="1">100+HLOOKUP(AA$4,$D$7:$P$336,$R246,FALSE)-HLOOKUP(AA$3,$D$7:$P$336,$R246,FALSE)</f>
        <v>113.685</v>
      </c>
      <c r="AB246" s="60">
        <f ca="1">100+HLOOKUP(AB$4,$D$7:$P$336,$R246,FALSE)-HLOOKUP(AB$3,$D$7:$P$336,$R246,FALSE)</f>
        <v>92.179000000000002</v>
      </c>
      <c r="AC246" s="60">
        <f ca="1">100+HLOOKUP(AC$4,$D$7:$P$336,$R246,FALSE)-HLOOKUP(AC$3,$D$7:$P$336,$R246,FALSE)</f>
        <v>92.179000000000002</v>
      </c>
      <c r="AD246" s="60">
        <f ca="1">100+HLOOKUP(AD$4,$D$7:$P$336,$R246,FALSE)-HLOOKUP(AD$3,$D$7:$P$336,$R246,FALSE)</f>
        <v>90.224999999999994</v>
      </c>
      <c r="AE246" s="60">
        <f ca="1">100+HLOOKUP(AE$4,$D$7:$P$336,$R246,FALSE)-HLOOKUP(AE$3,$D$7:$P$336,$R246,FALSE)</f>
        <v>111.73099999999999</v>
      </c>
      <c r="AF246" s="60">
        <f ca="1">100+HLOOKUP(AF$4,$D$7:$P$336,$R246,FALSE)-HLOOKUP(AF$3,$D$7:$P$336,$R246,FALSE)</f>
        <v>111.73099999999999</v>
      </c>
      <c r="AG246" s="60">
        <f ca="1">100+HLOOKUP(AG$4,$D$7:$P$336,$R246,FALSE)-HLOOKUP(AG$3,$D$7:$P$336,$R246,FALSE)</f>
        <v>113.685</v>
      </c>
      <c r="AH246" s="60" t="e">
        <f>100+HLOOKUP(AH$4,$D$7:$P$336,$R246,FALSE)-HLOOKUP(AH$3,$D$7:$P$336,$R246,FALSE)</f>
        <v>#N/A</v>
      </c>
      <c r="AI246" s="60" t="e">
        <f>100+HLOOKUP(AI$4,$D$7:$P$336,$R246,FALSE)-HLOOKUP(AI$3,$D$7:$P$336,$R246,FALSE)</f>
        <v>#N/A</v>
      </c>
      <c r="AJ246" s="60" t="e">
        <f>100+HLOOKUP(AJ$4,$D$7:$P$336,$R246,FALSE)-HLOOKUP(AJ$3,$D$7:$P$336,$R246,FALSE)</f>
        <v>#N/A</v>
      </c>
      <c r="AK246" s="60" t="e">
        <f>100+HLOOKUP(AK$4,$D$7:$P$336,$R246,FALSE)-HLOOKUP(AK$3,$D$7:$P$336,$R246,FALSE)</f>
        <v>#N/A</v>
      </c>
      <c r="AL246" s="60" t="e">
        <f>100+HLOOKUP(AL$4,$D$7:$P$336,$R246,FALSE)-HLOOKUP(AL$3,$D$7:$P$336,$R246,FALSE)</f>
        <v>#N/A</v>
      </c>
      <c r="AM246" s="60" t="e">
        <f>100+HLOOKUP(AM$4,$D$7:$P$336,$R246,FALSE)-HLOOKUP(AM$3,$D$7:$P$336,$R246,FALSE)</f>
        <v>#N/A</v>
      </c>
      <c r="AN246" s="60" t="e">
        <f>100+HLOOKUP(AN$4,$D$7:$P$336,$R246,FALSE)-HLOOKUP(AN$3,$D$7:$P$336,$R246,FALSE)</f>
        <v>#N/A</v>
      </c>
      <c r="AO246" s="60" t="e">
        <f>100+HLOOKUP(AO$4,$D$7:$P$336,$R246,FALSE)-HLOOKUP(AO$3,$D$7:$P$336,$R246,FALSE)</f>
        <v>#N/A</v>
      </c>
      <c r="AP246" s="60" t="e">
        <f>100+HLOOKUP(AP$4,$D$7:$P$336,$R246,FALSE)-HLOOKUP(AP$3,$D$7:$P$336,$R246,FALSE)</f>
        <v>#N/A</v>
      </c>
      <c r="AQ246" s="60" t="e">
        <f>100+HLOOKUP(AQ$4,$D$7:$P$336,$R246,FALSE)-HLOOKUP(AQ$3,$D$7:$P$336,$R246,FALSE)</f>
        <v>#N/A</v>
      </c>
      <c r="AV246" s="60">
        <f ca="1">AV$5-S246</f>
        <v>-8.5406005732035624</v>
      </c>
      <c r="AW246" s="60">
        <f ca="1">AW$5-T246</f>
        <v>2.0416505297577459</v>
      </c>
      <c r="AX246" s="60">
        <f ca="1">AX$5-U246</f>
        <v>9.5969154036680493</v>
      </c>
      <c r="AY246" s="60">
        <f ca="1">AY$5-V246</f>
        <v>-20.081985598472201</v>
      </c>
      <c r="AZ246" s="60">
        <f ca="1">AZ$5-W246</f>
        <v>5.2754821725960284</v>
      </c>
      <c r="BA246" s="60">
        <f ca="1">BA$5-X246</f>
        <v>-13.265940941017291</v>
      </c>
      <c r="BB246" s="60">
        <f ca="1">BB$5-Y246</f>
        <v>1.1715927273811246</v>
      </c>
      <c r="BC246" s="60">
        <f ca="1">BC$5-Z246</f>
        <v>15.258465909882162</v>
      </c>
      <c r="BD246" s="60">
        <f ca="1">BD$5-AA246</f>
        <v>-15.74848133561764</v>
      </c>
      <c r="BE246" s="60">
        <f ca="1">BE$5-AB246</f>
        <v>-0.34960940800780804</v>
      </c>
      <c r="BF246" s="60">
        <f ca="1">BF$5-AC246</f>
        <v>8.8383043164770783</v>
      </c>
      <c r="BG246" s="60">
        <f ca="1">BG$5-AD246</f>
        <v>13.760258705018515</v>
      </c>
      <c r="BH246" s="60">
        <f ca="1">BH$5-AE246</f>
        <v>-12.776407769632428</v>
      </c>
      <c r="BI246" s="60">
        <f ca="1">BI$5-AF246</f>
        <v>-21.12249448874519</v>
      </c>
      <c r="BJ246" s="60">
        <f ca="1">BJ$5-AG246</f>
        <v>-22.245448942321232</v>
      </c>
      <c r="BK246" s="60" t="e">
        <f>BK$5-AH246</f>
        <v>#N/A</v>
      </c>
      <c r="BL246" s="60" t="e">
        <f>BL$5-AI246</f>
        <v>#N/A</v>
      </c>
      <c r="BM246" s="60" t="e">
        <f>BM$5-AJ246</f>
        <v>#N/A</v>
      </c>
      <c r="BN246" s="60" t="e">
        <f>BN$5-AK246</f>
        <v>#N/A</v>
      </c>
      <c r="BO246" s="60" t="e">
        <f>BO$5-AL246</f>
        <v>#N/A</v>
      </c>
      <c r="BP246" s="60" t="e">
        <f>BP$5-AM246</f>
        <v>#N/A</v>
      </c>
      <c r="BQ246" s="60" t="e">
        <f>BQ$5-AN246</f>
        <v>#N/A</v>
      </c>
      <c r="BR246" s="60" t="e">
        <f>BR$5-AO246</f>
        <v>#N/A</v>
      </c>
      <c r="BS246" s="60" t="e">
        <f>BS$5-AP246</f>
        <v>#N/A</v>
      </c>
      <c r="BT246" s="60" t="e">
        <f>BT$5-AQ246</f>
        <v>#N/A</v>
      </c>
      <c r="BV246" s="60" cm="1">
        <f t="array" aca="1" ref="BV246" ca="1">SQRT(SUMSQ(_xlfn._xlws.FILTER(AV246:BT246,ISNUMBER(AV246:BT246)))/COUNT(_xlfn._xlws.FILTER(AV246:BT246,ISNUMBER(AV246:BT246))))</f>
        <v>13.242255699161108</v>
      </c>
    </row>
    <row r="247" spans="3:74" x14ac:dyDescent="0.2">
      <c r="C247" s="60" t="s">
        <v>231</v>
      </c>
      <c r="D247" s="60">
        <v>0</v>
      </c>
      <c r="E247" s="60">
        <v>-3</v>
      </c>
      <c r="F247" s="60">
        <v>-7</v>
      </c>
      <c r="G247" s="60">
        <v>-10</v>
      </c>
      <c r="H247" s="60">
        <v>-14</v>
      </c>
      <c r="I247" s="60">
        <v>-17</v>
      </c>
      <c r="J247" s="60">
        <v>-17</v>
      </c>
      <c r="K247" s="60">
        <v>-15</v>
      </c>
      <c r="L247" s="60">
        <v>-11</v>
      </c>
      <c r="M247" s="60">
        <v>-4</v>
      </c>
      <c r="N247" s="60">
        <v>7</v>
      </c>
      <c r="O247" s="60">
        <v>3</v>
      </c>
      <c r="P247" s="60">
        <v>0</v>
      </c>
      <c r="R247" s="61">
        <f>(ROW(R247)-ROW($C$6))</f>
        <v>241</v>
      </c>
      <c r="S247" s="60">
        <f ca="1">100+HLOOKUP(S$4,$D$7:$P$336,$R247,FALSE)-HLOOKUP(S$3,$D$7:$P$336,$R247,FALSE)</f>
        <v>90</v>
      </c>
      <c r="T247" s="60">
        <f ca="1">100+HLOOKUP(T$4,$D$7:$P$336,$R247,FALSE)-HLOOKUP(T$3,$D$7:$P$336,$R247,FALSE)</f>
        <v>80</v>
      </c>
      <c r="U247" s="60">
        <f ca="1">100+HLOOKUP(U$4,$D$7:$P$336,$R247,FALSE)-HLOOKUP(U$3,$D$7:$P$336,$R247,FALSE)</f>
        <v>92</v>
      </c>
      <c r="V247" s="60">
        <f ca="1">100+HLOOKUP(V$4,$D$7:$P$336,$R247,FALSE)-HLOOKUP(V$3,$D$7:$P$336,$R247,FALSE)</f>
        <v>76</v>
      </c>
      <c r="W247" s="60">
        <f ca="1">100+HLOOKUP(W$4,$D$7:$P$336,$R247,FALSE)-HLOOKUP(W$3,$D$7:$P$336,$R247,FALSE)</f>
        <v>85</v>
      </c>
      <c r="X247" s="60">
        <f ca="1">100+HLOOKUP(X$4,$D$7:$P$336,$R247,FALSE)-HLOOKUP(X$3,$D$7:$P$336,$R247,FALSE)</f>
        <v>90</v>
      </c>
      <c r="Y247" s="60">
        <f ca="1">100+HLOOKUP(Y$4,$D$7:$P$336,$R247,FALSE)-HLOOKUP(Y$3,$D$7:$P$336,$R247,FALSE)</f>
        <v>80</v>
      </c>
      <c r="Z247" s="60">
        <f ca="1">100+HLOOKUP(Z$4,$D$7:$P$336,$R247,FALSE)-HLOOKUP(Z$3,$D$7:$P$336,$R247,FALSE)</f>
        <v>92</v>
      </c>
      <c r="AA247" s="60">
        <f ca="1">100+HLOOKUP(AA$4,$D$7:$P$336,$R247,FALSE)-HLOOKUP(AA$3,$D$7:$P$336,$R247,FALSE)</f>
        <v>76</v>
      </c>
      <c r="AB247" s="60">
        <f ca="1">100+HLOOKUP(AB$4,$D$7:$P$336,$R247,FALSE)-HLOOKUP(AB$3,$D$7:$P$336,$R247,FALSE)</f>
        <v>85</v>
      </c>
      <c r="AC247" s="60">
        <f ca="1">100+HLOOKUP(AC$4,$D$7:$P$336,$R247,FALSE)-HLOOKUP(AC$3,$D$7:$P$336,$R247,FALSE)</f>
        <v>103</v>
      </c>
      <c r="AD247" s="60">
        <f ca="1">100+HLOOKUP(AD$4,$D$7:$P$336,$R247,FALSE)-HLOOKUP(AD$3,$D$7:$P$336,$R247,FALSE)</f>
        <v>117</v>
      </c>
      <c r="AE247" s="60">
        <f ca="1">100+HLOOKUP(AE$4,$D$7:$P$336,$R247,FALSE)-HLOOKUP(AE$3,$D$7:$P$336,$R247,FALSE)</f>
        <v>114</v>
      </c>
      <c r="AF247" s="60">
        <f ca="1">100+HLOOKUP(AF$4,$D$7:$P$336,$R247,FALSE)-HLOOKUP(AF$3,$D$7:$P$336,$R247,FALSE)</f>
        <v>101</v>
      </c>
      <c r="AG247" s="60">
        <f ca="1">100+HLOOKUP(AG$4,$D$7:$P$336,$R247,FALSE)-HLOOKUP(AG$3,$D$7:$P$336,$R247,FALSE)</f>
        <v>76</v>
      </c>
      <c r="AH247" s="60" t="e">
        <f>100+HLOOKUP(AH$4,$D$7:$P$336,$R247,FALSE)-HLOOKUP(AH$3,$D$7:$P$336,$R247,FALSE)</f>
        <v>#N/A</v>
      </c>
      <c r="AI247" s="60" t="e">
        <f>100+HLOOKUP(AI$4,$D$7:$P$336,$R247,FALSE)-HLOOKUP(AI$3,$D$7:$P$336,$R247,FALSE)</f>
        <v>#N/A</v>
      </c>
      <c r="AJ247" s="60" t="e">
        <f>100+HLOOKUP(AJ$4,$D$7:$P$336,$R247,FALSE)-HLOOKUP(AJ$3,$D$7:$P$336,$R247,FALSE)</f>
        <v>#N/A</v>
      </c>
      <c r="AK247" s="60" t="e">
        <f>100+HLOOKUP(AK$4,$D$7:$P$336,$R247,FALSE)-HLOOKUP(AK$3,$D$7:$P$336,$R247,FALSE)</f>
        <v>#N/A</v>
      </c>
      <c r="AL247" s="60" t="e">
        <f>100+HLOOKUP(AL$4,$D$7:$P$336,$R247,FALSE)-HLOOKUP(AL$3,$D$7:$P$336,$R247,FALSE)</f>
        <v>#N/A</v>
      </c>
      <c r="AM247" s="60" t="e">
        <f>100+HLOOKUP(AM$4,$D$7:$P$336,$R247,FALSE)-HLOOKUP(AM$3,$D$7:$P$336,$R247,FALSE)</f>
        <v>#N/A</v>
      </c>
      <c r="AN247" s="60" t="e">
        <f>100+HLOOKUP(AN$4,$D$7:$P$336,$R247,FALSE)-HLOOKUP(AN$3,$D$7:$P$336,$R247,FALSE)</f>
        <v>#N/A</v>
      </c>
      <c r="AO247" s="60" t="e">
        <f>100+HLOOKUP(AO$4,$D$7:$P$336,$R247,FALSE)-HLOOKUP(AO$3,$D$7:$P$336,$R247,FALSE)</f>
        <v>#N/A</v>
      </c>
      <c r="AP247" s="60" t="e">
        <f>100+HLOOKUP(AP$4,$D$7:$P$336,$R247,FALSE)-HLOOKUP(AP$3,$D$7:$P$336,$R247,FALSE)</f>
        <v>#N/A</v>
      </c>
      <c r="AQ247" s="60" t="e">
        <f>100+HLOOKUP(AQ$4,$D$7:$P$336,$R247,FALSE)-HLOOKUP(AQ$3,$D$7:$P$336,$R247,FALSE)</f>
        <v>#N/A</v>
      </c>
      <c r="AV247" s="60">
        <f ca="1">AV$5-S247</f>
        <v>13.190399426796432</v>
      </c>
      <c r="AW247" s="60">
        <f ca="1">AW$5-T247</f>
        <v>14.220650529757748</v>
      </c>
      <c r="AX247" s="60">
        <f ca="1">AX$5-U247</f>
        <v>9.7759154036680513</v>
      </c>
      <c r="AY247" s="60">
        <f ca="1">AY$5-V247</f>
        <v>17.603014401527801</v>
      </c>
      <c r="AZ247" s="60">
        <f ca="1">AZ$5-W247</f>
        <v>12.45448217259603</v>
      </c>
      <c r="BA247" s="60">
        <f ca="1">BA$5-X247</f>
        <v>8.4650590589827033</v>
      </c>
      <c r="BB247" s="60">
        <f ca="1">BB$5-Y247</f>
        <v>13.350592727381127</v>
      </c>
      <c r="BC247" s="60">
        <f ca="1">BC$5-Z247</f>
        <v>15.437465909882164</v>
      </c>
      <c r="BD247" s="60">
        <f ca="1">BD$5-AA247</f>
        <v>21.936518664382362</v>
      </c>
      <c r="BE247" s="60">
        <f ca="1">BE$5-AB247</f>
        <v>6.829390591992194</v>
      </c>
      <c r="BF247" s="60">
        <f ca="1">BF$5-AC247</f>
        <v>-1.9826956835229197</v>
      </c>
      <c r="BG247" s="60">
        <f ca="1">BG$5-AD247</f>
        <v>-13.014741294981491</v>
      </c>
      <c r="BH247" s="60">
        <f ca="1">BH$5-AE247</f>
        <v>-15.045407769632433</v>
      </c>
      <c r="BI247" s="60">
        <f ca="1">BI$5-AF247</f>
        <v>-10.391494488745195</v>
      </c>
      <c r="BJ247" s="60">
        <f ca="1">BJ$5-AG247</f>
        <v>15.43955105767877</v>
      </c>
      <c r="BK247" s="60" t="e">
        <f>BK$5-AH247</f>
        <v>#N/A</v>
      </c>
      <c r="BL247" s="60" t="e">
        <f>BL$5-AI247</f>
        <v>#N/A</v>
      </c>
      <c r="BM247" s="60" t="e">
        <f>BM$5-AJ247</f>
        <v>#N/A</v>
      </c>
      <c r="BN247" s="60" t="e">
        <f>BN$5-AK247</f>
        <v>#N/A</v>
      </c>
      <c r="BO247" s="60" t="e">
        <f>BO$5-AL247</f>
        <v>#N/A</v>
      </c>
      <c r="BP247" s="60" t="e">
        <f>BP$5-AM247</f>
        <v>#N/A</v>
      </c>
      <c r="BQ247" s="60" t="e">
        <f>BQ$5-AN247</f>
        <v>#N/A</v>
      </c>
      <c r="BR247" s="60" t="e">
        <f>BR$5-AO247</f>
        <v>#N/A</v>
      </c>
      <c r="BS247" s="60" t="e">
        <f>BS$5-AP247</f>
        <v>#N/A</v>
      </c>
      <c r="BT247" s="60" t="e">
        <f>BT$5-AQ247</f>
        <v>#N/A</v>
      </c>
      <c r="BV247" s="60" cm="1">
        <f t="array" aca="1" ref="BV247" ca="1">SQRT(SUMSQ(_xlfn._xlws.FILTER(AV247:BT247,ISNUMBER(AV247:BT247)))/COUNT(_xlfn._xlws.FILTER(AV247:BT247,ISNUMBER(AV247:BT247))))</f>
        <v>13.41359111032564</v>
      </c>
    </row>
    <row r="248" spans="3:74" x14ac:dyDescent="0.2">
      <c r="C248" s="60" t="s">
        <v>180</v>
      </c>
      <c r="D248" s="60">
        <v>0</v>
      </c>
      <c r="E248" s="60">
        <v>2</v>
      </c>
      <c r="F248" s="60">
        <v>4</v>
      </c>
      <c r="G248" s="60">
        <v>6</v>
      </c>
      <c r="H248" s="60">
        <v>8</v>
      </c>
      <c r="I248" s="60">
        <v>10</v>
      </c>
      <c r="J248" s="60">
        <v>-10</v>
      </c>
      <c r="K248" s="60">
        <v>-8</v>
      </c>
      <c r="L248" s="60">
        <v>-6</v>
      </c>
      <c r="M248" s="60">
        <v>-4</v>
      </c>
      <c r="N248" s="60">
        <v>-4</v>
      </c>
      <c r="O248" s="60">
        <v>-2</v>
      </c>
      <c r="P248" s="60">
        <v>0</v>
      </c>
      <c r="R248" s="61">
        <f>(ROW(R248)-ROW($C$6))</f>
        <v>242</v>
      </c>
      <c r="S248" s="60">
        <f ca="1">100+HLOOKUP(S$4,$D$7:$P$336,$R248,FALSE)-HLOOKUP(S$3,$D$7:$P$336,$R248,FALSE)</f>
        <v>112</v>
      </c>
      <c r="T248" s="60">
        <f ca="1">100+HLOOKUP(T$4,$D$7:$P$336,$R248,FALSE)-HLOOKUP(T$3,$D$7:$P$336,$R248,FALSE)</f>
        <v>92</v>
      </c>
      <c r="U248" s="60">
        <f ca="1">100+HLOOKUP(U$4,$D$7:$P$336,$R248,FALSE)-HLOOKUP(U$3,$D$7:$P$336,$R248,FALSE)</f>
        <v>92</v>
      </c>
      <c r="V248" s="60">
        <f ca="1">100+HLOOKUP(V$4,$D$7:$P$336,$R248,FALSE)-HLOOKUP(V$3,$D$7:$P$336,$R248,FALSE)</f>
        <v>114</v>
      </c>
      <c r="W248" s="60">
        <f ca="1">100+HLOOKUP(W$4,$D$7:$P$336,$R248,FALSE)-HLOOKUP(W$3,$D$7:$P$336,$R248,FALSE)</f>
        <v>92</v>
      </c>
      <c r="X248" s="60">
        <f ca="1">100+HLOOKUP(X$4,$D$7:$P$336,$R248,FALSE)-HLOOKUP(X$3,$D$7:$P$336,$R248,FALSE)</f>
        <v>112</v>
      </c>
      <c r="Y248" s="60">
        <f ca="1">100+HLOOKUP(Y$4,$D$7:$P$336,$R248,FALSE)-HLOOKUP(Y$3,$D$7:$P$336,$R248,FALSE)</f>
        <v>92</v>
      </c>
      <c r="Z248" s="60">
        <f ca="1">100+HLOOKUP(Z$4,$D$7:$P$336,$R248,FALSE)-HLOOKUP(Z$3,$D$7:$P$336,$R248,FALSE)</f>
        <v>92</v>
      </c>
      <c r="AA248" s="60">
        <f ca="1">100+HLOOKUP(AA$4,$D$7:$P$336,$R248,FALSE)-HLOOKUP(AA$3,$D$7:$P$336,$R248,FALSE)</f>
        <v>114</v>
      </c>
      <c r="AB248" s="60">
        <f ca="1">100+HLOOKUP(AB$4,$D$7:$P$336,$R248,FALSE)-HLOOKUP(AB$3,$D$7:$P$336,$R248,FALSE)</f>
        <v>92</v>
      </c>
      <c r="AC248" s="60">
        <f ca="1">100+HLOOKUP(AC$4,$D$7:$P$336,$R248,FALSE)-HLOOKUP(AC$3,$D$7:$P$336,$R248,FALSE)</f>
        <v>92</v>
      </c>
      <c r="AD248" s="60">
        <f ca="1">100+HLOOKUP(AD$4,$D$7:$P$336,$R248,FALSE)-HLOOKUP(AD$3,$D$7:$P$336,$R248,FALSE)</f>
        <v>90</v>
      </c>
      <c r="AE248" s="60">
        <f ca="1">100+HLOOKUP(AE$4,$D$7:$P$336,$R248,FALSE)-HLOOKUP(AE$3,$D$7:$P$336,$R248,FALSE)</f>
        <v>112</v>
      </c>
      <c r="AF248" s="60">
        <f ca="1">100+HLOOKUP(AF$4,$D$7:$P$336,$R248,FALSE)-HLOOKUP(AF$3,$D$7:$P$336,$R248,FALSE)</f>
        <v>112</v>
      </c>
      <c r="AG248" s="60">
        <f ca="1">100+HLOOKUP(AG$4,$D$7:$P$336,$R248,FALSE)-HLOOKUP(AG$3,$D$7:$P$336,$R248,FALSE)</f>
        <v>114</v>
      </c>
      <c r="AH248" s="60" t="e">
        <f>100+HLOOKUP(AH$4,$D$7:$P$336,$R248,FALSE)-HLOOKUP(AH$3,$D$7:$P$336,$R248,FALSE)</f>
        <v>#N/A</v>
      </c>
      <c r="AI248" s="60" t="e">
        <f>100+HLOOKUP(AI$4,$D$7:$P$336,$R248,FALSE)-HLOOKUP(AI$3,$D$7:$P$336,$R248,FALSE)</f>
        <v>#N/A</v>
      </c>
      <c r="AJ248" s="60" t="e">
        <f>100+HLOOKUP(AJ$4,$D$7:$P$336,$R248,FALSE)-HLOOKUP(AJ$3,$D$7:$P$336,$R248,FALSE)</f>
        <v>#N/A</v>
      </c>
      <c r="AK248" s="60" t="e">
        <f>100+HLOOKUP(AK$4,$D$7:$P$336,$R248,FALSE)-HLOOKUP(AK$3,$D$7:$P$336,$R248,FALSE)</f>
        <v>#N/A</v>
      </c>
      <c r="AL248" s="60" t="e">
        <f>100+HLOOKUP(AL$4,$D$7:$P$336,$R248,FALSE)-HLOOKUP(AL$3,$D$7:$P$336,$R248,FALSE)</f>
        <v>#N/A</v>
      </c>
      <c r="AM248" s="60" t="e">
        <f>100+HLOOKUP(AM$4,$D$7:$P$336,$R248,FALSE)-HLOOKUP(AM$3,$D$7:$P$336,$R248,FALSE)</f>
        <v>#N/A</v>
      </c>
      <c r="AN248" s="60" t="e">
        <f>100+HLOOKUP(AN$4,$D$7:$P$336,$R248,FALSE)-HLOOKUP(AN$3,$D$7:$P$336,$R248,FALSE)</f>
        <v>#N/A</v>
      </c>
      <c r="AO248" s="60" t="e">
        <f>100+HLOOKUP(AO$4,$D$7:$P$336,$R248,FALSE)-HLOOKUP(AO$3,$D$7:$P$336,$R248,FALSE)</f>
        <v>#N/A</v>
      </c>
      <c r="AP248" s="60" t="e">
        <f>100+HLOOKUP(AP$4,$D$7:$P$336,$R248,FALSE)-HLOOKUP(AP$3,$D$7:$P$336,$R248,FALSE)</f>
        <v>#N/A</v>
      </c>
      <c r="AQ248" s="60" t="e">
        <f>100+HLOOKUP(AQ$4,$D$7:$P$336,$R248,FALSE)-HLOOKUP(AQ$3,$D$7:$P$336,$R248,FALSE)</f>
        <v>#N/A</v>
      </c>
      <c r="AV248" s="60">
        <f ca="1">AV$5-S248</f>
        <v>-8.8096005732035678</v>
      </c>
      <c r="AW248" s="60">
        <f ca="1">AW$5-T248</f>
        <v>2.2206505297577479</v>
      </c>
      <c r="AX248" s="60">
        <f ca="1">AX$5-U248</f>
        <v>9.7759154036680513</v>
      </c>
      <c r="AY248" s="60">
        <f ca="1">AY$5-V248</f>
        <v>-20.396985598472199</v>
      </c>
      <c r="AZ248" s="60">
        <f ca="1">AZ$5-W248</f>
        <v>5.4544821725960304</v>
      </c>
      <c r="BA248" s="60">
        <f ca="1">BA$5-X248</f>
        <v>-13.534940941017297</v>
      </c>
      <c r="BB248" s="60">
        <f ca="1">BB$5-Y248</f>
        <v>1.3505927273811267</v>
      </c>
      <c r="BC248" s="60">
        <f ca="1">BC$5-Z248</f>
        <v>15.437465909882164</v>
      </c>
      <c r="BD248" s="60">
        <f ca="1">BD$5-AA248</f>
        <v>-16.063481335617638</v>
      </c>
      <c r="BE248" s="60">
        <f ca="1">BE$5-AB248</f>
        <v>-0.170609408007806</v>
      </c>
      <c r="BF248" s="60">
        <f ca="1">BF$5-AC248</f>
        <v>9.0173043164770803</v>
      </c>
      <c r="BG248" s="60">
        <f ca="1">BG$5-AD248</f>
        <v>13.985258705018509</v>
      </c>
      <c r="BH248" s="60">
        <f ca="1">BH$5-AE248</f>
        <v>-13.045407769632433</v>
      </c>
      <c r="BI248" s="60">
        <f ca="1">BI$5-AF248</f>
        <v>-21.391494488745195</v>
      </c>
      <c r="BJ248" s="60">
        <f ca="1">BJ$5-AG248</f>
        <v>-22.56044894232123</v>
      </c>
      <c r="BK248" s="60" t="e">
        <f>BK$5-AH248</f>
        <v>#N/A</v>
      </c>
      <c r="BL248" s="60" t="e">
        <f>BL$5-AI248</f>
        <v>#N/A</v>
      </c>
      <c r="BM248" s="60" t="e">
        <f>BM$5-AJ248</f>
        <v>#N/A</v>
      </c>
      <c r="BN248" s="60" t="e">
        <f>BN$5-AK248</f>
        <v>#N/A</v>
      </c>
      <c r="BO248" s="60" t="e">
        <f>BO$5-AL248</f>
        <v>#N/A</v>
      </c>
      <c r="BP248" s="60" t="e">
        <f>BP$5-AM248</f>
        <v>#N/A</v>
      </c>
      <c r="BQ248" s="60" t="e">
        <f>BQ$5-AN248</f>
        <v>#N/A</v>
      </c>
      <c r="BR248" s="60" t="e">
        <f>BR$5-AO248</f>
        <v>#N/A</v>
      </c>
      <c r="BS248" s="60" t="e">
        <f>BS$5-AP248</f>
        <v>#N/A</v>
      </c>
      <c r="BT248" s="60" t="e">
        <f>BT$5-AQ248</f>
        <v>#N/A</v>
      </c>
      <c r="BV248" s="60" cm="1">
        <f t="array" aca="1" ref="BV248" ca="1">SQRT(SUMSQ(_xlfn._xlws.FILTER(AV248:BT248,ISNUMBER(AV248:BT248)))/COUNT(_xlfn._xlws.FILTER(AV248:BT248,ISNUMBER(AV248:BT248))))</f>
        <v>13.46340146765756</v>
      </c>
    </row>
    <row r="249" spans="3:74" x14ac:dyDescent="0.2">
      <c r="C249" s="60" t="s">
        <v>386</v>
      </c>
      <c r="D249" s="60">
        <v>0</v>
      </c>
      <c r="E249" s="60">
        <v>-2</v>
      </c>
      <c r="F249" s="60">
        <v>-5</v>
      </c>
      <c r="G249" s="60">
        <v>-8</v>
      </c>
      <c r="H249" s="60">
        <v>-12</v>
      </c>
      <c r="I249" s="60">
        <v>-16</v>
      </c>
      <c r="J249" s="60">
        <v>-16</v>
      </c>
      <c r="K249" s="60">
        <v>-16</v>
      </c>
      <c r="L249" s="60">
        <v>-15</v>
      </c>
      <c r="M249" s="60">
        <v>3</v>
      </c>
      <c r="N249" s="60">
        <v>4</v>
      </c>
      <c r="O249" s="60">
        <v>-1</v>
      </c>
      <c r="P249" s="60">
        <v>0</v>
      </c>
      <c r="R249" s="61">
        <f>(ROW(R249)-ROW($C$6))</f>
        <v>243</v>
      </c>
      <c r="S249" s="60">
        <f ca="1">100+HLOOKUP(S$4,$D$7:$P$336,$R249,FALSE)-HLOOKUP(S$3,$D$7:$P$336,$R249,FALSE)</f>
        <v>85</v>
      </c>
      <c r="T249" s="60">
        <f ca="1">100+HLOOKUP(T$4,$D$7:$P$336,$R249,FALSE)-HLOOKUP(T$3,$D$7:$P$336,$R249,FALSE)</f>
        <v>85</v>
      </c>
      <c r="U249" s="60">
        <f ca="1">100+HLOOKUP(U$4,$D$7:$P$336,$R249,FALSE)-HLOOKUP(U$3,$D$7:$P$336,$R249,FALSE)</f>
        <v>87</v>
      </c>
      <c r="V249" s="60">
        <f ca="1">100+HLOOKUP(V$4,$D$7:$P$336,$R249,FALSE)-HLOOKUP(V$3,$D$7:$P$336,$R249,FALSE)</f>
        <v>80</v>
      </c>
      <c r="W249" s="60">
        <f ca="1">100+HLOOKUP(W$4,$D$7:$P$336,$R249,FALSE)-HLOOKUP(W$3,$D$7:$P$336,$R249,FALSE)</f>
        <v>84</v>
      </c>
      <c r="X249" s="60">
        <f ca="1">100+HLOOKUP(X$4,$D$7:$P$336,$R249,FALSE)-HLOOKUP(X$3,$D$7:$P$336,$R249,FALSE)</f>
        <v>85</v>
      </c>
      <c r="Y249" s="60">
        <f ca="1">100+HLOOKUP(Y$4,$D$7:$P$336,$R249,FALSE)-HLOOKUP(Y$3,$D$7:$P$336,$R249,FALSE)</f>
        <v>85</v>
      </c>
      <c r="Z249" s="60">
        <f ca="1">100+HLOOKUP(Z$4,$D$7:$P$336,$R249,FALSE)-HLOOKUP(Z$3,$D$7:$P$336,$R249,FALSE)</f>
        <v>87</v>
      </c>
      <c r="AA249" s="60">
        <f ca="1">100+HLOOKUP(AA$4,$D$7:$P$336,$R249,FALSE)-HLOOKUP(AA$3,$D$7:$P$336,$R249,FALSE)</f>
        <v>80</v>
      </c>
      <c r="AB249" s="60">
        <f ca="1">100+HLOOKUP(AB$4,$D$7:$P$336,$R249,FALSE)-HLOOKUP(AB$3,$D$7:$P$336,$R249,FALSE)</f>
        <v>84</v>
      </c>
      <c r="AC249" s="60">
        <f ca="1">100+HLOOKUP(AC$4,$D$7:$P$336,$R249,FALSE)-HLOOKUP(AC$3,$D$7:$P$336,$R249,FALSE)</f>
        <v>108</v>
      </c>
      <c r="AD249" s="60">
        <f ca="1">100+HLOOKUP(AD$4,$D$7:$P$336,$R249,FALSE)-HLOOKUP(AD$3,$D$7:$P$336,$R249,FALSE)</f>
        <v>111</v>
      </c>
      <c r="AE249" s="60">
        <f ca="1">100+HLOOKUP(AE$4,$D$7:$P$336,$R249,FALSE)-HLOOKUP(AE$3,$D$7:$P$336,$R249,FALSE)</f>
        <v>114</v>
      </c>
      <c r="AF249" s="60">
        <f ca="1">100+HLOOKUP(AF$4,$D$7:$P$336,$R249,FALSE)-HLOOKUP(AF$3,$D$7:$P$336,$R249,FALSE)</f>
        <v>107</v>
      </c>
      <c r="AG249" s="60">
        <f ca="1">100+HLOOKUP(AG$4,$D$7:$P$336,$R249,FALSE)-HLOOKUP(AG$3,$D$7:$P$336,$R249,FALSE)</f>
        <v>80</v>
      </c>
      <c r="AH249" s="60" t="e">
        <f>100+HLOOKUP(AH$4,$D$7:$P$336,$R249,FALSE)-HLOOKUP(AH$3,$D$7:$P$336,$R249,FALSE)</f>
        <v>#N/A</v>
      </c>
      <c r="AI249" s="60" t="e">
        <f>100+HLOOKUP(AI$4,$D$7:$P$336,$R249,FALSE)-HLOOKUP(AI$3,$D$7:$P$336,$R249,FALSE)</f>
        <v>#N/A</v>
      </c>
      <c r="AJ249" s="60" t="e">
        <f>100+HLOOKUP(AJ$4,$D$7:$P$336,$R249,FALSE)-HLOOKUP(AJ$3,$D$7:$P$336,$R249,FALSE)</f>
        <v>#N/A</v>
      </c>
      <c r="AK249" s="60" t="e">
        <f>100+HLOOKUP(AK$4,$D$7:$P$336,$R249,FALSE)-HLOOKUP(AK$3,$D$7:$P$336,$R249,FALSE)</f>
        <v>#N/A</v>
      </c>
      <c r="AL249" s="60" t="e">
        <f>100+HLOOKUP(AL$4,$D$7:$P$336,$R249,FALSE)-HLOOKUP(AL$3,$D$7:$P$336,$R249,FALSE)</f>
        <v>#N/A</v>
      </c>
      <c r="AM249" s="60" t="e">
        <f>100+HLOOKUP(AM$4,$D$7:$P$336,$R249,FALSE)-HLOOKUP(AM$3,$D$7:$P$336,$R249,FALSE)</f>
        <v>#N/A</v>
      </c>
      <c r="AN249" s="60" t="e">
        <f>100+HLOOKUP(AN$4,$D$7:$P$336,$R249,FALSE)-HLOOKUP(AN$3,$D$7:$P$336,$R249,FALSE)</f>
        <v>#N/A</v>
      </c>
      <c r="AO249" s="60" t="e">
        <f>100+HLOOKUP(AO$4,$D$7:$P$336,$R249,FALSE)-HLOOKUP(AO$3,$D$7:$P$336,$R249,FALSE)</f>
        <v>#N/A</v>
      </c>
      <c r="AP249" s="60" t="e">
        <f>100+HLOOKUP(AP$4,$D$7:$P$336,$R249,FALSE)-HLOOKUP(AP$3,$D$7:$P$336,$R249,FALSE)</f>
        <v>#N/A</v>
      </c>
      <c r="AQ249" s="60" t="e">
        <f>100+HLOOKUP(AQ$4,$D$7:$P$336,$R249,FALSE)-HLOOKUP(AQ$3,$D$7:$P$336,$R249,FALSE)</f>
        <v>#N/A</v>
      </c>
      <c r="AV249" s="60">
        <f ca="1">AV$5-S249</f>
        <v>18.190399426796432</v>
      </c>
      <c r="AW249" s="60">
        <f ca="1">AW$5-T249</f>
        <v>9.2206505297577479</v>
      </c>
      <c r="AX249" s="60">
        <f ca="1">AX$5-U249</f>
        <v>14.775915403668051</v>
      </c>
      <c r="AY249" s="60">
        <f ca="1">AY$5-V249</f>
        <v>13.603014401527801</v>
      </c>
      <c r="AZ249" s="60">
        <f ca="1">AZ$5-W249</f>
        <v>13.45448217259603</v>
      </c>
      <c r="BA249" s="60">
        <f ca="1">BA$5-X249</f>
        <v>13.465059058982703</v>
      </c>
      <c r="BB249" s="60">
        <f ca="1">BB$5-Y249</f>
        <v>8.3505927273811267</v>
      </c>
      <c r="BC249" s="60">
        <f ca="1">BC$5-Z249</f>
        <v>20.437465909882164</v>
      </c>
      <c r="BD249" s="60">
        <f ca="1">BD$5-AA249</f>
        <v>17.936518664382362</v>
      </c>
      <c r="BE249" s="60">
        <f ca="1">BE$5-AB249</f>
        <v>7.829390591992194</v>
      </c>
      <c r="BF249" s="60">
        <f ca="1">BF$5-AC249</f>
        <v>-6.9826956835229197</v>
      </c>
      <c r="BG249" s="60">
        <f ca="1">BG$5-AD249</f>
        <v>-7.0147412949814907</v>
      </c>
      <c r="BH249" s="60">
        <f ca="1">BH$5-AE249</f>
        <v>-15.045407769632433</v>
      </c>
      <c r="BI249" s="60">
        <f ca="1">BI$5-AF249</f>
        <v>-16.391494488745195</v>
      </c>
      <c r="BJ249" s="60">
        <f ca="1">BJ$5-AG249</f>
        <v>11.43955105767877</v>
      </c>
      <c r="BK249" s="60" t="e">
        <f>BK$5-AH249</f>
        <v>#N/A</v>
      </c>
      <c r="BL249" s="60" t="e">
        <f>BL$5-AI249</f>
        <v>#N/A</v>
      </c>
      <c r="BM249" s="60" t="e">
        <f>BM$5-AJ249</f>
        <v>#N/A</v>
      </c>
      <c r="BN249" s="60" t="e">
        <f>BN$5-AK249</f>
        <v>#N/A</v>
      </c>
      <c r="BO249" s="60" t="e">
        <f>BO$5-AL249</f>
        <v>#N/A</v>
      </c>
      <c r="BP249" s="60" t="e">
        <f>BP$5-AM249</f>
        <v>#N/A</v>
      </c>
      <c r="BQ249" s="60" t="e">
        <f>BQ$5-AN249</f>
        <v>#N/A</v>
      </c>
      <c r="BR249" s="60" t="e">
        <f>BR$5-AO249</f>
        <v>#N/A</v>
      </c>
      <c r="BS249" s="60" t="e">
        <f>BS$5-AP249</f>
        <v>#N/A</v>
      </c>
      <c r="BT249" s="60" t="e">
        <f>BT$5-AQ249</f>
        <v>#N/A</v>
      </c>
      <c r="BV249" s="60" cm="1">
        <f t="array" aca="1" ref="BV249" ca="1">SQRT(SUMSQ(_xlfn._xlws.FILTER(AV249:BT249,ISNUMBER(AV249:BT249)))/COUNT(_xlfn._xlws.FILTER(AV249:BT249,ISNUMBER(AV249:BT249))))</f>
        <v>13.603738285848411</v>
      </c>
    </row>
    <row r="250" spans="3:74" x14ac:dyDescent="0.2">
      <c r="C250" s="60" t="s">
        <v>413</v>
      </c>
      <c r="D250" s="60">
        <v>0</v>
      </c>
      <c r="E250" s="60">
        <v>2</v>
      </c>
      <c r="F250" s="60">
        <v>-18</v>
      </c>
      <c r="G250" s="60">
        <v>-16</v>
      </c>
      <c r="H250" s="60">
        <v>-14</v>
      </c>
      <c r="I250" s="60">
        <v>7</v>
      </c>
      <c r="J250" s="60">
        <v>9</v>
      </c>
      <c r="K250" s="60">
        <v>11</v>
      </c>
      <c r="L250" s="60">
        <v>13</v>
      </c>
      <c r="M250" s="60">
        <v>-6</v>
      </c>
      <c r="N250" s="60">
        <v>-4</v>
      </c>
      <c r="O250" s="60">
        <v>-2</v>
      </c>
      <c r="P250" s="60">
        <v>0</v>
      </c>
      <c r="R250" s="61">
        <f>(ROW(R250)-ROW($C$6))</f>
        <v>244</v>
      </c>
      <c r="S250" s="60">
        <f ca="1">100+HLOOKUP(S$4,$D$7:$P$336,$R250,FALSE)-HLOOKUP(S$3,$D$7:$P$336,$R250,FALSE)</f>
        <v>92</v>
      </c>
      <c r="T250" s="60">
        <f ca="1">100+HLOOKUP(T$4,$D$7:$P$336,$R250,FALSE)-HLOOKUP(T$3,$D$7:$P$336,$R250,FALSE)</f>
        <v>111</v>
      </c>
      <c r="U250" s="60">
        <f ca="1">100+HLOOKUP(U$4,$D$7:$P$336,$R250,FALSE)-HLOOKUP(U$3,$D$7:$P$336,$R250,FALSE)</f>
        <v>111</v>
      </c>
      <c r="V250" s="60">
        <f ca="1">100+HLOOKUP(V$4,$D$7:$P$336,$R250,FALSE)-HLOOKUP(V$3,$D$7:$P$336,$R250,FALSE)</f>
        <v>111</v>
      </c>
      <c r="W250" s="60">
        <f ca="1">100+HLOOKUP(W$4,$D$7:$P$336,$R250,FALSE)-HLOOKUP(W$3,$D$7:$P$336,$R250,FALSE)</f>
        <v>111</v>
      </c>
      <c r="X250" s="60">
        <f ca="1">100+HLOOKUP(X$4,$D$7:$P$336,$R250,FALSE)-HLOOKUP(X$3,$D$7:$P$336,$R250,FALSE)</f>
        <v>92</v>
      </c>
      <c r="Y250" s="60">
        <f ca="1">100+HLOOKUP(Y$4,$D$7:$P$336,$R250,FALSE)-HLOOKUP(Y$3,$D$7:$P$336,$R250,FALSE)</f>
        <v>111</v>
      </c>
      <c r="Z250" s="60">
        <f ca="1">100+HLOOKUP(Z$4,$D$7:$P$336,$R250,FALSE)-HLOOKUP(Z$3,$D$7:$P$336,$R250,FALSE)</f>
        <v>111</v>
      </c>
      <c r="AA250" s="60">
        <f ca="1">100+HLOOKUP(AA$4,$D$7:$P$336,$R250,FALSE)-HLOOKUP(AA$3,$D$7:$P$336,$R250,FALSE)</f>
        <v>111</v>
      </c>
      <c r="AB250" s="60">
        <f ca="1">100+HLOOKUP(AB$4,$D$7:$P$336,$R250,FALSE)-HLOOKUP(AB$3,$D$7:$P$336,$R250,FALSE)</f>
        <v>111</v>
      </c>
      <c r="AC250" s="60">
        <f ca="1">100+HLOOKUP(AC$4,$D$7:$P$336,$R250,FALSE)-HLOOKUP(AC$3,$D$7:$P$336,$R250,FALSE)</f>
        <v>112</v>
      </c>
      <c r="AD250" s="60">
        <f ca="1">100+HLOOKUP(AD$4,$D$7:$P$336,$R250,FALSE)-HLOOKUP(AD$3,$D$7:$P$336,$R250,FALSE)</f>
        <v>112</v>
      </c>
      <c r="AE250" s="60">
        <f ca="1">100+HLOOKUP(AE$4,$D$7:$P$336,$R250,FALSE)-HLOOKUP(AE$3,$D$7:$P$336,$R250,FALSE)</f>
        <v>93</v>
      </c>
      <c r="AF250" s="60">
        <f ca="1">100+HLOOKUP(AF$4,$D$7:$P$336,$R250,FALSE)-HLOOKUP(AF$3,$D$7:$P$336,$R250,FALSE)</f>
        <v>71</v>
      </c>
      <c r="AG250" s="60">
        <f ca="1">100+HLOOKUP(AG$4,$D$7:$P$336,$R250,FALSE)-HLOOKUP(AG$3,$D$7:$P$336,$R250,FALSE)</f>
        <v>111</v>
      </c>
      <c r="AH250" s="60" t="e">
        <f>100+HLOOKUP(AH$4,$D$7:$P$336,$R250,FALSE)-HLOOKUP(AH$3,$D$7:$P$336,$R250,FALSE)</f>
        <v>#N/A</v>
      </c>
      <c r="AI250" s="60" t="e">
        <f>100+HLOOKUP(AI$4,$D$7:$P$336,$R250,FALSE)-HLOOKUP(AI$3,$D$7:$P$336,$R250,FALSE)</f>
        <v>#N/A</v>
      </c>
      <c r="AJ250" s="60" t="e">
        <f>100+HLOOKUP(AJ$4,$D$7:$P$336,$R250,FALSE)-HLOOKUP(AJ$3,$D$7:$P$336,$R250,FALSE)</f>
        <v>#N/A</v>
      </c>
      <c r="AK250" s="60" t="e">
        <f>100+HLOOKUP(AK$4,$D$7:$P$336,$R250,FALSE)-HLOOKUP(AK$3,$D$7:$P$336,$R250,FALSE)</f>
        <v>#N/A</v>
      </c>
      <c r="AL250" s="60" t="e">
        <f>100+HLOOKUP(AL$4,$D$7:$P$336,$R250,FALSE)-HLOOKUP(AL$3,$D$7:$P$336,$R250,FALSE)</f>
        <v>#N/A</v>
      </c>
      <c r="AM250" s="60" t="e">
        <f>100+HLOOKUP(AM$4,$D$7:$P$336,$R250,FALSE)-HLOOKUP(AM$3,$D$7:$P$336,$R250,FALSE)</f>
        <v>#N/A</v>
      </c>
      <c r="AN250" s="60" t="e">
        <f>100+HLOOKUP(AN$4,$D$7:$P$336,$R250,FALSE)-HLOOKUP(AN$3,$D$7:$P$336,$R250,FALSE)</f>
        <v>#N/A</v>
      </c>
      <c r="AO250" s="60" t="e">
        <f>100+HLOOKUP(AO$4,$D$7:$P$336,$R250,FALSE)-HLOOKUP(AO$3,$D$7:$P$336,$R250,FALSE)</f>
        <v>#N/A</v>
      </c>
      <c r="AP250" s="60" t="e">
        <f>100+HLOOKUP(AP$4,$D$7:$P$336,$R250,FALSE)-HLOOKUP(AP$3,$D$7:$P$336,$R250,FALSE)</f>
        <v>#N/A</v>
      </c>
      <c r="AQ250" s="60" t="e">
        <f>100+HLOOKUP(AQ$4,$D$7:$P$336,$R250,FALSE)-HLOOKUP(AQ$3,$D$7:$P$336,$R250,FALSE)</f>
        <v>#N/A</v>
      </c>
      <c r="AV250" s="60">
        <f ca="1">AV$5-S250</f>
        <v>11.190399426796432</v>
      </c>
      <c r="AW250" s="60">
        <f ca="1">AW$5-T250</f>
        <v>-16.779349470242252</v>
      </c>
      <c r="AX250" s="60">
        <f ca="1">AX$5-U250</f>
        <v>-9.2240845963319487</v>
      </c>
      <c r="AY250" s="60">
        <f ca="1">AY$5-V250</f>
        <v>-17.396985598472199</v>
      </c>
      <c r="AZ250" s="60">
        <f ca="1">AZ$5-W250</f>
        <v>-13.54551782740397</v>
      </c>
      <c r="BA250" s="60">
        <f ca="1">BA$5-X250</f>
        <v>6.4650590589827033</v>
      </c>
      <c r="BB250" s="60">
        <f ca="1">BB$5-Y250</f>
        <v>-17.649407272618873</v>
      </c>
      <c r="BC250" s="60">
        <f ca="1">BC$5-Z250</f>
        <v>-3.5625340901178362</v>
      </c>
      <c r="BD250" s="60">
        <f ca="1">BD$5-AA250</f>
        <v>-13.063481335617638</v>
      </c>
      <c r="BE250" s="60">
        <f ca="1">BE$5-AB250</f>
        <v>-19.170609408007806</v>
      </c>
      <c r="BF250" s="60">
        <f ca="1">BF$5-AC250</f>
        <v>-10.98269568352292</v>
      </c>
      <c r="BG250" s="60">
        <f ca="1">BG$5-AD250</f>
        <v>-8.0147412949814907</v>
      </c>
      <c r="BH250" s="60">
        <f ca="1">BH$5-AE250</f>
        <v>5.9545922303675667</v>
      </c>
      <c r="BI250" s="60">
        <f ca="1">BI$5-AF250</f>
        <v>19.608505511254805</v>
      </c>
      <c r="BJ250" s="60">
        <f ca="1">BJ$5-AG250</f>
        <v>-19.56044894232123</v>
      </c>
      <c r="BK250" s="60" t="e">
        <f>BK$5-AH250</f>
        <v>#N/A</v>
      </c>
      <c r="BL250" s="60" t="e">
        <f>BL$5-AI250</f>
        <v>#N/A</v>
      </c>
      <c r="BM250" s="60" t="e">
        <f>BM$5-AJ250</f>
        <v>#N/A</v>
      </c>
      <c r="BN250" s="60" t="e">
        <f>BN$5-AK250</f>
        <v>#N/A</v>
      </c>
      <c r="BO250" s="60" t="e">
        <f>BO$5-AL250</f>
        <v>#N/A</v>
      </c>
      <c r="BP250" s="60" t="e">
        <f>BP$5-AM250</f>
        <v>#N/A</v>
      </c>
      <c r="BQ250" s="60" t="e">
        <f>BQ$5-AN250</f>
        <v>#N/A</v>
      </c>
      <c r="BR250" s="60" t="e">
        <f>BR$5-AO250</f>
        <v>#N/A</v>
      </c>
      <c r="BS250" s="60" t="e">
        <f>BS$5-AP250</f>
        <v>#N/A</v>
      </c>
      <c r="BT250" s="60" t="e">
        <f>BT$5-AQ250</f>
        <v>#N/A</v>
      </c>
      <c r="BV250" s="60" cm="1">
        <f t="array" aca="1" ref="BV250" ca="1">SQRT(SUMSQ(_xlfn._xlws.FILTER(AV250:BT250,ISNUMBER(AV250:BT250)))/COUNT(_xlfn._xlws.FILTER(AV250:BT250,ISNUMBER(AV250:BT250))))</f>
        <v>13.831283460857808</v>
      </c>
    </row>
    <row r="251" spans="3:74" x14ac:dyDescent="0.2">
      <c r="C251" s="60" t="s">
        <v>407</v>
      </c>
      <c r="D251" s="60">
        <v>0</v>
      </c>
      <c r="E251" s="60">
        <v>-3.42</v>
      </c>
      <c r="F251" s="60">
        <v>-6.84</v>
      </c>
      <c r="G251" s="60">
        <v>-10.26</v>
      </c>
      <c r="H251" s="60">
        <v>-13.69</v>
      </c>
      <c r="I251" s="60">
        <v>-14.42</v>
      </c>
      <c r="J251" s="60">
        <v>-20.53</v>
      </c>
      <c r="K251" s="60">
        <v>-15.89</v>
      </c>
      <c r="L251" s="60">
        <v>-16.62</v>
      </c>
      <c r="M251" s="60">
        <v>-0.49</v>
      </c>
      <c r="N251" s="60">
        <v>-1.22</v>
      </c>
      <c r="O251" s="60">
        <v>3.42</v>
      </c>
      <c r="P251" s="60">
        <v>0</v>
      </c>
      <c r="R251" s="61">
        <f>(ROW(R251)-ROW($C$6))</f>
        <v>245</v>
      </c>
      <c r="S251" s="60">
        <f ca="1">100+HLOOKUP(S$4,$D$7:$P$336,$R251,FALSE)-HLOOKUP(S$3,$D$7:$P$336,$R251,FALSE)</f>
        <v>86.8</v>
      </c>
      <c r="T251" s="60">
        <f ca="1">100+HLOOKUP(T$4,$D$7:$P$336,$R251,FALSE)-HLOOKUP(T$3,$D$7:$P$336,$R251,FALSE)</f>
        <v>76.05</v>
      </c>
      <c r="U251" s="60">
        <f ca="1">100+HLOOKUP(U$4,$D$7:$P$336,$R251,FALSE)-HLOOKUP(U$3,$D$7:$P$336,$R251,FALSE)</f>
        <v>86.8</v>
      </c>
      <c r="V251" s="60">
        <f ca="1">100+HLOOKUP(V$4,$D$7:$P$336,$R251,FALSE)-HLOOKUP(V$3,$D$7:$P$336,$R251,FALSE)</f>
        <v>86.8</v>
      </c>
      <c r="W251" s="60">
        <f ca="1">100+HLOOKUP(W$4,$D$7:$P$336,$R251,FALSE)-HLOOKUP(W$3,$D$7:$P$336,$R251,FALSE)</f>
        <v>84.11</v>
      </c>
      <c r="X251" s="60">
        <f ca="1">100+HLOOKUP(X$4,$D$7:$P$336,$R251,FALSE)-HLOOKUP(X$3,$D$7:$P$336,$R251,FALSE)</f>
        <v>86.8</v>
      </c>
      <c r="Y251" s="60">
        <f ca="1">100+HLOOKUP(Y$4,$D$7:$P$336,$R251,FALSE)-HLOOKUP(Y$3,$D$7:$P$336,$R251,FALSE)</f>
        <v>76.05</v>
      </c>
      <c r="Z251" s="60">
        <f ca="1">100+HLOOKUP(Z$4,$D$7:$P$336,$R251,FALSE)-HLOOKUP(Z$3,$D$7:$P$336,$R251,FALSE)</f>
        <v>86.8</v>
      </c>
      <c r="AA251" s="60">
        <f ca="1">100+HLOOKUP(AA$4,$D$7:$P$336,$R251,FALSE)-HLOOKUP(AA$3,$D$7:$P$336,$R251,FALSE)</f>
        <v>86.8</v>
      </c>
      <c r="AB251" s="60">
        <f ca="1">100+HLOOKUP(AB$4,$D$7:$P$336,$R251,FALSE)-HLOOKUP(AB$3,$D$7:$P$336,$R251,FALSE)</f>
        <v>84.11</v>
      </c>
      <c r="AC251" s="60">
        <f ca="1">100+HLOOKUP(AC$4,$D$7:$P$336,$R251,FALSE)-HLOOKUP(AC$3,$D$7:$P$336,$R251,FALSE)</f>
        <v>106.35000000000001</v>
      </c>
      <c r="AD251" s="60">
        <f ca="1">100+HLOOKUP(AD$4,$D$7:$P$336,$R251,FALSE)-HLOOKUP(AD$3,$D$7:$P$336,$R251,FALSE)</f>
        <v>117.11</v>
      </c>
      <c r="AE251" s="60">
        <f ca="1">100+HLOOKUP(AE$4,$D$7:$P$336,$R251,FALSE)-HLOOKUP(AE$3,$D$7:$P$336,$R251,FALSE)</f>
        <v>117.11</v>
      </c>
      <c r="AF251" s="60">
        <f ca="1">100+HLOOKUP(AF$4,$D$7:$P$336,$R251,FALSE)-HLOOKUP(AF$3,$D$7:$P$336,$R251,FALSE)</f>
        <v>106.36</v>
      </c>
      <c r="AG251" s="60">
        <f ca="1">100+HLOOKUP(AG$4,$D$7:$P$336,$R251,FALSE)-HLOOKUP(AG$3,$D$7:$P$336,$R251,FALSE)</f>
        <v>86.8</v>
      </c>
      <c r="AH251" s="60" t="e">
        <f>100+HLOOKUP(AH$4,$D$7:$P$336,$R251,FALSE)-HLOOKUP(AH$3,$D$7:$P$336,$R251,FALSE)</f>
        <v>#N/A</v>
      </c>
      <c r="AI251" s="60" t="e">
        <f>100+HLOOKUP(AI$4,$D$7:$P$336,$R251,FALSE)-HLOOKUP(AI$3,$D$7:$P$336,$R251,FALSE)</f>
        <v>#N/A</v>
      </c>
      <c r="AJ251" s="60" t="e">
        <f>100+HLOOKUP(AJ$4,$D$7:$P$336,$R251,FALSE)-HLOOKUP(AJ$3,$D$7:$P$336,$R251,FALSE)</f>
        <v>#N/A</v>
      </c>
      <c r="AK251" s="60" t="e">
        <f>100+HLOOKUP(AK$4,$D$7:$P$336,$R251,FALSE)-HLOOKUP(AK$3,$D$7:$P$336,$R251,FALSE)</f>
        <v>#N/A</v>
      </c>
      <c r="AL251" s="60" t="e">
        <f>100+HLOOKUP(AL$4,$D$7:$P$336,$R251,FALSE)-HLOOKUP(AL$3,$D$7:$P$336,$R251,FALSE)</f>
        <v>#N/A</v>
      </c>
      <c r="AM251" s="60" t="e">
        <f>100+HLOOKUP(AM$4,$D$7:$P$336,$R251,FALSE)-HLOOKUP(AM$3,$D$7:$P$336,$R251,FALSE)</f>
        <v>#N/A</v>
      </c>
      <c r="AN251" s="60" t="e">
        <f>100+HLOOKUP(AN$4,$D$7:$P$336,$R251,FALSE)-HLOOKUP(AN$3,$D$7:$P$336,$R251,FALSE)</f>
        <v>#N/A</v>
      </c>
      <c r="AO251" s="60" t="e">
        <f>100+HLOOKUP(AO$4,$D$7:$P$336,$R251,FALSE)-HLOOKUP(AO$3,$D$7:$P$336,$R251,FALSE)</f>
        <v>#N/A</v>
      </c>
      <c r="AP251" s="60" t="e">
        <f>100+HLOOKUP(AP$4,$D$7:$P$336,$R251,FALSE)-HLOOKUP(AP$3,$D$7:$P$336,$R251,FALSE)</f>
        <v>#N/A</v>
      </c>
      <c r="AQ251" s="60" t="e">
        <f>100+HLOOKUP(AQ$4,$D$7:$P$336,$R251,FALSE)-HLOOKUP(AQ$3,$D$7:$P$336,$R251,FALSE)</f>
        <v>#N/A</v>
      </c>
      <c r="AV251" s="60">
        <f ca="1">AV$5-S251</f>
        <v>16.390399426796435</v>
      </c>
      <c r="AW251" s="60">
        <f ca="1">AW$5-T251</f>
        <v>18.170650529757751</v>
      </c>
      <c r="AX251" s="60">
        <f ca="1">AX$5-U251</f>
        <v>14.975915403668054</v>
      </c>
      <c r="AY251" s="60">
        <f ca="1">AY$5-V251</f>
        <v>6.803014401527804</v>
      </c>
      <c r="AZ251" s="60">
        <f ca="1">AZ$5-W251</f>
        <v>13.344482172596031</v>
      </c>
      <c r="BA251" s="60">
        <f ca="1">BA$5-X251</f>
        <v>11.665059058982706</v>
      </c>
      <c r="BB251" s="60">
        <f ca="1">BB$5-Y251</f>
        <v>17.30059272738113</v>
      </c>
      <c r="BC251" s="60">
        <f ca="1">BC$5-Z251</f>
        <v>20.637465909882167</v>
      </c>
      <c r="BD251" s="60">
        <f ca="1">BD$5-AA251</f>
        <v>11.136518664382365</v>
      </c>
      <c r="BE251" s="60">
        <f ca="1">BE$5-AB251</f>
        <v>7.7193905919921946</v>
      </c>
      <c r="BF251" s="60">
        <f ca="1">BF$5-AC251</f>
        <v>-5.3326956835229282</v>
      </c>
      <c r="BG251" s="60">
        <f ca="1">BG$5-AD251</f>
        <v>-13.12474129498149</v>
      </c>
      <c r="BH251" s="60">
        <f ca="1">BH$5-AE251</f>
        <v>-18.155407769632433</v>
      </c>
      <c r="BI251" s="60">
        <f ca="1">BI$5-AF251</f>
        <v>-15.751494488745195</v>
      </c>
      <c r="BJ251" s="60">
        <f ca="1">BJ$5-AG251</f>
        <v>4.6395510576787728</v>
      </c>
      <c r="BK251" s="60" t="e">
        <f>BK$5-AH251</f>
        <v>#N/A</v>
      </c>
      <c r="BL251" s="60" t="e">
        <f>BL$5-AI251</f>
        <v>#N/A</v>
      </c>
      <c r="BM251" s="60" t="e">
        <f>BM$5-AJ251</f>
        <v>#N/A</v>
      </c>
      <c r="BN251" s="60" t="e">
        <f>BN$5-AK251</f>
        <v>#N/A</v>
      </c>
      <c r="BO251" s="60" t="e">
        <f>BO$5-AL251</f>
        <v>#N/A</v>
      </c>
      <c r="BP251" s="60" t="e">
        <f>BP$5-AM251</f>
        <v>#N/A</v>
      </c>
      <c r="BQ251" s="60" t="e">
        <f>BQ$5-AN251</f>
        <v>#N/A</v>
      </c>
      <c r="BR251" s="60" t="e">
        <f>BR$5-AO251</f>
        <v>#N/A</v>
      </c>
      <c r="BS251" s="60" t="e">
        <f>BS$5-AP251</f>
        <v>#N/A</v>
      </c>
      <c r="BT251" s="60" t="e">
        <f>BT$5-AQ251</f>
        <v>#N/A</v>
      </c>
      <c r="BV251" s="60" cm="1">
        <f t="array" aca="1" ref="BV251" ca="1">SQRT(SUMSQ(_xlfn._xlws.FILTER(AV251:BT251,ISNUMBER(AV251:BT251)))/COUNT(_xlfn._xlws.FILTER(AV251:BT251,ISNUMBER(AV251:BT251))))</f>
        <v>13.885970033787867</v>
      </c>
    </row>
    <row r="252" spans="3:74" x14ac:dyDescent="0.2">
      <c r="C252" s="60" t="s">
        <v>385</v>
      </c>
      <c r="D252" s="60">
        <v>0</v>
      </c>
      <c r="E252" s="60">
        <v>-2.34</v>
      </c>
      <c r="F252" s="60">
        <v>-6.11</v>
      </c>
      <c r="G252" s="60">
        <v>-7.99</v>
      </c>
      <c r="H252" s="60">
        <v>-11.16</v>
      </c>
      <c r="I252" s="60">
        <v>-11.8</v>
      </c>
      <c r="J252" s="60">
        <v>-14.35</v>
      </c>
      <c r="K252" s="60">
        <v>-15.45</v>
      </c>
      <c r="L252" s="60">
        <v>-17.579999999999998</v>
      </c>
      <c r="M252" s="60">
        <v>5.73</v>
      </c>
      <c r="N252" s="60">
        <v>4.0999999999999996</v>
      </c>
      <c r="O252" s="60">
        <v>1.25</v>
      </c>
      <c r="P252" s="60">
        <v>0</v>
      </c>
      <c r="R252" s="61">
        <f>(ROW(R252)-ROW($C$6))</f>
        <v>246</v>
      </c>
      <c r="S252" s="60">
        <f ca="1">100+HLOOKUP(S$4,$D$7:$P$336,$R252,FALSE)-HLOOKUP(S$3,$D$7:$P$336,$R252,FALSE)</f>
        <v>83.11</v>
      </c>
      <c r="T252" s="60">
        <f ca="1">100+HLOOKUP(T$4,$D$7:$P$336,$R252,FALSE)-HLOOKUP(T$3,$D$7:$P$336,$R252,FALSE)</f>
        <v>84.4</v>
      </c>
      <c r="U252" s="60">
        <f ca="1">100+HLOOKUP(U$4,$D$7:$P$336,$R252,FALSE)-HLOOKUP(U$3,$D$7:$P$336,$R252,FALSE)</f>
        <v>84.76</v>
      </c>
      <c r="V252" s="60">
        <f ca="1">100+HLOOKUP(V$4,$D$7:$P$336,$R252,FALSE)-HLOOKUP(V$3,$D$7:$P$336,$R252,FALSE)</f>
        <v>84.100000000000009</v>
      </c>
      <c r="W252" s="60">
        <f ca="1">100+HLOOKUP(W$4,$D$7:$P$336,$R252,FALSE)-HLOOKUP(W$3,$D$7:$P$336,$R252,FALSE)</f>
        <v>84.55</v>
      </c>
      <c r="X252" s="60">
        <f ca="1">100+HLOOKUP(X$4,$D$7:$P$336,$R252,FALSE)-HLOOKUP(X$3,$D$7:$P$336,$R252,FALSE)</f>
        <v>83.11</v>
      </c>
      <c r="Y252" s="60">
        <f ca="1">100+HLOOKUP(Y$4,$D$7:$P$336,$R252,FALSE)-HLOOKUP(Y$3,$D$7:$P$336,$R252,FALSE)</f>
        <v>84.4</v>
      </c>
      <c r="Z252" s="60">
        <f ca="1">100+HLOOKUP(Z$4,$D$7:$P$336,$R252,FALSE)-HLOOKUP(Z$3,$D$7:$P$336,$R252,FALSE)</f>
        <v>84.76</v>
      </c>
      <c r="AA252" s="60">
        <f ca="1">100+HLOOKUP(AA$4,$D$7:$P$336,$R252,FALSE)-HLOOKUP(AA$3,$D$7:$P$336,$R252,FALSE)</f>
        <v>84.100000000000009</v>
      </c>
      <c r="AB252" s="60">
        <f ca="1">100+HLOOKUP(AB$4,$D$7:$P$336,$R252,FALSE)-HLOOKUP(AB$3,$D$7:$P$336,$R252,FALSE)</f>
        <v>84.55</v>
      </c>
      <c r="AC252" s="60">
        <f ca="1">100+HLOOKUP(AC$4,$D$7:$P$336,$R252,FALSE)-HLOOKUP(AC$3,$D$7:$P$336,$R252,FALSE)</f>
        <v>111.84</v>
      </c>
      <c r="AD252" s="60">
        <f ca="1">100+HLOOKUP(AD$4,$D$7:$P$336,$R252,FALSE)-HLOOKUP(AD$3,$D$7:$P$336,$R252,FALSE)</f>
        <v>112.41</v>
      </c>
      <c r="AE252" s="60">
        <f ca="1">100+HLOOKUP(AE$4,$D$7:$P$336,$R252,FALSE)-HLOOKUP(AE$3,$D$7:$P$336,$R252,FALSE)</f>
        <v>112.00999999999999</v>
      </c>
      <c r="AF252" s="60">
        <f ca="1">100+HLOOKUP(AF$4,$D$7:$P$336,$R252,FALSE)-HLOOKUP(AF$3,$D$7:$P$336,$R252,FALSE)</f>
        <v>109.59</v>
      </c>
      <c r="AG252" s="60">
        <f ca="1">100+HLOOKUP(AG$4,$D$7:$P$336,$R252,FALSE)-HLOOKUP(AG$3,$D$7:$P$336,$R252,FALSE)</f>
        <v>84.100000000000009</v>
      </c>
      <c r="AH252" s="60" t="e">
        <f>100+HLOOKUP(AH$4,$D$7:$P$336,$R252,FALSE)-HLOOKUP(AH$3,$D$7:$P$336,$R252,FALSE)</f>
        <v>#N/A</v>
      </c>
      <c r="AI252" s="60" t="e">
        <f>100+HLOOKUP(AI$4,$D$7:$P$336,$R252,FALSE)-HLOOKUP(AI$3,$D$7:$P$336,$R252,FALSE)</f>
        <v>#N/A</v>
      </c>
      <c r="AJ252" s="60" t="e">
        <f>100+HLOOKUP(AJ$4,$D$7:$P$336,$R252,FALSE)-HLOOKUP(AJ$3,$D$7:$P$336,$R252,FALSE)</f>
        <v>#N/A</v>
      </c>
      <c r="AK252" s="60" t="e">
        <f>100+HLOOKUP(AK$4,$D$7:$P$336,$R252,FALSE)-HLOOKUP(AK$3,$D$7:$P$336,$R252,FALSE)</f>
        <v>#N/A</v>
      </c>
      <c r="AL252" s="60" t="e">
        <f>100+HLOOKUP(AL$4,$D$7:$P$336,$R252,FALSE)-HLOOKUP(AL$3,$D$7:$P$336,$R252,FALSE)</f>
        <v>#N/A</v>
      </c>
      <c r="AM252" s="60" t="e">
        <f>100+HLOOKUP(AM$4,$D$7:$P$336,$R252,FALSE)-HLOOKUP(AM$3,$D$7:$P$336,$R252,FALSE)</f>
        <v>#N/A</v>
      </c>
      <c r="AN252" s="60" t="e">
        <f>100+HLOOKUP(AN$4,$D$7:$P$336,$R252,FALSE)-HLOOKUP(AN$3,$D$7:$P$336,$R252,FALSE)</f>
        <v>#N/A</v>
      </c>
      <c r="AO252" s="60" t="e">
        <f>100+HLOOKUP(AO$4,$D$7:$P$336,$R252,FALSE)-HLOOKUP(AO$3,$D$7:$P$336,$R252,FALSE)</f>
        <v>#N/A</v>
      </c>
      <c r="AP252" s="60" t="e">
        <f>100+HLOOKUP(AP$4,$D$7:$P$336,$R252,FALSE)-HLOOKUP(AP$3,$D$7:$P$336,$R252,FALSE)</f>
        <v>#N/A</v>
      </c>
      <c r="AQ252" s="60" t="e">
        <f>100+HLOOKUP(AQ$4,$D$7:$P$336,$R252,FALSE)-HLOOKUP(AQ$3,$D$7:$P$336,$R252,FALSE)</f>
        <v>#N/A</v>
      </c>
      <c r="AV252" s="60">
        <f ca="1">AV$5-S252</f>
        <v>20.080399426796433</v>
      </c>
      <c r="AW252" s="60">
        <f ca="1">AW$5-T252</f>
        <v>9.8206505297577422</v>
      </c>
      <c r="AX252" s="60">
        <f ca="1">AX$5-U252</f>
        <v>17.015915403668046</v>
      </c>
      <c r="AY252" s="60">
        <f ca="1">AY$5-V252</f>
        <v>9.5030144015277926</v>
      </c>
      <c r="AZ252" s="60">
        <f ca="1">AZ$5-W252</f>
        <v>12.904482172596033</v>
      </c>
      <c r="BA252" s="60">
        <f ca="1">BA$5-X252</f>
        <v>15.355059058982704</v>
      </c>
      <c r="BB252" s="60">
        <f ca="1">BB$5-Y252</f>
        <v>8.950592727381121</v>
      </c>
      <c r="BC252" s="60">
        <f ca="1">BC$5-Z252</f>
        <v>22.677465909882159</v>
      </c>
      <c r="BD252" s="60">
        <f ca="1">BD$5-AA252</f>
        <v>13.836518664382353</v>
      </c>
      <c r="BE252" s="60">
        <f ca="1">BE$5-AB252</f>
        <v>7.2793905919921968</v>
      </c>
      <c r="BF252" s="60">
        <f ca="1">BF$5-AC252</f>
        <v>-10.822695683522923</v>
      </c>
      <c r="BG252" s="60">
        <f ca="1">BG$5-AD252</f>
        <v>-8.4247412949814873</v>
      </c>
      <c r="BH252" s="60">
        <f ca="1">BH$5-AE252</f>
        <v>-13.055407769632424</v>
      </c>
      <c r="BI252" s="60">
        <f ca="1">BI$5-AF252</f>
        <v>-18.981494488745199</v>
      </c>
      <c r="BJ252" s="60">
        <f ca="1">BJ$5-AG252</f>
        <v>7.3395510576787615</v>
      </c>
      <c r="BK252" s="60" t="e">
        <f>BK$5-AH252</f>
        <v>#N/A</v>
      </c>
      <c r="BL252" s="60" t="e">
        <f>BL$5-AI252</f>
        <v>#N/A</v>
      </c>
      <c r="BM252" s="60" t="e">
        <f>BM$5-AJ252</f>
        <v>#N/A</v>
      </c>
      <c r="BN252" s="60" t="e">
        <f>BN$5-AK252</f>
        <v>#N/A</v>
      </c>
      <c r="BO252" s="60" t="e">
        <f>BO$5-AL252</f>
        <v>#N/A</v>
      </c>
      <c r="BP252" s="60" t="e">
        <f>BP$5-AM252</f>
        <v>#N/A</v>
      </c>
      <c r="BQ252" s="60" t="e">
        <f>BQ$5-AN252</f>
        <v>#N/A</v>
      </c>
      <c r="BR252" s="60" t="e">
        <f>BR$5-AO252</f>
        <v>#N/A</v>
      </c>
      <c r="BS252" s="60" t="e">
        <f>BS$5-AP252</f>
        <v>#N/A</v>
      </c>
      <c r="BT252" s="60" t="e">
        <f>BT$5-AQ252</f>
        <v>#N/A</v>
      </c>
      <c r="BV252" s="60" cm="1">
        <f t="array" aca="1" ref="BV252" ca="1">SQRT(SUMSQ(_xlfn._xlws.FILTER(AV252:BT252,ISNUMBER(AV252:BT252)))/COUNT(_xlfn._xlws.FILTER(AV252:BT252,ISNUMBER(AV252:BT252))))</f>
        <v>13.888498708146429</v>
      </c>
    </row>
    <row r="253" spans="3:74" x14ac:dyDescent="0.2">
      <c r="C253" s="60" t="s">
        <v>497</v>
      </c>
      <c r="D253" s="60">
        <v>0</v>
      </c>
      <c r="E253" s="60">
        <v>-3</v>
      </c>
      <c r="F253" s="60">
        <v>-7</v>
      </c>
      <c r="G253" s="60">
        <v>-10</v>
      </c>
      <c r="H253" s="60">
        <v>-14</v>
      </c>
      <c r="I253" s="60">
        <v>-17</v>
      </c>
      <c r="J253" s="60">
        <v>-17</v>
      </c>
      <c r="K253" s="60">
        <v>-16</v>
      </c>
      <c r="L253" s="60">
        <v>-14</v>
      </c>
      <c r="M253" s="60">
        <v>-6</v>
      </c>
      <c r="N253" s="60">
        <v>7</v>
      </c>
      <c r="O253" s="60">
        <v>3</v>
      </c>
      <c r="P253" s="60">
        <v>0</v>
      </c>
      <c r="R253" s="61">
        <f>(ROW(R253)-ROW($C$6))</f>
        <v>247</v>
      </c>
      <c r="S253" s="60">
        <f ca="1">100+HLOOKUP(S$4,$D$7:$P$336,$R253,FALSE)-HLOOKUP(S$3,$D$7:$P$336,$R253,FALSE)</f>
        <v>92</v>
      </c>
      <c r="T253" s="60">
        <f ca="1">100+HLOOKUP(T$4,$D$7:$P$336,$R253,FALSE)-HLOOKUP(T$3,$D$7:$P$336,$R253,FALSE)</f>
        <v>80</v>
      </c>
      <c r="U253" s="60">
        <f ca="1">100+HLOOKUP(U$4,$D$7:$P$336,$R253,FALSE)-HLOOKUP(U$3,$D$7:$P$336,$R253,FALSE)</f>
        <v>89</v>
      </c>
      <c r="V253" s="60">
        <f ca="1">100+HLOOKUP(V$4,$D$7:$P$336,$R253,FALSE)-HLOOKUP(V$3,$D$7:$P$336,$R253,FALSE)</f>
        <v>76</v>
      </c>
      <c r="W253" s="60">
        <f ca="1">100+HLOOKUP(W$4,$D$7:$P$336,$R253,FALSE)-HLOOKUP(W$3,$D$7:$P$336,$R253,FALSE)</f>
        <v>84</v>
      </c>
      <c r="X253" s="60">
        <f ca="1">100+HLOOKUP(X$4,$D$7:$P$336,$R253,FALSE)-HLOOKUP(X$3,$D$7:$P$336,$R253,FALSE)</f>
        <v>92</v>
      </c>
      <c r="Y253" s="60">
        <f ca="1">100+HLOOKUP(Y$4,$D$7:$P$336,$R253,FALSE)-HLOOKUP(Y$3,$D$7:$P$336,$R253,FALSE)</f>
        <v>80</v>
      </c>
      <c r="Z253" s="60">
        <f ca="1">100+HLOOKUP(Z$4,$D$7:$P$336,$R253,FALSE)-HLOOKUP(Z$3,$D$7:$P$336,$R253,FALSE)</f>
        <v>89</v>
      </c>
      <c r="AA253" s="60">
        <f ca="1">100+HLOOKUP(AA$4,$D$7:$P$336,$R253,FALSE)-HLOOKUP(AA$3,$D$7:$P$336,$R253,FALSE)</f>
        <v>76</v>
      </c>
      <c r="AB253" s="60">
        <f ca="1">100+HLOOKUP(AB$4,$D$7:$P$336,$R253,FALSE)-HLOOKUP(AB$3,$D$7:$P$336,$R253,FALSE)</f>
        <v>84</v>
      </c>
      <c r="AC253" s="60">
        <f ca="1">100+HLOOKUP(AC$4,$D$7:$P$336,$R253,FALSE)-HLOOKUP(AC$3,$D$7:$P$336,$R253,FALSE)</f>
        <v>101</v>
      </c>
      <c r="AD253" s="60">
        <f ca="1">100+HLOOKUP(AD$4,$D$7:$P$336,$R253,FALSE)-HLOOKUP(AD$3,$D$7:$P$336,$R253,FALSE)</f>
        <v>117</v>
      </c>
      <c r="AE253" s="60">
        <f ca="1">100+HLOOKUP(AE$4,$D$7:$P$336,$R253,FALSE)-HLOOKUP(AE$3,$D$7:$P$336,$R253,FALSE)</f>
        <v>114</v>
      </c>
      <c r="AF253" s="60">
        <f ca="1">100+HLOOKUP(AF$4,$D$7:$P$336,$R253,FALSE)-HLOOKUP(AF$3,$D$7:$P$336,$R253,FALSE)</f>
        <v>104</v>
      </c>
      <c r="AG253" s="60">
        <f ca="1">100+HLOOKUP(AG$4,$D$7:$P$336,$R253,FALSE)-HLOOKUP(AG$3,$D$7:$P$336,$R253,FALSE)</f>
        <v>76</v>
      </c>
      <c r="AH253" s="60" t="e">
        <f>100+HLOOKUP(AH$4,$D$7:$P$336,$R253,FALSE)-HLOOKUP(AH$3,$D$7:$P$336,$R253,FALSE)</f>
        <v>#N/A</v>
      </c>
      <c r="AI253" s="60" t="e">
        <f>100+HLOOKUP(AI$4,$D$7:$P$336,$R253,FALSE)-HLOOKUP(AI$3,$D$7:$P$336,$R253,FALSE)</f>
        <v>#N/A</v>
      </c>
      <c r="AJ253" s="60" t="e">
        <f>100+HLOOKUP(AJ$4,$D$7:$P$336,$R253,FALSE)-HLOOKUP(AJ$3,$D$7:$P$336,$R253,FALSE)</f>
        <v>#N/A</v>
      </c>
      <c r="AK253" s="60" t="e">
        <f>100+HLOOKUP(AK$4,$D$7:$P$336,$R253,FALSE)-HLOOKUP(AK$3,$D$7:$P$336,$R253,FALSE)</f>
        <v>#N/A</v>
      </c>
      <c r="AL253" s="60" t="e">
        <f>100+HLOOKUP(AL$4,$D$7:$P$336,$R253,FALSE)-HLOOKUP(AL$3,$D$7:$P$336,$R253,FALSE)</f>
        <v>#N/A</v>
      </c>
      <c r="AM253" s="60" t="e">
        <f>100+HLOOKUP(AM$4,$D$7:$P$336,$R253,FALSE)-HLOOKUP(AM$3,$D$7:$P$336,$R253,FALSE)</f>
        <v>#N/A</v>
      </c>
      <c r="AN253" s="60" t="e">
        <f>100+HLOOKUP(AN$4,$D$7:$P$336,$R253,FALSE)-HLOOKUP(AN$3,$D$7:$P$336,$R253,FALSE)</f>
        <v>#N/A</v>
      </c>
      <c r="AO253" s="60" t="e">
        <f>100+HLOOKUP(AO$4,$D$7:$P$336,$R253,FALSE)-HLOOKUP(AO$3,$D$7:$P$336,$R253,FALSE)</f>
        <v>#N/A</v>
      </c>
      <c r="AP253" s="60" t="e">
        <f>100+HLOOKUP(AP$4,$D$7:$P$336,$R253,FALSE)-HLOOKUP(AP$3,$D$7:$P$336,$R253,FALSE)</f>
        <v>#N/A</v>
      </c>
      <c r="AQ253" s="60" t="e">
        <f>100+HLOOKUP(AQ$4,$D$7:$P$336,$R253,FALSE)-HLOOKUP(AQ$3,$D$7:$P$336,$R253,FALSE)</f>
        <v>#N/A</v>
      </c>
      <c r="AV253" s="60">
        <f ca="1">AV$5-S253</f>
        <v>11.190399426796432</v>
      </c>
      <c r="AW253" s="60">
        <f ca="1">AW$5-T253</f>
        <v>14.220650529757748</v>
      </c>
      <c r="AX253" s="60">
        <f ca="1">AX$5-U253</f>
        <v>12.775915403668051</v>
      </c>
      <c r="AY253" s="60">
        <f ca="1">AY$5-V253</f>
        <v>17.603014401527801</v>
      </c>
      <c r="AZ253" s="60">
        <f ca="1">AZ$5-W253</f>
        <v>13.45448217259603</v>
      </c>
      <c r="BA253" s="60">
        <f ca="1">BA$5-X253</f>
        <v>6.4650590589827033</v>
      </c>
      <c r="BB253" s="60">
        <f ca="1">BB$5-Y253</f>
        <v>13.350592727381127</v>
      </c>
      <c r="BC253" s="60">
        <f ca="1">BC$5-Z253</f>
        <v>18.437465909882164</v>
      </c>
      <c r="BD253" s="60">
        <f ca="1">BD$5-AA253</f>
        <v>21.936518664382362</v>
      </c>
      <c r="BE253" s="60">
        <f ca="1">BE$5-AB253</f>
        <v>7.829390591992194</v>
      </c>
      <c r="BF253" s="60">
        <f ca="1">BF$5-AC253</f>
        <v>1.7304316477080306E-2</v>
      </c>
      <c r="BG253" s="60">
        <f ca="1">BG$5-AD253</f>
        <v>-13.014741294981491</v>
      </c>
      <c r="BH253" s="60">
        <f ca="1">BH$5-AE253</f>
        <v>-15.045407769632433</v>
      </c>
      <c r="BI253" s="60">
        <f ca="1">BI$5-AF253</f>
        <v>-13.391494488745195</v>
      </c>
      <c r="BJ253" s="60">
        <f ca="1">BJ$5-AG253</f>
        <v>15.43955105767877</v>
      </c>
      <c r="BK253" s="60" t="e">
        <f>BK$5-AH253</f>
        <v>#N/A</v>
      </c>
      <c r="BL253" s="60" t="e">
        <f>BL$5-AI253</f>
        <v>#N/A</v>
      </c>
      <c r="BM253" s="60" t="e">
        <f>BM$5-AJ253</f>
        <v>#N/A</v>
      </c>
      <c r="BN253" s="60" t="e">
        <f>BN$5-AK253</f>
        <v>#N/A</v>
      </c>
      <c r="BO253" s="60" t="e">
        <f>BO$5-AL253</f>
        <v>#N/A</v>
      </c>
      <c r="BP253" s="60" t="e">
        <f>BP$5-AM253</f>
        <v>#N/A</v>
      </c>
      <c r="BQ253" s="60" t="e">
        <f>BQ$5-AN253</f>
        <v>#N/A</v>
      </c>
      <c r="BR253" s="60" t="e">
        <f>BR$5-AO253</f>
        <v>#N/A</v>
      </c>
      <c r="BS253" s="60" t="e">
        <f>BS$5-AP253</f>
        <v>#N/A</v>
      </c>
      <c r="BT253" s="60" t="e">
        <f>BT$5-AQ253</f>
        <v>#N/A</v>
      </c>
      <c r="BV253" s="60" cm="1">
        <f t="array" aca="1" ref="BV253" ca="1">SQRT(SUMSQ(_xlfn._xlws.FILTER(AV253:BT253,ISNUMBER(AV253:BT253)))/COUNT(_xlfn._xlws.FILTER(AV253:BT253,ISNUMBER(AV253:BT253))))</f>
        <v>13.898467015684009</v>
      </c>
    </row>
    <row r="254" spans="3:74" x14ac:dyDescent="0.2">
      <c r="C254" s="60" t="s">
        <v>384</v>
      </c>
      <c r="D254" s="60">
        <v>0</v>
      </c>
      <c r="E254" s="60">
        <v>-2</v>
      </c>
      <c r="F254" s="60">
        <v>-6</v>
      </c>
      <c r="G254" s="60">
        <v>-8</v>
      </c>
      <c r="H254" s="60">
        <v>-11</v>
      </c>
      <c r="I254" s="60">
        <v>-12</v>
      </c>
      <c r="J254" s="60">
        <v>-14</v>
      </c>
      <c r="K254" s="60">
        <v>-15</v>
      </c>
      <c r="L254" s="60">
        <v>-18</v>
      </c>
      <c r="M254" s="60">
        <v>6</v>
      </c>
      <c r="N254" s="60">
        <v>4</v>
      </c>
      <c r="O254" s="60">
        <v>1</v>
      </c>
      <c r="P254" s="60">
        <v>0</v>
      </c>
      <c r="R254" s="61">
        <f>(ROW(R254)-ROW($C$6))</f>
        <v>248</v>
      </c>
      <c r="S254" s="60">
        <f ca="1">100+HLOOKUP(S$4,$D$7:$P$336,$R254,FALSE)-HLOOKUP(S$3,$D$7:$P$336,$R254,FALSE)</f>
        <v>83</v>
      </c>
      <c r="T254" s="60">
        <f ca="1">100+HLOOKUP(T$4,$D$7:$P$336,$R254,FALSE)-HLOOKUP(T$3,$D$7:$P$336,$R254,FALSE)</f>
        <v>85</v>
      </c>
      <c r="U254" s="60">
        <f ca="1">100+HLOOKUP(U$4,$D$7:$P$336,$R254,FALSE)-HLOOKUP(U$3,$D$7:$P$336,$R254,FALSE)</f>
        <v>84</v>
      </c>
      <c r="V254" s="60">
        <f ca="1">100+HLOOKUP(V$4,$D$7:$P$336,$R254,FALSE)-HLOOKUP(V$3,$D$7:$P$336,$R254,FALSE)</f>
        <v>84</v>
      </c>
      <c r="W254" s="60">
        <f ca="1">100+HLOOKUP(W$4,$D$7:$P$336,$R254,FALSE)-HLOOKUP(W$3,$D$7:$P$336,$R254,FALSE)</f>
        <v>85</v>
      </c>
      <c r="X254" s="60">
        <f ca="1">100+HLOOKUP(X$4,$D$7:$P$336,$R254,FALSE)-HLOOKUP(X$3,$D$7:$P$336,$R254,FALSE)</f>
        <v>83</v>
      </c>
      <c r="Y254" s="60">
        <f ca="1">100+HLOOKUP(Y$4,$D$7:$P$336,$R254,FALSE)-HLOOKUP(Y$3,$D$7:$P$336,$R254,FALSE)</f>
        <v>85</v>
      </c>
      <c r="Z254" s="60">
        <f ca="1">100+HLOOKUP(Z$4,$D$7:$P$336,$R254,FALSE)-HLOOKUP(Z$3,$D$7:$P$336,$R254,FALSE)</f>
        <v>84</v>
      </c>
      <c r="AA254" s="60">
        <f ca="1">100+HLOOKUP(AA$4,$D$7:$P$336,$R254,FALSE)-HLOOKUP(AA$3,$D$7:$P$336,$R254,FALSE)</f>
        <v>84</v>
      </c>
      <c r="AB254" s="60">
        <f ca="1">100+HLOOKUP(AB$4,$D$7:$P$336,$R254,FALSE)-HLOOKUP(AB$3,$D$7:$P$336,$R254,FALSE)</f>
        <v>85</v>
      </c>
      <c r="AC254" s="60">
        <f ca="1">100+HLOOKUP(AC$4,$D$7:$P$336,$R254,FALSE)-HLOOKUP(AC$3,$D$7:$P$336,$R254,FALSE)</f>
        <v>112</v>
      </c>
      <c r="AD254" s="60">
        <f ca="1">100+HLOOKUP(AD$4,$D$7:$P$336,$R254,FALSE)-HLOOKUP(AD$3,$D$7:$P$336,$R254,FALSE)</f>
        <v>112</v>
      </c>
      <c r="AE254" s="60">
        <f ca="1">100+HLOOKUP(AE$4,$D$7:$P$336,$R254,FALSE)-HLOOKUP(AE$3,$D$7:$P$336,$R254,FALSE)</f>
        <v>112</v>
      </c>
      <c r="AF254" s="60">
        <f ca="1">100+HLOOKUP(AF$4,$D$7:$P$336,$R254,FALSE)-HLOOKUP(AF$3,$D$7:$P$336,$R254,FALSE)</f>
        <v>110</v>
      </c>
      <c r="AG254" s="60">
        <f ca="1">100+HLOOKUP(AG$4,$D$7:$P$336,$R254,FALSE)-HLOOKUP(AG$3,$D$7:$P$336,$R254,FALSE)</f>
        <v>84</v>
      </c>
      <c r="AH254" s="60" t="e">
        <f>100+HLOOKUP(AH$4,$D$7:$P$336,$R254,FALSE)-HLOOKUP(AH$3,$D$7:$P$336,$R254,FALSE)</f>
        <v>#N/A</v>
      </c>
      <c r="AI254" s="60" t="e">
        <f>100+HLOOKUP(AI$4,$D$7:$P$336,$R254,FALSE)-HLOOKUP(AI$3,$D$7:$P$336,$R254,FALSE)</f>
        <v>#N/A</v>
      </c>
      <c r="AJ254" s="60" t="e">
        <f>100+HLOOKUP(AJ$4,$D$7:$P$336,$R254,FALSE)-HLOOKUP(AJ$3,$D$7:$P$336,$R254,FALSE)</f>
        <v>#N/A</v>
      </c>
      <c r="AK254" s="60" t="e">
        <f>100+HLOOKUP(AK$4,$D$7:$P$336,$R254,FALSE)-HLOOKUP(AK$3,$D$7:$P$336,$R254,FALSE)</f>
        <v>#N/A</v>
      </c>
      <c r="AL254" s="60" t="e">
        <f>100+HLOOKUP(AL$4,$D$7:$P$336,$R254,FALSE)-HLOOKUP(AL$3,$D$7:$P$336,$R254,FALSE)</f>
        <v>#N/A</v>
      </c>
      <c r="AM254" s="60" t="e">
        <f>100+HLOOKUP(AM$4,$D$7:$P$336,$R254,FALSE)-HLOOKUP(AM$3,$D$7:$P$336,$R254,FALSE)</f>
        <v>#N/A</v>
      </c>
      <c r="AN254" s="60" t="e">
        <f>100+HLOOKUP(AN$4,$D$7:$P$336,$R254,FALSE)-HLOOKUP(AN$3,$D$7:$P$336,$R254,FALSE)</f>
        <v>#N/A</v>
      </c>
      <c r="AO254" s="60" t="e">
        <f>100+HLOOKUP(AO$4,$D$7:$P$336,$R254,FALSE)-HLOOKUP(AO$3,$D$7:$P$336,$R254,FALSE)</f>
        <v>#N/A</v>
      </c>
      <c r="AP254" s="60" t="e">
        <f>100+HLOOKUP(AP$4,$D$7:$P$336,$R254,FALSE)-HLOOKUP(AP$3,$D$7:$P$336,$R254,FALSE)</f>
        <v>#N/A</v>
      </c>
      <c r="AQ254" s="60" t="e">
        <f>100+HLOOKUP(AQ$4,$D$7:$P$336,$R254,FALSE)-HLOOKUP(AQ$3,$D$7:$P$336,$R254,FALSE)</f>
        <v>#N/A</v>
      </c>
      <c r="AV254" s="60">
        <f ca="1">AV$5-S254</f>
        <v>20.190399426796432</v>
      </c>
      <c r="AW254" s="60">
        <f ca="1">AW$5-T254</f>
        <v>9.2206505297577479</v>
      </c>
      <c r="AX254" s="60">
        <f ca="1">AX$5-U254</f>
        <v>17.775915403668051</v>
      </c>
      <c r="AY254" s="60">
        <f ca="1">AY$5-V254</f>
        <v>9.6030144015278012</v>
      </c>
      <c r="AZ254" s="60">
        <f ca="1">AZ$5-W254</f>
        <v>12.45448217259603</v>
      </c>
      <c r="BA254" s="60">
        <f ca="1">BA$5-X254</f>
        <v>15.465059058982703</v>
      </c>
      <c r="BB254" s="60">
        <f ca="1">BB$5-Y254</f>
        <v>8.3505927273811267</v>
      </c>
      <c r="BC254" s="60">
        <f ca="1">BC$5-Z254</f>
        <v>23.437465909882164</v>
      </c>
      <c r="BD254" s="60">
        <f ca="1">BD$5-AA254</f>
        <v>13.936518664382362</v>
      </c>
      <c r="BE254" s="60">
        <f ca="1">BE$5-AB254</f>
        <v>6.829390591992194</v>
      </c>
      <c r="BF254" s="60">
        <f ca="1">BF$5-AC254</f>
        <v>-10.98269568352292</v>
      </c>
      <c r="BG254" s="60">
        <f ca="1">BG$5-AD254</f>
        <v>-8.0147412949814907</v>
      </c>
      <c r="BH254" s="60">
        <f ca="1">BH$5-AE254</f>
        <v>-13.045407769632433</v>
      </c>
      <c r="BI254" s="60">
        <f ca="1">BI$5-AF254</f>
        <v>-19.391494488745195</v>
      </c>
      <c r="BJ254" s="60">
        <f ca="1">BJ$5-AG254</f>
        <v>7.43955105767877</v>
      </c>
      <c r="BK254" s="60" t="e">
        <f>BK$5-AH254</f>
        <v>#N/A</v>
      </c>
      <c r="BL254" s="60" t="e">
        <f>BL$5-AI254</f>
        <v>#N/A</v>
      </c>
      <c r="BM254" s="60" t="e">
        <f>BM$5-AJ254</f>
        <v>#N/A</v>
      </c>
      <c r="BN254" s="60" t="e">
        <f>BN$5-AK254</f>
        <v>#N/A</v>
      </c>
      <c r="BO254" s="60" t="e">
        <f>BO$5-AL254</f>
        <v>#N/A</v>
      </c>
      <c r="BP254" s="60" t="e">
        <f>BP$5-AM254</f>
        <v>#N/A</v>
      </c>
      <c r="BQ254" s="60" t="e">
        <f>BQ$5-AN254</f>
        <v>#N/A</v>
      </c>
      <c r="BR254" s="60" t="e">
        <f>BR$5-AO254</f>
        <v>#N/A</v>
      </c>
      <c r="BS254" s="60" t="e">
        <f>BS$5-AP254</f>
        <v>#N/A</v>
      </c>
      <c r="BT254" s="60" t="e">
        <f>BT$5-AQ254</f>
        <v>#N/A</v>
      </c>
      <c r="BV254" s="60" cm="1">
        <f t="array" aca="1" ref="BV254" ca="1">SQRT(SUMSQ(_xlfn._xlws.FILTER(AV254:BT254,ISNUMBER(AV254:BT254)))/COUNT(_xlfn._xlws.FILTER(AV254:BT254,ISNUMBER(AV254:BT254))))</f>
        <v>14.003536499676278</v>
      </c>
    </row>
    <row r="255" spans="3:74" x14ac:dyDescent="0.2">
      <c r="C255" s="60" t="s">
        <v>389</v>
      </c>
      <c r="D255" s="60">
        <v>0</v>
      </c>
      <c r="E255" s="60">
        <v>-4</v>
      </c>
      <c r="F255" s="60">
        <v>-6</v>
      </c>
      <c r="G255" s="60">
        <v>-9</v>
      </c>
      <c r="H255" s="60">
        <v>-10</v>
      </c>
      <c r="I255" s="60">
        <v>-13</v>
      </c>
      <c r="J255" s="60">
        <v>-14</v>
      </c>
      <c r="K255" s="60">
        <v>-16</v>
      </c>
      <c r="L255" s="60">
        <v>-20</v>
      </c>
      <c r="M255" s="60">
        <v>6</v>
      </c>
      <c r="N255" s="60">
        <v>3</v>
      </c>
      <c r="O255" s="60">
        <v>2</v>
      </c>
      <c r="P255" s="60">
        <v>0</v>
      </c>
      <c r="R255" s="61">
        <f>(ROW(R255)-ROW($C$6))</f>
        <v>249</v>
      </c>
      <c r="S255" s="60">
        <f ca="1">100+HLOOKUP(S$4,$D$7:$P$336,$R255,FALSE)-HLOOKUP(S$3,$D$7:$P$336,$R255,FALSE)</f>
        <v>84</v>
      </c>
      <c r="T255" s="60">
        <f ca="1">100+HLOOKUP(T$4,$D$7:$P$336,$R255,FALSE)-HLOOKUP(T$3,$D$7:$P$336,$R255,FALSE)</f>
        <v>84</v>
      </c>
      <c r="U255" s="60">
        <f ca="1">100+HLOOKUP(U$4,$D$7:$P$336,$R255,FALSE)-HLOOKUP(U$3,$D$7:$P$336,$R255,FALSE)</f>
        <v>84</v>
      </c>
      <c r="V255" s="60">
        <f ca="1">100+HLOOKUP(V$4,$D$7:$P$336,$R255,FALSE)-HLOOKUP(V$3,$D$7:$P$336,$R255,FALSE)</f>
        <v>84</v>
      </c>
      <c r="W255" s="60">
        <f ca="1">100+HLOOKUP(W$4,$D$7:$P$336,$R255,FALSE)-HLOOKUP(W$3,$D$7:$P$336,$R255,FALSE)</f>
        <v>84</v>
      </c>
      <c r="X255" s="60">
        <f ca="1">100+HLOOKUP(X$4,$D$7:$P$336,$R255,FALSE)-HLOOKUP(X$3,$D$7:$P$336,$R255,FALSE)</f>
        <v>84</v>
      </c>
      <c r="Y255" s="60">
        <f ca="1">100+HLOOKUP(Y$4,$D$7:$P$336,$R255,FALSE)-HLOOKUP(Y$3,$D$7:$P$336,$R255,FALSE)</f>
        <v>84</v>
      </c>
      <c r="Z255" s="60">
        <f ca="1">100+HLOOKUP(Z$4,$D$7:$P$336,$R255,FALSE)-HLOOKUP(Z$3,$D$7:$P$336,$R255,FALSE)</f>
        <v>84</v>
      </c>
      <c r="AA255" s="60">
        <f ca="1">100+HLOOKUP(AA$4,$D$7:$P$336,$R255,FALSE)-HLOOKUP(AA$3,$D$7:$P$336,$R255,FALSE)</f>
        <v>84</v>
      </c>
      <c r="AB255" s="60">
        <f ca="1">100+HLOOKUP(AB$4,$D$7:$P$336,$R255,FALSE)-HLOOKUP(AB$3,$D$7:$P$336,$R255,FALSE)</f>
        <v>84</v>
      </c>
      <c r="AC255" s="60">
        <f ca="1">100+HLOOKUP(AC$4,$D$7:$P$336,$R255,FALSE)-HLOOKUP(AC$3,$D$7:$P$336,$R255,FALSE)</f>
        <v>112</v>
      </c>
      <c r="AD255" s="60">
        <f ca="1">100+HLOOKUP(AD$4,$D$7:$P$336,$R255,FALSE)-HLOOKUP(AD$3,$D$7:$P$336,$R255,FALSE)</f>
        <v>112</v>
      </c>
      <c r="AE255" s="60">
        <f ca="1">100+HLOOKUP(AE$4,$D$7:$P$336,$R255,FALSE)-HLOOKUP(AE$3,$D$7:$P$336,$R255,FALSE)</f>
        <v>110</v>
      </c>
      <c r="AF255" s="60">
        <f ca="1">100+HLOOKUP(AF$4,$D$7:$P$336,$R255,FALSE)-HLOOKUP(AF$3,$D$7:$P$336,$R255,FALSE)</f>
        <v>111</v>
      </c>
      <c r="AG255" s="60">
        <f ca="1">100+HLOOKUP(AG$4,$D$7:$P$336,$R255,FALSE)-HLOOKUP(AG$3,$D$7:$P$336,$R255,FALSE)</f>
        <v>84</v>
      </c>
      <c r="AH255" s="60" t="e">
        <f>100+HLOOKUP(AH$4,$D$7:$P$336,$R255,FALSE)-HLOOKUP(AH$3,$D$7:$P$336,$R255,FALSE)</f>
        <v>#N/A</v>
      </c>
      <c r="AI255" s="60" t="e">
        <f>100+HLOOKUP(AI$4,$D$7:$P$336,$R255,FALSE)-HLOOKUP(AI$3,$D$7:$P$336,$R255,FALSE)</f>
        <v>#N/A</v>
      </c>
      <c r="AJ255" s="60" t="e">
        <f>100+HLOOKUP(AJ$4,$D$7:$P$336,$R255,FALSE)-HLOOKUP(AJ$3,$D$7:$P$336,$R255,FALSE)</f>
        <v>#N/A</v>
      </c>
      <c r="AK255" s="60" t="e">
        <f>100+HLOOKUP(AK$4,$D$7:$P$336,$R255,FALSE)-HLOOKUP(AK$3,$D$7:$P$336,$R255,FALSE)</f>
        <v>#N/A</v>
      </c>
      <c r="AL255" s="60" t="e">
        <f>100+HLOOKUP(AL$4,$D$7:$P$336,$R255,FALSE)-HLOOKUP(AL$3,$D$7:$P$336,$R255,FALSE)</f>
        <v>#N/A</v>
      </c>
      <c r="AM255" s="60" t="e">
        <f>100+HLOOKUP(AM$4,$D$7:$P$336,$R255,FALSE)-HLOOKUP(AM$3,$D$7:$P$336,$R255,FALSE)</f>
        <v>#N/A</v>
      </c>
      <c r="AN255" s="60" t="e">
        <f>100+HLOOKUP(AN$4,$D$7:$P$336,$R255,FALSE)-HLOOKUP(AN$3,$D$7:$P$336,$R255,FALSE)</f>
        <v>#N/A</v>
      </c>
      <c r="AO255" s="60" t="e">
        <f>100+HLOOKUP(AO$4,$D$7:$P$336,$R255,FALSE)-HLOOKUP(AO$3,$D$7:$P$336,$R255,FALSE)</f>
        <v>#N/A</v>
      </c>
      <c r="AP255" s="60" t="e">
        <f>100+HLOOKUP(AP$4,$D$7:$P$336,$R255,FALSE)-HLOOKUP(AP$3,$D$7:$P$336,$R255,FALSE)</f>
        <v>#N/A</v>
      </c>
      <c r="AQ255" s="60" t="e">
        <f>100+HLOOKUP(AQ$4,$D$7:$P$336,$R255,FALSE)-HLOOKUP(AQ$3,$D$7:$P$336,$R255,FALSE)</f>
        <v>#N/A</v>
      </c>
      <c r="AV255" s="60">
        <f ca="1">AV$5-S255</f>
        <v>19.190399426796432</v>
      </c>
      <c r="AW255" s="60">
        <f ca="1">AW$5-T255</f>
        <v>10.220650529757748</v>
      </c>
      <c r="AX255" s="60">
        <f ca="1">AX$5-U255</f>
        <v>17.775915403668051</v>
      </c>
      <c r="AY255" s="60">
        <f ca="1">AY$5-V255</f>
        <v>9.6030144015278012</v>
      </c>
      <c r="AZ255" s="60">
        <f ca="1">AZ$5-W255</f>
        <v>13.45448217259603</v>
      </c>
      <c r="BA255" s="60">
        <f ca="1">BA$5-X255</f>
        <v>14.465059058982703</v>
      </c>
      <c r="BB255" s="60">
        <f ca="1">BB$5-Y255</f>
        <v>9.3505927273811267</v>
      </c>
      <c r="BC255" s="60">
        <f ca="1">BC$5-Z255</f>
        <v>23.437465909882164</v>
      </c>
      <c r="BD255" s="60">
        <f ca="1">BD$5-AA255</f>
        <v>13.936518664382362</v>
      </c>
      <c r="BE255" s="60">
        <f ca="1">BE$5-AB255</f>
        <v>7.829390591992194</v>
      </c>
      <c r="BF255" s="60">
        <f ca="1">BF$5-AC255</f>
        <v>-10.98269568352292</v>
      </c>
      <c r="BG255" s="60">
        <f ca="1">BG$5-AD255</f>
        <v>-8.0147412949814907</v>
      </c>
      <c r="BH255" s="60">
        <f ca="1">BH$5-AE255</f>
        <v>-11.045407769632433</v>
      </c>
      <c r="BI255" s="60">
        <f ca="1">BI$5-AF255</f>
        <v>-20.391494488745195</v>
      </c>
      <c r="BJ255" s="60">
        <f ca="1">BJ$5-AG255</f>
        <v>7.43955105767877</v>
      </c>
      <c r="BK255" s="60" t="e">
        <f>BK$5-AH255</f>
        <v>#N/A</v>
      </c>
      <c r="BL255" s="60" t="e">
        <f>BL$5-AI255</f>
        <v>#N/A</v>
      </c>
      <c r="BM255" s="60" t="e">
        <f>BM$5-AJ255</f>
        <v>#N/A</v>
      </c>
      <c r="BN255" s="60" t="e">
        <f>BN$5-AK255</f>
        <v>#N/A</v>
      </c>
      <c r="BO255" s="60" t="e">
        <f>BO$5-AL255</f>
        <v>#N/A</v>
      </c>
      <c r="BP255" s="60" t="e">
        <f>BP$5-AM255</f>
        <v>#N/A</v>
      </c>
      <c r="BQ255" s="60" t="e">
        <f>BQ$5-AN255</f>
        <v>#N/A</v>
      </c>
      <c r="BR255" s="60" t="e">
        <f>BR$5-AO255</f>
        <v>#N/A</v>
      </c>
      <c r="BS255" s="60" t="e">
        <f>BS$5-AP255</f>
        <v>#N/A</v>
      </c>
      <c r="BT255" s="60" t="e">
        <f>BT$5-AQ255</f>
        <v>#N/A</v>
      </c>
      <c r="BV255" s="60" cm="1">
        <f t="array" aca="1" ref="BV255" ca="1">SQRT(SUMSQ(_xlfn._xlws.FILTER(AV255:BT255,ISNUMBER(AV255:BT255)))/COUNT(_xlfn._xlws.FILTER(AV255:BT255,ISNUMBER(AV255:BT255))))</f>
        <v>14.003538101583096</v>
      </c>
    </row>
    <row r="256" spans="3:74" x14ac:dyDescent="0.2">
      <c r="C256" s="60" t="s">
        <v>433</v>
      </c>
      <c r="D256" s="60">
        <v>0</v>
      </c>
      <c r="E256" s="60">
        <v>2</v>
      </c>
      <c r="F256" s="60">
        <v>4</v>
      </c>
      <c r="G256" s="60">
        <v>6</v>
      </c>
      <c r="H256" s="60">
        <v>8</v>
      </c>
      <c r="I256" s="60">
        <v>10</v>
      </c>
      <c r="J256" s="60">
        <v>0</v>
      </c>
      <c r="K256" s="60">
        <v>-10</v>
      </c>
      <c r="L256" s="60">
        <v>-8</v>
      </c>
      <c r="M256" s="60">
        <v>-6</v>
      </c>
      <c r="N256" s="60">
        <v>-4</v>
      </c>
      <c r="O256" s="60">
        <v>-2</v>
      </c>
      <c r="P256" s="60">
        <v>0</v>
      </c>
      <c r="R256" s="61">
        <f>(ROW(R256)-ROW($C$6))</f>
        <v>250</v>
      </c>
      <c r="S256" s="60">
        <f ca="1">100+HLOOKUP(S$4,$D$7:$P$336,$R256,FALSE)-HLOOKUP(S$3,$D$7:$P$336,$R256,FALSE)</f>
        <v>114</v>
      </c>
      <c r="T256" s="60">
        <f ca="1">100+HLOOKUP(T$4,$D$7:$P$336,$R256,FALSE)-HLOOKUP(T$3,$D$7:$P$336,$R256,FALSE)</f>
        <v>102</v>
      </c>
      <c r="U256" s="60">
        <f ca="1">100+HLOOKUP(U$4,$D$7:$P$336,$R256,FALSE)-HLOOKUP(U$3,$D$7:$P$336,$R256,FALSE)</f>
        <v>90</v>
      </c>
      <c r="V256" s="60">
        <f ca="1">100+HLOOKUP(V$4,$D$7:$P$336,$R256,FALSE)-HLOOKUP(V$3,$D$7:$P$336,$R256,FALSE)</f>
        <v>114</v>
      </c>
      <c r="W256" s="60">
        <f ca="1">100+HLOOKUP(W$4,$D$7:$P$336,$R256,FALSE)-HLOOKUP(W$3,$D$7:$P$336,$R256,FALSE)</f>
        <v>90</v>
      </c>
      <c r="X256" s="60">
        <f ca="1">100+HLOOKUP(X$4,$D$7:$P$336,$R256,FALSE)-HLOOKUP(X$3,$D$7:$P$336,$R256,FALSE)</f>
        <v>114</v>
      </c>
      <c r="Y256" s="60">
        <f ca="1">100+HLOOKUP(Y$4,$D$7:$P$336,$R256,FALSE)-HLOOKUP(Y$3,$D$7:$P$336,$R256,FALSE)</f>
        <v>102</v>
      </c>
      <c r="Z256" s="60">
        <f ca="1">100+HLOOKUP(Z$4,$D$7:$P$336,$R256,FALSE)-HLOOKUP(Z$3,$D$7:$P$336,$R256,FALSE)</f>
        <v>90</v>
      </c>
      <c r="AA256" s="60">
        <f ca="1">100+HLOOKUP(AA$4,$D$7:$P$336,$R256,FALSE)-HLOOKUP(AA$3,$D$7:$P$336,$R256,FALSE)</f>
        <v>114</v>
      </c>
      <c r="AB256" s="60">
        <f ca="1">100+HLOOKUP(AB$4,$D$7:$P$336,$R256,FALSE)-HLOOKUP(AB$3,$D$7:$P$336,$R256,FALSE)</f>
        <v>90</v>
      </c>
      <c r="AC256" s="60">
        <f ca="1">100+HLOOKUP(AC$4,$D$7:$P$336,$R256,FALSE)-HLOOKUP(AC$3,$D$7:$P$336,$R256,FALSE)</f>
        <v>90</v>
      </c>
      <c r="AD256" s="60">
        <f ca="1">100+HLOOKUP(AD$4,$D$7:$P$336,$R256,FALSE)-HLOOKUP(AD$3,$D$7:$P$336,$R256,FALSE)</f>
        <v>90</v>
      </c>
      <c r="AE256" s="60">
        <f ca="1">100+HLOOKUP(AE$4,$D$7:$P$336,$R256,FALSE)-HLOOKUP(AE$3,$D$7:$P$336,$R256,FALSE)</f>
        <v>102</v>
      </c>
      <c r="AF256" s="60">
        <f ca="1">100+HLOOKUP(AF$4,$D$7:$P$336,$R256,FALSE)-HLOOKUP(AF$3,$D$7:$P$336,$R256,FALSE)</f>
        <v>114</v>
      </c>
      <c r="AG256" s="60">
        <f ca="1">100+HLOOKUP(AG$4,$D$7:$P$336,$R256,FALSE)-HLOOKUP(AG$3,$D$7:$P$336,$R256,FALSE)</f>
        <v>114</v>
      </c>
      <c r="AH256" s="60" t="e">
        <f>100+HLOOKUP(AH$4,$D$7:$P$336,$R256,FALSE)-HLOOKUP(AH$3,$D$7:$P$336,$R256,FALSE)</f>
        <v>#N/A</v>
      </c>
      <c r="AI256" s="60" t="e">
        <f>100+HLOOKUP(AI$4,$D$7:$P$336,$R256,FALSE)-HLOOKUP(AI$3,$D$7:$P$336,$R256,FALSE)</f>
        <v>#N/A</v>
      </c>
      <c r="AJ256" s="60" t="e">
        <f>100+HLOOKUP(AJ$4,$D$7:$P$336,$R256,FALSE)-HLOOKUP(AJ$3,$D$7:$P$336,$R256,FALSE)</f>
        <v>#N/A</v>
      </c>
      <c r="AK256" s="60" t="e">
        <f>100+HLOOKUP(AK$4,$D$7:$P$336,$R256,FALSE)-HLOOKUP(AK$3,$D$7:$P$336,$R256,FALSE)</f>
        <v>#N/A</v>
      </c>
      <c r="AL256" s="60" t="e">
        <f>100+HLOOKUP(AL$4,$D$7:$P$336,$R256,FALSE)-HLOOKUP(AL$3,$D$7:$P$336,$R256,FALSE)</f>
        <v>#N/A</v>
      </c>
      <c r="AM256" s="60" t="e">
        <f>100+HLOOKUP(AM$4,$D$7:$P$336,$R256,FALSE)-HLOOKUP(AM$3,$D$7:$P$336,$R256,FALSE)</f>
        <v>#N/A</v>
      </c>
      <c r="AN256" s="60" t="e">
        <f>100+HLOOKUP(AN$4,$D$7:$P$336,$R256,FALSE)-HLOOKUP(AN$3,$D$7:$P$336,$R256,FALSE)</f>
        <v>#N/A</v>
      </c>
      <c r="AO256" s="60" t="e">
        <f>100+HLOOKUP(AO$4,$D$7:$P$336,$R256,FALSE)-HLOOKUP(AO$3,$D$7:$P$336,$R256,FALSE)</f>
        <v>#N/A</v>
      </c>
      <c r="AP256" s="60" t="e">
        <f>100+HLOOKUP(AP$4,$D$7:$P$336,$R256,FALSE)-HLOOKUP(AP$3,$D$7:$P$336,$R256,FALSE)</f>
        <v>#N/A</v>
      </c>
      <c r="AQ256" s="60" t="e">
        <f>100+HLOOKUP(AQ$4,$D$7:$P$336,$R256,FALSE)-HLOOKUP(AQ$3,$D$7:$P$336,$R256,FALSE)</f>
        <v>#N/A</v>
      </c>
      <c r="AV256" s="60">
        <f ca="1">AV$5-S256</f>
        <v>-10.809600573203568</v>
      </c>
      <c r="AW256" s="60">
        <f ca="1">AW$5-T256</f>
        <v>-7.7793494702422521</v>
      </c>
      <c r="AX256" s="60">
        <f ca="1">AX$5-U256</f>
        <v>11.775915403668051</v>
      </c>
      <c r="AY256" s="60">
        <f ca="1">AY$5-V256</f>
        <v>-20.396985598472199</v>
      </c>
      <c r="AZ256" s="60">
        <f ca="1">AZ$5-W256</f>
        <v>7.4544821725960304</v>
      </c>
      <c r="BA256" s="60">
        <f ca="1">BA$5-X256</f>
        <v>-15.534940941017297</v>
      </c>
      <c r="BB256" s="60">
        <f ca="1">BB$5-Y256</f>
        <v>-8.6494072726188733</v>
      </c>
      <c r="BC256" s="60">
        <f ca="1">BC$5-Z256</f>
        <v>17.437465909882164</v>
      </c>
      <c r="BD256" s="60">
        <f ca="1">BD$5-AA256</f>
        <v>-16.063481335617638</v>
      </c>
      <c r="BE256" s="60">
        <f ca="1">BE$5-AB256</f>
        <v>1.829390591992194</v>
      </c>
      <c r="BF256" s="60">
        <f ca="1">BF$5-AC256</f>
        <v>11.01730431647708</v>
      </c>
      <c r="BG256" s="60">
        <f ca="1">BG$5-AD256</f>
        <v>13.985258705018509</v>
      </c>
      <c r="BH256" s="60">
        <f ca="1">BH$5-AE256</f>
        <v>-3.0454077696324333</v>
      </c>
      <c r="BI256" s="60">
        <f ca="1">BI$5-AF256</f>
        <v>-23.391494488745195</v>
      </c>
      <c r="BJ256" s="60">
        <f ca="1">BJ$5-AG256</f>
        <v>-22.56044894232123</v>
      </c>
      <c r="BK256" s="60" t="e">
        <f>BK$5-AH256</f>
        <v>#N/A</v>
      </c>
      <c r="BL256" s="60" t="e">
        <f>BL$5-AI256</f>
        <v>#N/A</v>
      </c>
      <c r="BM256" s="60" t="e">
        <f>BM$5-AJ256</f>
        <v>#N/A</v>
      </c>
      <c r="BN256" s="60" t="e">
        <f>BN$5-AK256</f>
        <v>#N/A</v>
      </c>
      <c r="BO256" s="60" t="e">
        <f>BO$5-AL256</f>
        <v>#N/A</v>
      </c>
      <c r="BP256" s="60" t="e">
        <f>BP$5-AM256</f>
        <v>#N/A</v>
      </c>
      <c r="BQ256" s="60" t="e">
        <f>BQ$5-AN256</f>
        <v>#N/A</v>
      </c>
      <c r="BR256" s="60" t="e">
        <f>BR$5-AO256</f>
        <v>#N/A</v>
      </c>
      <c r="BS256" s="60" t="e">
        <f>BS$5-AP256</f>
        <v>#N/A</v>
      </c>
      <c r="BT256" s="60" t="e">
        <f>BT$5-AQ256</f>
        <v>#N/A</v>
      </c>
      <c r="BV256" s="60" cm="1">
        <f t="array" aca="1" ref="BV256" ca="1">SQRT(SUMSQ(_xlfn._xlws.FILTER(AV256:BT256,ISNUMBER(AV256:BT256)))/COUNT(_xlfn._xlws.FILTER(AV256:BT256,ISNUMBER(AV256:BT256))))</f>
        <v>14.263279293918249</v>
      </c>
    </row>
    <row r="257" spans="3:74" x14ac:dyDescent="0.2">
      <c r="C257" s="60" t="s">
        <v>406</v>
      </c>
      <c r="D257" s="60">
        <v>0</v>
      </c>
      <c r="E257" s="60">
        <v>-3</v>
      </c>
      <c r="F257" s="60">
        <v>-7</v>
      </c>
      <c r="G257" s="60">
        <v>-10</v>
      </c>
      <c r="H257" s="60">
        <v>-14</v>
      </c>
      <c r="I257" s="60">
        <v>-14</v>
      </c>
      <c r="J257" s="60">
        <v>-21</v>
      </c>
      <c r="K257" s="60">
        <v>-16</v>
      </c>
      <c r="L257" s="60">
        <v>-17</v>
      </c>
      <c r="M257" s="60">
        <v>0</v>
      </c>
      <c r="N257" s="60">
        <v>-1</v>
      </c>
      <c r="O257" s="60">
        <v>3</v>
      </c>
      <c r="P257" s="60">
        <v>0</v>
      </c>
      <c r="R257" s="61">
        <f>(ROW(R257)-ROW($C$6))</f>
        <v>251</v>
      </c>
      <c r="S257" s="60">
        <f ca="1">100+HLOOKUP(S$4,$D$7:$P$336,$R257,FALSE)-HLOOKUP(S$3,$D$7:$P$336,$R257,FALSE)</f>
        <v>86</v>
      </c>
      <c r="T257" s="60">
        <f ca="1">100+HLOOKUP(T$4,$D$7:$P$336,$R257,FALSE)-HLOOKUP(T$3,$D$7:$P$336,$R257,FALSE)</f>
        <v>76</v>
      </c>
      <c r="U257" s="60">
        <f ca="1">100+HLOOKUP(U$4,$D$7:$P$336,$R257,FALSE)-HLOOKUP(U$3,$D$7:$P$336,$R257,FALSE)</f>
        <v>86</v>
      </c>
      <c r="V257" s="60">
        <f ca="1">100+HLOOKUP(V$4,$D$7:$P$336,$R257,FALSE)-HLOOKUP(V$3,$D$7:$P$336,$R257,FALSE)</f>
        <v>87</v>
      </c>
      <c r="W257" s="60">
        <f ca="1">100+HLOOKUP(W$4,$D$7:$P$336,$R257,FALSE)-HLOOKUP(W$3,$D$7:$P$336,$R257,FALSE)</f>
        <v>84</v>
      </c>
      <c r="X257" s="60">
        <f ca="1">100+HLOOKUP(X$4,$D$7:$P$336,$R257,FALSE)-HLOOKUP(X$3,$D$7:$P$336,$R257,FALSE)</f>
        <v>86</v>
      </c>
      <c r="Y257" s="60">
        <f ca="1">100+HLOOKUP(Y$4,$D$7:$P$336,$R257,FALSE)-HLOOKUP(Y$3,$D$7:$P$336,$R257,FALSE)</f>
        <v>76</v>
      </c>
      <c r="Z257" s="60">
        <f ca="1">100+HLOOKUP(Z$4,$D$7:$P$336,$R257,FALSE)-HLOOKUP(Z$3,$D$7:$P$336,$R257,FALSE)</f>
        <v>86</v>
      </c>
      <c r="AA257" s="60">
        <f ca="1">100+HLOOKUP(AA$4,$D$7:$P$336,$R257,FALSE)-HLOOKUP(AA$3,$D$7:$P$336,$R257,FALSE)</f>
        <v>87</v>
      </c>
      <c r="AB257" s="60">
        <f ca="1">100+HLOOKUP(AB$4,$D$7:$P$336,$R257,FALSE)-HLOOKUP(AB$3,$D$7:$P$336,$R257,FALSE)</f>
        <v>84</v>
      </c>
      <c r="AC257" s="60">
        <f ca="1">100+HLOOKUP(AC$4,$D$7:$P$336,$R257,FALSE)-HLOOKUP(AC$3,$D$7:$P$336,$R257,FALSE)</f>
        <v>107</v>
      </c>
      <c r="AD257" s="60">
        <f ca="1">100+HLOOKUP(AD$4,$D$7:$P$336,$R257,FALSE)-HLOOKUP(AD$3,$D$7:$P$336,$R257,FALSE)</f>
        <v>117</v>
      </c>
      <c r="AE257" s="60">
        <f ca="1">100+HLOOKUP(AE$4,$D$7:$P$336,$R257,FALSE)-HLOOKUP(AE$3,$D$7:$P$336,$R257,FALSE)</f>
        <v>118</v>
      </c>
      <c r="AF257" s="60">
        <f ca="1">100+HLOOKUP(AF$4,$D$7:$P$336,$R257,FALSE)-HLOOKUP(AF$3,$D$7:$P$336,$R257,FALSE)</f>
        <v>107</v>
      </c>
      <c r="AG257" s="60">
        <f ca="1">100+HLOOKUP(AG$4,$D$7:$P$336,$R257,FALSE)-HLOOKUP(AG$3,$D$7:$P$336,$R257,FALSE)</f>
        <v>87</v>
      </c>
      <c r="AH257" s="60" t="e">
        <f>100+HLOOKUP(AH$4,$D$7:$P$336,$R257,FALSE)-HLOOKUP(AH$3,$D$7:$P$336,$R257,FALSE)</f>
        <v>#N/A</v>
      </c>
      <c r="AI257" s="60" t="e">
        <f>100+HLOOKUP(AI$4,$D$7:$P$336,$R257,FALSE)-HLOOKUP(AI$3,$D$7:$P$336,$R257,FALSE)</f>
        <v>#N/A</v>
      </c>
      <c r="AJ257" s="60" t="e">
        <f>100+HLOOKUP(AJ$4,$D$7:$P$336,$R257,FALSE)-HLOOKUP(AJ$3,$D$7:$P$336,$R257,FALSE)</f>
        <v>#N/A</v>
      </c>
      <c r="AK257" s="60" t="e">
        <f>100+HLOOKUP(AK$4,$D$7:$P$336,$R257,FALSE)-HLOOKUP(AK$3,$D$7:$P$336,$R257,FALSE)</f>
        <v>#N/A</v>
      </c>
      <c r="AL257" s="60" t="e">
        <f>100+HLOOKUP(AL$4,$D$7:$P$336,$R257,FALSE)-HLOOKUP(AL$3,$D$7:$P$336,$R257,FALSE)</f>
        <v>#N/A</v>
      </c>
      <c r="AM257" s="60" t="e">
        <f>100+HLOOKUP(AM$4,$D$7:$P$336,$R257,FALSE)-HLOOKUP(AM$3,$D$7:$P$336,$R257,FALSE)</f>
        <v>#N/A</v>
      </c>
      <c r="AN257" s="60" t="e">
        <f>100+HLOOKUP(AN$4,$D$7:$P$336,$R257,FALSE)-HLOOKUP(AN$3,$D$7:$P$336,$R257,FALSE)</f>
        <v>#N/A</v>
      </c>
      <c r="AO257" s="60" t="e">
        <f>100+HLOOKUP(AO$4,$D$7:$P$336,$R257,FALSE)-HLOOKUP(AO$3,$D$7:$P$336,$R257,FALSE)</f>
        <v>#N/A</v>
      </c>
      <c r="AP257" s="60" t="e">
        <f>100+HLOOKUP(AP$4,$D$7:$P$336,$R257,FALSE)-HLOOKUP(AP$3,$D$7:$P$336,$R257,FALSE)</f>
        <v>#N/A</v>
      </c>
      <c r="AQ257" s="60" t="e">
        <f>100+HLOOKUP(AQ$4,$D$7:$P$336,$R257,FALSE)-HLOOKUP(AQ$3,$D$7:$P$336,$R257,FALSE)</f>
        <v>#N/A</v>
      </c>
      <c r="AV257" s="60">
        <f ca="1">AV$5-S257</f>
        <v>17.190399426796432</v>
      </c>
      <c r="AW257" s="60">
        <f ca="1">AW$5-T257</f>
        <v>18.220650529757748</v>
      </c>
      <c r="AX257" s="60">
        <f ca="1">AX$5-U257</f>
        <v>15.775915403668051</v>
      </c>
      <c r="AY257" s="60">
        <f ca="1">AY$5-V257</f>
        <v>6.6030144015278012</v>
      </c>
      <c r="AZ257" s="60">
        <f ca="1">AZ$5-W257</f>
        <v>13.45448217259603</v>
      </c>
      <c r="BA257" s="60">
        <f ca="1">BA$5-X257</f>
        <v>12.465059058982703</v>
      </c>
      <c r="BB257" s="60">
        <f ca="1">BB$5-Y257</f>
        <v>17.350592727381127</v>
      </c>
      <c r="BC257" s="60">
        <f ca="1">BC$5-Z257</f>
        <v>21.437465909882164</v>
      </c>
      <c r="BD257" s="60">
        <f ca="1">BD$5-AA257</f>
        <v>10.936518664382362</v>
      </c>
      <c r="BE257" s="60">
        <f ca="1">BE$5-AB257</f>
        <v>7.829390591992194</v>
      </c>
      <c r="BF257" s="60">
        <f ca="1">BF$5-AC257</f>
        <v>-5.9826956835229197</v>
      </c>
      <c r="BG257" s="60">
        <f ca="1">BG$5-AD257</f>
        <v>-13.014741294981491</v>
      </c>
      <c r="BH257" s="60">
        <f ca="1">BH$5-AE257</f>
        <v>-19.045407769632433</v>
      </c>
      <c r="BI257" s="60">
        <f ca="1">BI$5-AF257</f>
        <v>-16.391494488745195</v>
      </c>
      <c r="BJ257" s="60">
        <f ca="1">BJ$5-AG257</f>
        <v>4.43955105767877</v>
      </c>
      <c r="BK257" s="60" t="e">
        <f>BK$5-AH257</f>
        <v>#N/A</v>
      </c>
      <c r="BL257" s="60" t="e">
        <f>BL$5-AI257</f>
        <v>#N/A</v>
      </c>
      <c r="BM257" s="60" t="e">
        <f>BM$5-AJ257</f>
        <v>#N/A</v>
      </c>
      <c r="BN257" s="60" t="e">
        <f>BN$5-AK257</f>
        <v>#N/A</v>
      </c>
      <c r="BO257" s="60" t="e">
        <f>BO$5-AL257</f>
        <v>#N/A</v>
      </c>
      <c r="BP257" s="60" t="e">
        <f>BP$5-AM257</f>
        <v>#N/A</v>
      </c>
      <c r="BQ257" s="60" t="e">
        <f>BQ$5-AN257</f>
        <v>#N/A</v>
      </c>
      <c r="BR257" s="60" t="e">
        <f>BR$5-AO257</f>
        <v>#N/A</v>
      </c>
      <c r="BS257" s="60" t="e">
        <f>BS$5-AP257</f>
        <v>#N/A</v>
      </c>
      <c r="BT257" s="60" t="e">
        <f>BT$5-AQ257</f>
        <v>#N/A</v>
      </c>
      <c r="BV257" s="60" cm="1">
        <f t="array" aca="1" ref="BV257" ca="1">SQRT(SUMSQ(_xlfn._xlws.FILTER(AV257:BT257,ISNUMBER(AV257:BT257)))/COUNT(_xlfn._xlws.FILTER(AV257:BT257,ISNUMBER(AV257:BT257))))</f>
        <v>14.269293939859011</v>
      </c>
    </row>
    <row r="258" spans="3:74" x14ac:dyDescent="0.2">
      <c r="C258" s="60" t="s">
        <v>264</v>
      </c>
      <c r="D258" s="60">
        <v>0</v>
      </c>
      <c r="E258" s="60">
        <v>-4.173</v>
      </c>
      <c r="F258" s="60">
        <v>-6.0469999999999997</v>
      </c>
      <c r="G258" s="60">
        <v>-8.2260000000000009</v>
      </c>
      <c r="H258" s="60">
        <v>-10.874000000000001</v>
      </c>
      <c r="I258" s="60">
        <v>-13.895</v>
      </c>
      <c r="J258" s="60">
        <v>-14.93</v>
      </c>
      <c r="K258" s="60">
        <v>-17.507999999999999</v>
      </c>
      <c r="L258" s="60">
        <v>-19.428999999999998</v>
      </c>
      <c r="M258" s="60">
        <v>5.8739999999999997</v>
      </c>
      <c r="N258" s="60">
        <v>3.3929999999999998</v>
      </c>
      <c r="O258" s="60">
        <v>0.626</v>
      </c>
      <c r="P258" s="60">
        <v>0</v>
      </c>
      <c r="R258" s="61">
        <f>(ROW(R258)-ROW($C$6))</f>
        <v>252</v>
      </c>
      <c r="S258" s="60">
        <f ca="1">100+HLOOKUP(S$4,$D$7:$P$336,$R258,FALSE)-HLOOKUP(S$3,$D$7:$P$336,$R258,FALSE)</f>
        <v>83.25200000000001</v>
      </c>
      <c r="T258" s="60">
        <f ca="1">100+HLOOKUP(T$4,$D$7:$P$336,$R258,FALSE)-HLOOKUP(T$3,$D$7:$P$336,$R258,FALSE)</f>
        <v>84.443999999999988</v>
      </c>
      <c r="U258" s="60">
        <f ca="1">100+HLOOKUP(U$4,$D$7:$P$336,$R258,FALSE)-HLOOKUP(U$3,$D$7:$P$336,$R258,FALSE)</f>
        <v>84.744</v>
      </c>
      <c r="V258" s="60">
        <f ca="1">100+HLOOKUP(V$4,$D$7:$P$336,$R258,FALSE)-HLOOKUP(V$3,$D$7:$P$336,$R258,FALSE)</f>
        <v>82.712000000000003</v>
      </c>
      <c r="W258" s="60">
        <f ca="1">100+HLOOKUP(W$4,$D$7:$P$336,$R258,FALSE)-HLOOKUP(W$3,$D$7:$P$336,$R258,FALSE)</f>
        <v>82.492000000000004</v>
      </c>
      <c r="X258" s="60">
        <f ca="1">100+HLOOKUP(X$4,$D$7:$P$336,$R258,FALSE)-HLOOKUP(X$3,$D$7:$P$336,$R258,FALSE)</f>
        <v>83.25200000000001</v>
      </c>
      <c r="Y258" s="60">
        <f ca="1">100+HLOOKUP(Y$4,$D$7:$P$336,$R258,FALSE)-HLOOKUP(Y$3,$D$7:$P$336,$R258,FALSE)</f>
        <v>84.443999999999988</v>
      </c>
      <c r="Z258" s="60">
        <f ca="1">100+HLOOKUP(Z$4,$D$7:$P$336,$R258,FALSE)-HLOOKUP(Z$3,$D$7:$P$336,$R258,FALSE)</f>
        <v>84.744</v>
      </c>
      <c r="AA258" s="60">
        <f ca="1">100+HLOOKUP(AA$4,$D$7:$P$336,$R258,FALSE)-HLOOKUP(AA$3,$D$7:$P$336,$R258,FALSE)</f>
        <v>82.712000000000003</v>
      </c>
      <c r="AB258" s="60">
        <f ca="1">100+HLOOKUP(AB$4,$D$7:$P$336,$R258,FALSE)-HLOOKUP(AB$3,$D$7:$P$336,$R258,FALSE)</f>
        <v>82.492000000000004</v>
      </c>
      <c r="AC258" s="60">
        <f ca="1">100+HLOOKUP(AC$4,$D$7:$P$336,$R258,FALSE)-HLOOKUP(AC$3,$D$7:$P$336,$R258,FALSE)</f>
        <v>111.92099999999999</v>
      </c>
      <c r="AD258" s="60">
        <f ca="1">100+HLOOKUP(AD$4,$D$7:$P$336,$R258,FALSE)-HLOOKUP(AD$3,$D$7:$P$336,$R258,FALSE)</f>
        <v>111.5</v>
      </c>
      <c r="AE258" s="60">
        <f ca="1">100+HLOOKUP(AE$4,$D$7:$P$336,$R258,FALSE)-HLOOKUP(AE$3,$D$7:$P$336,$R258,FALSE)</f>
        <v>110.75700000000001</v>
      </c>
      <c r="AF258" s="60">
        <f ca="1">100+HLOOKUP(AF$4,$D$7:$P$336,$R258,FALSE)-HLOOKUP(AF$3,$D$7:$P$336,$R258,FALSE)</f>
        <v>111.203</v>
      </c>
      <c r="AG258" s="60">
        <f ca="1">100+HLOOKUP(AG$4,$D$7:$P$336,$R258,FALSE)-HLOOKUP(AG$3,$D$7:$P$336,$R258,FALSE)</f>
        <v>82.712000000000003</v>
      </c>
      <c r="AH258" s="60" t="e">
        <f>100+HLOOKUP(AH$4,$D$7:$P$336,$R258,FALSE)-HLOOKUP(AH$3,$D$7:$P$336,$R258,FALSE)</f>
        <v>#N/A</v>
      </c>
      <c r="AI258" s="60" t="e">
        <f>100+HLOOKUP(AI$4,$D$7:$P$336,$R258,FALSE)-HLOOKUP(AI$3,$D$7:$P$336,$R258,FALSE)</f>
        <v>#N/A</v>
      </c>
      <c r="AJ258" s="60" t="e">
        <f>100+HLOOKUP(AJ$4,$D$7:$P$336,$R258,FALSE)-HLOOKUP(AJ$3,$D$7:$P$336,$R258,FALSE)</f>
        <v>#N/A</v>
      </c>
      <c r="AK258" s="60" t="e">
        <f>100+HLOOKUP(AK$4,$D$7:$P$336,$R258,FALSE)-HLOOKUP(AK$3,$D$7:$P$336,$R258,FALSE)</f>
        <v>#N/A</v>
      </c>
      <c r="AL258" s="60" t="e">
        <f>100+HLOOKUP(AL$4,$D$7:$P$336,$R258,FALSE)-HLOOKUP(AL$3,$D$7:$P$336,$R258,FALSE)</f>
        <v>#N/A</v>
      </c>
      <c r="AM258" s="60" t="e">
        <f>100+HLOOKUP(AM$4,$D$7:$P$336,$R258,FALSE)-HLOOKUP(AM$3,$D$7:$P$336,$R258,FALSE)</f>
        <v>#N/A</v>
      </c>
      <c r="AN258" s="60" t="e">
        <f>100+HLOOKUP(AN$4,$D$7:$P$336,$R258,FALSE)-HLOOKUP(AN$3,$D$7:$P$336,$R258,FALSE)</f>
        <v>#N/A</v>
      </c>
      <c r="AO258" s="60" t="e">
        <f>100+HLOOKUP(AO$4,$D$7:$P$336,$R258,FALSE)-HLOOKUP(AO$3,$D$7:$P$336,$R258,FALSE)</f>
        <v>#N/A</v>
      </c>
      <c r="AP258" s="60" t="e">
        <f>100+HLOOKUP(AP$4,$D$7:$P$336,$R258,FALSE)-HLOOKUP(AP$3,$D$7:$P$336,$R258,FALSE)</f>
        <v>#N/A</v>
      </c>
      <c r="AQ258" s="60" t="e">
        <f>100+HLOOKUP(AQ$4,$D$7:$P$336,$R258,FALSE)-HLOOKUP(AQ$3,$D$7:$P$336,$R258,FALSE)</f>
        <v>#N/A</v>
      </c>
      <c r="AV258" s="60">
        <f ca="1">AV$5-S258</f>
        <v>19.938399426796423</v>
      </c>
      <c r="AW258" s="60">
        <f ca="1">AW$5-T258</f>
        <v>9.7766505297577595</v>
      </c>
      <c r="AX258" s="60">
        <f ca="1">AX$5-U258</f>
        <v>17.031915403668052</v>
      </c>
      <c r="AY258" s="60">
        <f ca="1">AY$5-V258</f>
        <v>10.891014401527798</v>
      </c>
      <c r="AZ258" s="60">
        <f ca="1">AZ$5-W258</f>
        <v>14.962482172596026</v>
      </c>
      <c r="BA258" s="60">
        <f ca="1">BA$5-X258</f>
        <v>15.213059058982694</v>
      </c>
      <c r="BB258" s="60">
        <f ca="1">BB$5-Y258</f>
        <v>8.9065927273811383</v>
      </c>
      <c r="BC258" s="60">
        <f ca="1">BC$5-Z258</f>
        <v>22.693465909882164</v>
      </c>
      <c r="BD258" s="60">
        <f ca="1">BD$5-AA258</f>
        <v>15.224518664382359</v>
      </c>
      <c r="BE258" s="60">
        <f ca="1">BE$5-AB258</f>
        <v>9.3373905919921896</v>
      </c>
      <c r="BF258" s="60">
        <f ca="1">BF$5-AC258</f>
        <v>-10.903695683522912</v>
      </c>
      <c r="BG258" s="60">
        <f ca="1">BG$5-AD258</f>
        <v>-7.5147412949814907</v>
      </c>
      <c r="BH258" s="60">
        <f ca="1">BH$5-AE258</f>
        <v>-11.802407769632438</v>
      </c>
      <c r="BI258" s="60">
        <f ca="1">BI$5-AF258</f>
        <v>-20.594494488745198</v>
      </c>
      <c r="BJ258" s="60">
        <f ca="1">BJ$5-AG258</f>
        <v>8.7275510576787667</v>
      </c>
      <c r="BK258" s="60" t="e">
        <f>BK$5-AH258</f>
        <v>#N/A</v>
      </c>
      <c r="BL258" s="60" t="e">
        <f>BL$5-AI258</f>
        <v>#N/A</v>
      </c>
      <c r="BM258" s="60" t="e">
        <f>BM$5-AJ258</f>
        <v>#N/A</v>
      </c>
      <c r="BN258" s="60" t="e">
        <f>BN$5-AK258</f>
        <v>#N/A</v>
      </c>
      <c r="BO258" s="60" t="e">
        <f>BO$5-AL258</f>
        <v>#N/A</v>
      </c>
      <c r="BP258" s="60" t="e">
        <f>BP$5-AM258</f>
        <v>#N/A</v>
      </c>
      <c r="BQ258" s="60" t="e">
        <f>BQ$5-AN258</f>
        <v>#N/A</v>
      </c>
      <c r="BR258" s="60" t="e">
        <f>BR$5-AO258</f>
        <v>#N/A</v>
      </c>
      <c r="BS258" s="60" t="e">
        <f>BS$5-AP258</f>
        <v>#N/A</v>
      </c>
      <c r="BT258" s="60" t="e">
        <f>BT$5-AQ258</f>
        <v>#N/A</v>
      </c>
      <c r="BV258" s="60" cm="1">
        <f t="array" aca="1" ref="BV258" ca="1">SQRT(SUMSQ(_xlfn._xlws.FILTER(AV258:BT258,ISNUMBER(AV258:BT258)))/COUNT(_xlfn._xlws.FILTER(AV258:BT258,ISNUMBER(AV258:BT258))))</f>
        <v>14.341993724254205</v>
      </c>
    </row>
    <row r="259" spans="3:74" x14ac:dyDescent="0.2">
      <c r="C259" s="60" t="s">
        <v>263</v>
      </c>
      <c r="D259" s="60">
        <v>0</v>
      </c>
      <c r="E259" s="60">
        <v>-4</v>
      </c>
      <c r="F259" s="60">
        <v>-6</v>
      </c>
      <c r="G259" s="60">
        <v>-8</v>
      </c>
      <c r="H259" s="60">
        <v>-11</v>
      </c>
      <c r="I259" s="60">
        <v>-14</v>
      </c>
      <c r="J259" s="60">
        <v>-15</v>
      </c>
      <c r="K259" s="60">
        <v>-18</v>
      </c>
      <c r="L259" s="60">
        <v>-19</v>
      </c>
      <c r="M259" s="60">
        <v>6</v>
      </c>
      <c r="N259" s="60">
        <v>3</v>
      </c>
      <c r="O259" s="60">
        <v>1</v>
      </c>
      <c r="P259" s="60">
        <v>0</v>
      </c>
      <c r="R259" s="61">
        <f>(ROW(R259)-ROW($C$6))</f>
        <v>253</v>
      </c>
      <c r="S259" s="60">
        <f ca="1">100+HLOOKUP(S$4,$D$7:$P$336,$R259,FALSE)-HLOOKUP(S$3,$D$7:$P$336,$R259,FALSE)</f>
        <v>83</v>
      </c>
      <c r="T259" s="60">
        <f ca="1">100+HLOOKUP(T$4,$D$7:$P$336,$R259,FALSE)-HLOOKUP(T$3,$D$7:$P$336,$R259,FALSE)</f>
        <v>84</v>
      </c>
      <c r="U259" s="60">
        <f ca="1">100+HLOOKUP(U$4,$D$7:$P$336,$R259,FALSE)-HLOOKUP(U$3,$D$7:$P$336,$R259,FALSE)</f>
        <v>85</v>
      </c>
      <c r="V259" s="60">
        <f ca="1">100+HLOOKUP(V$4,$D$7:$P$336,$R259,FALSE)-HLOOKUP(V$3,$D$7:$P$336,$R259,FALSE)</f>
        <v>83</v>
      </c>
      <c r="W259" s="60">
        <f ca="1">100+HLOOKUP(W$4,$D$7:$P$336,$R259,FALSE)-HLOOKUP(W$3,$D$7:$P$336,$R259,FALSE)</f>
        <v>82</v>
      </c>
      <c r="X259" s="60">
        <f ca="1">100+HLOOKUP(X$4,$D$7:$P$336,$R259,FALSE)-HLOOKUP(X$3,$D$7:$P$336,$R259,FALSE)</f>
        <v>83</v>
      </c>
      <c r="Y259" s="60">
        <f ca="1">100+HLOOKUP(Y$4,$D$7:$P$336,$R259,FALSE)-HLOOKUP(Y$3,$D$7:$P$336,$R259,FALSE)</f>
        <v>84</v>
      </c>
      <c r="Z259" s="60">
        <f ca="1">100+HLOOKUP(Z$4,$D$7:$P$336,$R259,FALSE)-HLOOKUP(Z$3,$D$7:$P$336,$R259,FALSE)</f>
        <v>85</v>
      </c>
      <c r="AA259" s="60">
        <f ca="1">100+HLOOKUP(AA$4,$D$7:$P$336,$R259,FALSE)-HLOOKUP(AA$3,$D$7:$P$336,$R259,FALSE)</f>
        <v>83</v>
      </c>
      <c r="AB259" s="60">
        <f ca="1">100+HLOOKUP(AB$4,$D$7:$P$336,$R259,FALSE)-HLOOKUP(AB$3,$D$7:$P$336,$R259,FALSE)</f>
        <v>82</v>
      </c>
      <c r="AC259" s="60">
        <f ca="1">100+HLOOKUP(AC$4,$D$7:$P$336,$R259,FALSE)-HLOOKUP(AC$3,$D$7:$P$336,$R259,FALSE)</f>
        <v>112</v>
      </c>
      <c r="AD259" s="60">
        <f ca="1">100+HLOOKUP(AD$4,$D$7:$P$336,$R259,FALSE)-HLOOKUP(AD$3,$D$7:$P$336,$R259,FALSE)</f>
        <v>112</v>
      </c>
      <c r="AE259" s="60">
        <f ca="1">100+HLOOKUP(AE$4,$D$7:$P$336,$R259,FALSE)-HLOOKUP(AE$3,$D$7:$P$336,$R259,FALSE)</f>
        <v>111</v>
      </c>
      <c r="AF259" s="60">
        <f ca="1">100+HLOOKUP(AF$4,$D$7:$P$336,$R259,FALSE)-HLOOKUP(AF$3,$D$7:$P$336,$R259,FALSE)</f>
        <v>111</v>
      </c>
      <c r="AG259" s="60">
        <f ca="1">100+HLOOKUP(AG$4,$D$7:$P$336,$R259,FALSE)-HLOOKUP(AG$3,$D$7:$P$336,$R259,FALSE)</f>
        <v>83</v>
      </c>
      <c r="AH259" s="60" t="e">
        <f>100+HLOOKUP(AH$4,$D$7:$P$336,$R259,FALSE)-HLOOKUP(AH$3,$D$7:$P$336,$R259,FALSE)</f>
        <v>#N/A</v>
      </c>
      <c r="AI259" s="60" t="e">
        <f>100+HLOOKUP(AI$4,$D$7:$P$336,$R259,FALSE)-HLOOKUP(AI$3,$D$7:$P$336,$R259,FALSE)</f>
        <v>#N/A</v>
      </c>
      <c r="AJ259" s="60" t="e">
        <f>100+HLOOKUP(AJ$4,$D$7:$P$336,$R259,FALSE)-HLOOKUP(AJ$3,$D$7:$P$336,$R259,FALSE)</f>
        <v>#N/A</v>
      </c>
      <c r="AK259" s="60" t="e">
        <f>100+HLOOKUP(AK$4,$D$7:$P$336,$R259,FALSE)-HLOOKUP(AK$3,$D$7:$P$336,$R259,FALSE)</f>
        <v>#N/A</v>
      </c>
      <c r="AL259" s="60" t="e">
        <f>100+HLOOKUP(AL$4,$D$7:$P$336,$R259,FALSE)-HLOOKUP(AL$3,$D$7:$P$336,$R259,FALSE)</f>
        <v>#N/A</v>
      </c>
      <c r="AM259" s="60" t="e">
        <f>100+HLOOKUP(AM$4,$D$7:$P$336,$R259,FALSE)-HLOOKUP(AM$3,$D$7:$P$336,$R259,FALSE)</f>
        <v>#N/A</v>
      </c>
      <c r="AN259" s="60" t="e">
        <f>100+HLOOKUP(AN$4,$D$7:$P$336,$R259,FALSE)-HLOOKUP(AN$3,$D$7:$P$336,$R259,FALSE)</f>
        <v>#N/A</v>
      </c>
      <c r="AO259" s="60" t="e">
        <f>100+HLOOKUP(AO$4,$D$7:$P$336,$R259,FALSE)-HLOOKUP(AO$3,$D$7:$P$336,$R259,FALSE)</f>
        <v>#N/A</v>
      </c>
      <c r="AP259" s="60" t="e">
        <f>100+HLOOKUP(AP$4,$D$7:$P$336,$R259,FALSE)-HLOOKUP(AP$3,$D$7:$P$336,$R259,FALSE)</f>
        <v>#N/A</v>
      </c>
      <c r="AQ259" s="60" t="e">
        <f>100+HLOOKUP(AQ$4,$D$7:$P$336,$R259,FALSE)-HLOOKUP(AQ$3,$D$7:$P$336,$R259,FALSE)</f>
        <v>#N/A</v>
      </c>
      <c r="AV259" s="60">
        <f ca="1">AV$5-S259</f>
        <v>20.190399426796432</v>
      </c>
      <c r="AW259" s="60">
        <f ca="1">AW$5-T259</f>
        <v>10.220650529757748</v>
      </c>
      <c r="AX259" s="60">
        <f ca="1">AX$5-U259</f>
        <v>16.775915403668051</v>
      </c>
      <c r="AY259" s="60">
        <f ca="1">AY$5-V259</f>
        <v>10.603014401527801</v>
      </c>
      <c r="AZ259" s="60">
        <f ca="1">AZ$5-W259</f>
        <v>15.45448217259603</v>
      </c>
      <c r="BA259" s="60">
        <f ca="1">BA$5-X259</f>
        <v>15.465059058982703</v>
      </c>
      <c r="BB259" s="60">
        <f ca="1">BB$5-Y259</f>
        <v>9.3505927273811267</v>
      </c>
      <c r="BC259" s="60">
        <f ca="1">BC$5-Z259</f>
        <v>22.437465909882164</v>
      </c>
      <c r="BD259" s="60">
        <f ca="1">BD$5-AA259</f>
        <v>14.936518664382362</v>
      </c>
      <c r="BE259" s="60">
        <f ca="1">BE$5-AB259</f>
        <v>9.829390591992194</v>
      </c>
      <c r="BF259" s="60">
        <f ca="1">BF$5-AC259</f>
        <v>-10.98269568352292</v>
      </c>
      <c r="BG259" s="60">
        <f ca="1">BG$5-AD259</f>
        <v>-8.0147412949814907</v>
      </c>
      <c r="BH259" s="60">
        <f ca="1">BH$5-AE259</f>
        <v>-12.045407769632433</v>
      </c>
      <c r="BI259" s="60">
        <f ca="1">BI$5-AF259</f>
        <v>-20.391494488745195</v>
      </c>
      <c r="BJ259" s="60">
        <f ca="1">BJ$5-AG259</f>
        <v>8.43955105767877</v>
      </c>
      <c r="BK259" s="60" t="e">
        <f>BK$5-AH259</f>
        <v>#N/A</v>
      </c>
      <c r="BL259" s="60" t="e">
        <f>BL$5-AI259</f>
        <v>#N/A</v>
      </c>
      <c r="BM259" s="60" t="e">
        <f>BM$5-AJ259</f>
        <v>#N/A</v>
      </c>
      <c r="BN259" s="60" t="e">
        <f>BN$5-AK259</f>
        <v>#N/A</v>
      </c>
      <c r="BO259" s="60" t="e">
        <f>BO$5-AL259</f>
        <v>#N/A</v>
      </c>
      <c r="BP259" s="60" t="e">
        <f>BP$5-AM259</f>
        <v>#N/A</v>
      </c>
      <c r="BQ259" s="60" t="e">
        <f>BQ$5-AN259</f>
        <v>#N/A</v>
      </c>
      <c r="BR259" s="60" t="e">
        <f>BR$5-AO259</f>
        <v>#N/A</v>
      </c>
      <c r="BS259" s="60" t="e">
        <f>BS$5-AP259</f>
        <v>#N/A</v>
      </c>
      <c r="BT259" s="60" t="e">
        <f>BT$5-AQ259</f>
        <v>#N/A</v>
      </c>
      <c r="BV259" s="60" cm="1">
        <f t="array" aca="1" ref="BV259" ca="1">SQRT(SUMSQ(_xlfn._xlws.FILTER(AV259:BT259,ISNUMBER(AV259:BT259)))/COUNT(_xlfn._xlws.FILTER(AV259:BT259,ISNUMBER(AV259:BT259))))</f>
        <v>14.402672945502388</v>
      </c>
    </row>
    <row r="260" spans="3:74" x14ac:dyDescent="0.2">
      <c r="C260" s="60" t="s">
        <v>428</v>
      </c>
      <c r="D260" s="60">
        <v>0</v>
      </c>
      <c r="E260" s="60">
        <v>-2.3460000000000001</v>
      </c>
      <c r="F260" s="60">
        <v>-4.6929999999999996</v>
      </c>
      <c r="G260" s="60">
        <v>-7.0389999999999997</v>
      </c>
      <c r="H260" s="60">
        <v>-9.3849999999999998</v>
      </c>
      <c r="I260" s="60">
        <v>-11.731</v>
      </c>
      <c r="J260" s="60">
        <v>-14.077999999999999</v>
      </c>
      <c r="K260" s="60">
        <v>-16.423999999999999</v>
      </c>
      <c r="L260" s="60">
        <v>-18.77</v>
      </c>
      <c r="M260" s="60">
        <v>7.0389999999999997</v>
      </c>
      <c r="N260" s="60">
        <v>4.6929999999999996</v>
      </c>
      <c r="O260" s="60">
        <v>2.3460000000000001</v>
      </c>
      <c r="P260" s="60">
        <v>0</v>
      </c>
      <c r="R260" s="61">
        <f>(ROW(R260)-ROW($C$6))</f>
        <v>254</v>
      </c>
      <c r="S260" s="60">
        <f ca="1">100+HLOOKUP(S$4,$D$7:$P$336,$R260,FALSE)-HLOOKUP(S$3,$D$7:$P$336,$R260,FALSE)</f>
        <v>83.575999999999993</v>
      </c>
      <c r="T260" s="60">
        <f ca="1">100+HLOOKUP(T$4,$D$7:$P$336,$R260,FALSE)-HLOOKUP(T$3,$D$7:$P$336,$R260,FALSE)</f>
        <v>83.575999999999993</v>
      </c>
      <c r="U260" s="60">
        <f ca="1">100+HLOOKUP(U$4,$D$7:$P$336,$R260,FALSE)-HLOOKUP(U$3,$D$7:$P$336,$R260,FALSE)</f>
        <v>83.576000000000008</v>
      </c>
      <c r="V260" s="60">
        <f ca="1">100+HLOOKUP(V$4,$D$7:$P$336,$R260,FALSE)-HLOOKUP(V$3,$D$7:$P$336,$R260,FALSE)</f>
        <v>83.576000000000008</v>
      </c>
      <c r="W260" s="60">
        <f ca="1">100+HLOOKUP(W$4,$D$7:$P$336,$R260,FALSE)-HLOOKUP(W$3,$D$7:$P$336,$R260,FALSE)</f>
        <v>83.575999999999993</v>
      </c>
      <c r="X260" s="60">
        <f ca="1">100+HLOOKUP(X$4,$D$7:$P$336,$R260,FALSE)-HLOOKUP(X$3,$D$7:$P$336,$R260,FALSE)</f>
        <v>83.575999999999993</v>
      </c>
      <c r="Y260" s="60">
        <f ca="1">100+HLOOKUP(Y$4,$D$7:$P$336,$R260,FALSE)-HLOOKUP(Y$3,$D$7:$P$336,$R260,FALSE)</f>
        <v>83.575999999999993</v>
      </c>
      <c r="Z260" s="60">
        <f ca="1">100+HLOOKUP(Z$4,$D$7:$P$336,$R260,FALSE)-HLOOKUP(Z$3,$D$7:$P$336,$R260,FALSE)</f>
        <v>83.576000000000008</v>
      </c>
      <c r="AA260" s="60">
        <f ca="1">100+HLOOKUP(AA$4,$D$7:$P$336,$R260,FALSE)-HLOOKUP(AA$3,$D$7:$P$336,$R260,FALSE)</f>
        <v>83.576000000000008</v>
      </c>
      <c r="AB260" s="60">
        <f ca="1">100+HLOOKUP(AB$4,$D$7:$P$336,$R260,FALSE)-HLOOKUP(AB$3,$D$7:$P$336,$R260,FALSE)</f>
        <v>83.575999999999993</v>
      </c>
      <c r="AC260" s="60">
        <f ca="1">100+HLOOKUP(AC$4,$D$7:$P$336,$R260,FALSE)-HLOOKUP(AC$3,$D$7:$P$336,$R260,FALSE)</f>
        <v>111.732</v>
      </c>
      <c r="AD260" s="60">
        <f ca="1">100+HLOOKUP(AD$4,$D$7:$P$336,$R260,FALSE)-HLOOKUP(AD$3,$D$7:$P$336,$R260,FALSE)</f>
        <v>111.73100000000001</v>
      </c>
      <c r="AE260" s="60">
        <f ca="1">100+HLOOKUP(AE$4,$D$7:$P$336,$R260,FALSE)-HLOOKUP(AE$3,$D$7:$P$336,$R260,FALSE)</f>
        <v>111.732</v>
      </c>
      <c r="AF260" s="60">
        <f ca="1">100+HLOOKUP(AF$4,$D$7:$P$336,$R260,FALSE)-HLOOKUP(AF$3,$D$7:$P$336,$R260,FALSE)</f>
        <v>111.73099999999999</v>
      </c>
      <c r="AG260" s="60">
        <f ca="1">100+HLOOKUP(AG$4,$D$7:$P$336,$R260,FALSE)-HLOOKUP(AG$3,$D$7:$P$336,$R260,FALSE)</f>
        <v>83.576000000000008</v>
      </c>
      <c r="AH260" s="60" t="e">
        <f>100+HLOOKUP(AH$4,$D$7:$P$336,$R260,FALSE)-HLOOKUP(AH$3,$D$7:$P$336,$R260,FALSE)</f>
        <v>#N/A</v>
      </c>
      <c r="AI260" s="60" t="e">
        <f>100+HLOOKUP(AI$4,$D$7:$P$336,$R260,FALSE)-HLOOKUP(AI$3,$D$7:$P$336,$R260,FALSE)</f>
        <v>#N/A</v>
      </c>
      <c r="AJ260" s="60" t="e">
        <f>100+HLOOKUP(AJ$4,$D$7:$P$336,$R260,FALSE)-HLOOKUP(AJ$3,$D$7:$P$336,$R260,FALSE)</f>
        <v>#N/A</v>
      </c>
      <c r="AK260" s="60" t="e">
        <f>100+HLOOKUP(AK$4,$D$7:$P$336,$R260,FALSE)-HLOOKUP(AK$3,$D$7:$P$336,$R260,FALSE)</f>
        <v>#N/A</v>
      </c>
      <c r="AL260" s="60" t="e">
        <f>100+HLOOKUP(AL$4,$D$7:$P$336,$R260,FALSE)-HLOOKUP(AL$3,$D$7:$P$336,$R260,FALSE)</f>
        <v>#N/A</v>
      </c>
      <c r="AM260" s="60" t="e">
        <f>100+HLOOKUP(AM$4,$D$7:$P$336,$R260,FALSE)-HLOOKUP(AM$3,$D$7:$P$336,$R260,FALSE)</f>
        <v>#N/A</v>
      </c>
      <c r="AN260" s="60" t="e">
        <f>100+HLOOKUP(AN$4,$D$7:$P$336,$R260,FALSE)-HLOOKUP(AN$3,$D$7:$P$336,$R260,FALSE)</f>
        <v>#N/A</v>
      </c>
      <c r="AO260" s="60" t="e">
        <f>100+HLOOKUP(AO$4,$D$7:$P$336,$R260,FALSE)-HLOOKUP(AO$3,$D$7:$P$336,$R260,FALSE)</f>
        <v>#N/A</v>
      </c>
      <c r="AP260" s="60" t="e">
        <f>100+HLOOKUP(AP$4,$D$7:$P$336,$R260,FALSE)-HLOOKUP(AP$3,$D$7:$P$336,$R260,FALSE)</f>
        <v>#N/A</v>
      </c>
      <c r="AQ260" s="60" t="e">
        <f>100+HLOOKUP(AQ$4,$D$7:$P$336,$R260,FALSE)-HLOOKUP(AQ$3,$D$7:$P$336,$R260,FALSE)</f>
        <v>#N/A</v>
      </c>
      <c r="AV260" s="60">
        <f ca="1">AV$5-S260</f>
        <v>19.614399426796439</v>
      </c>
      <c r="AW260" s="60">
        <f ca="1">AW$5-T260</f>
        <v>10.644650529757754</v>
      </c>
      <c r="AX260" s="60">
        <f ca="1">AX$5-U260</f>
        <v>18.199915403668044</v>
      </c>
      <c r="AY260" s="60">
        <f ca="1">AY$5-V260</f>
        <v>10.027014401527794</v>
      </c>
      <c r="AZ260" s="60">
        <f ca="1">AZ$5-W260</f>
        <v>13.878482172596037</v>
      </c>
      <c r="BA260" s="60">
        <f ca="1">BA$5-X260</f>
        <v>14.88905905898271</v>
      </c>
      <c r="BB260" s="60">
        <f ca="1">BB$5-Y260</f>
        <v>9.7745927273811333</v>
      </c>
      <c r="BC260" s="60">
        <f ca="1">BC$5-Z260</f>
        <v>23.861465909882156</v>
      </c>
      <c r="BD260" s="60">
        <f ca="1">BD$5-AA260</f>
        <v>14.360518664382354</v>
      </c>
      <c r="BE260" s="60">
        <f ca="1">BE$5-AB260</f>
        <v>8.2533905919922006</v>
      </c>
      <c r="BF260" s="60">
        <f ca="1">BF$5-AC260</f>
        <v>-10.714695683522919</v>
      </c>
      <c r="BG260" s="60">
        <f ca="1">BG$5-AD260</f>
        <v>-7.7457412949814994</v>
      </c>
      <c r="BH260" s="60">
        <f ca="1">BH$5-AE260</f>
        <v>-12.777407769632433</v>
      </c>
      <c r="BI260" s="60">
        <f ca="1">BI$5-AF260</f>
        <v>-21.12249448874519</v>
      </c>
      <c r="BJ260" s="60">
        <f ca="1">BJ$5-AG260</f>
        <v>7.8635510576787624</v>
      </c>
      <c r="BK260" s="60" t="e">
        <f>BK$5-AH260</f>
        <v>#N/A</v>
      </c>
      <c r="BL260" s="60" t="e">
        <f>BL$5-AI260</f>
        <v>#N/A</v>
      </c>
      <c r="BM260" s="60" t="e">
        <f>BM$5-AJ260</f>
        <v>#N/A</v>
      </c>
      <c r="BN260" s="60" t="e">
        <f>BN$5-AK260</f>
        <v>#N/A</v>
      </c>
      <c r="BO260" s="60" t="e">
        <f>BO$5-AL260</f>
        <v>#N/A</v>
      </c>
      <c r="BP260" s="60" t="e">
        <f>BP$5-AM260</f>
        <v>#N/A</v>
      </c>
      <c r="BQ260" s="60" t="e">
        <f>BQ$5-AN260</f>
        <v>#N/A</v>
      </c>
      <c r="BR260" s="60" t="e">
        <f>BR$5-AO260</f>
        <v>#N/A</v>
      </c>
      <c r="BS260" s="60" t="e">
        <f>BS$5-AP260</f>
        <v>#N/A</v>
      </c>
      <c r="BT260" s="60" t="e">
        <f>BT$5-AQ260</f>
        <v>#N/A</v>
      </c>
      <c r="BV260" s="60" cm="1">
        <f t="array" aca="1" ref="BV260" ca="1">SQRT(SUMSQ(_xlfn._xlws.FILTER(AV260:BT260,ISNUMBER(AV260:BT260)))/COUNT(_xlfn._xlws.FILTER(AV260:BT260,ISNUMBER(AV260:BT260))))</f>
        <v>14.44396362052071</v>
      </c>
    </row>
    <row r="261" spans="3:74" x14ac:dyDescent="0.2">
      <c r="C261" s="60" t="s">
        <v>295</v>
      </c>
      <c r="D261" s="60">
        <v>0</v>
      </c>
      <c r="E261" s="60">
        <v>2</v>
      </c>
      <c r="F261" s="60">
        <v>4</v>
      </c>
      <c r="G261" s="60">
        <v>4</v>
      </c>
      <c r="H261" s="60">
        <v>6</v>
      </c>
      <c r="I261" s="60">
        <v>8</v>
      </c>
      <c r="J261" s="60">
        <v>10</v>
      </c>
      <c r="K261" s="60">
        <v>-10</v>
      </c>
      <c r="L261" s="60">
        <v>-8</v>
      </c>
      <c r="M261" s="60">
        <v>-6</v>
      </c>
      <c r="N261" s="60">
        <v>-4</v>
      </c>
      <c r="O261" s="60">
        <v>-2</v>
      </c>
      <c r="P261" s="60">
        <v>0</v>
      </c>
      <c r="R261" s="61">
        <f>(ROW(R261)-ROW($C$6))</f>
        <v>255</v>
      </c>
      <c r="S261" s="60">
        <f ca="1">100+HLOOKUP(S$4,$D$7:$P$336,$R261,FALSE)-HLOOKUP(S$3,$D$7:$P$336,$R261,FALSE)</f>
        <v>112</v>
      </c>
      <c r="T261" s="60">
        <f ca="1">100+HLOOKUP(T$4,$D$7:$P$336,$R261,FALSE)-HLOOKUP(T$3,$D$7:$P$336,$R261,FALSE)</f>
        <v>112</v>
      </c>
      <c r="U261" s="60">
        <f ca="1">100+HLOOKUP(U$4,$D$7:$P$336,$R261,FALSE)-HLOOKUP(U$3,$D$7:$P$336,$R261,FALSE)</f>
        <v>90</v>
      </c>
      <c r="V261" s="60">
        <f ca="1">100+HLOOKUP(V$4,$D$7:$P$336,$R261,FALSE)-HLOOKUP(V$3,$D$7:$P$336,$R261,FALSE)</f>
        <v>112</v>
      </c>
      <c r="W261" s="60">
        <f ca="1">100+HLOOKUP(W$4,$D$7:$P$336,$R261,FALSE)-HLOOKUP(W$3,$D$7:$P$336,$R261,FALSE)</f>
        <v>90</v>
      </c>
      <c r="X261" s="60">
        <f ca="1">100+HLOOKUP(X$4,$D$7:$P$336,$R261,FALSE)-HLOOKUP(X$3,$D$7:$P$336,$R261,FALSE)</f>
        <v>112</v>
      </c>
      <c r="Y261" s="60">
        <f ca="1">100+HLOOKUP(Y$4,$D$7:$P$336,$R261,FALSE)-HLOOKUP(Y$3,$D$7:$P$336,$R261,FALSE)</f>
        <v>112</v>
      </c>
      <c r="Z261" s="60">
        <f ca="1">100+HLOOKUP(Z$4,$D$7:$P$336,$R261,FALSE)-HLOOKUP(Z$3,$D$7:$P$336,$R261,FALSE)</f>
        <v>90</v>
      </c>
      <c r="AA261" s="60">
        <f ca="1">100+HLOOKUP(AA$4,$D$7:$P$336,$R261,FALSE)-HLOOKUP(AA$3,$D$7:$P$336,$R261,FALSE)</f>
        <v>112</v>
      </c>
      <c r="AB261" s="60">
        <f ca="1">100+HLOOKUP(AB$4,$D$7:$P$336,$R261,FALSE)-HLOOKUP(AB$3,$D$7:$P$336,$R261,FALSE)</f>
        <v>90</v>
      </c>
      <c r="AC261" s="60">
        <f ca="1">100+HLOOKUP(AC$4,$D$7:$P$336,$R261,FALSE)-HLOOKUP(AC$3,$D$7:$P$336,$R261,FALSE)</f>
        <v>90</v>
      </c>
      <c r="AD261" s="60">
        <f ca="1">100+HLOOKUP(AD$4,$D$7:$P$336,$R261,FALSE)-HLOOKUP(AD$3,$D$7:$P$336,$R261,FALSE)</f>
        <v>92</v>
      </c>
      <c r="AE261" s="60">
        <f ca="1">100+HLOOKUP(AE$4,$D$7:$P$336,$R261,FALSE)-HLOOKUP(AE$3,$D$7:$P$336,$R261,FALSE)</f>
        <v>92</v>
      </c>
      <c r="AF261" s="60">
        <f ca="1">100+HLOOKUP(AF$4,$D$7:$P$336,$R261,FALSE)-HLOOKUP(AF$3,$D$7:$P$336,$R261,FALSE)</f>
        <v>112</v>
      </c>
      <c r="AG261" s="60">
        <f ca="1">100+HLOOKUP(AG$4,$D$7:$P$336,$R261,FALSE)-HLOOKUP(AG$3,$D$7:$P$336,$R261,FALSE)</f>
        <v>112</v>
      </c>
      <c r="AH261" s="60" t="e">
        <f>100+HLOOKUP(AH$4,$D$7:$P$336,$R261,FALSE)-HLOOKUP(AH$3,$D$7:$P$336,$R261,FALSE)</f>
        <v>#N/A</v>
      </c>
      <c r="AI261" s="60" t="e">
        <f>100+HLOOKUP(AI$4,$D$7:$P$336,$R261,FALSE)-HLOOKUP(AI$3,$D$7:$P$336,$R261,FALSE)</f>
        <v>#N/A</v>
      </c>
      <c r="AJ261" s="60" t="e">
        <f>100+HLOOKUP(AJ$4,$D$7:$P$336,$R261,FALSE)-HLOOKUP(AJ$3,$D$7:$P$336,$R261,FALSE)</f>
        <v>#N/A</v>
      </c>
      <c r="AK261" s="60" t="e">
        <f>100+HLOOKUP(AK$4,$D$7:$P$336,$R261,FALSE)-HLOOKUP(AK$3,$D$7:$P$336,$R261,FALSE)</f>
        <v>#N/A</v>
      </c>
      <c r="AL261" s="60" t="e">
        <f>100+HLOOKUP(AL$4,$D$7:$P$336,$R261,FALSE)-HLOOKUP(AL$3,$D$7:$P$336,$R261,FALSE)</f>
        <v>#N/A</v>
      </c>
      <c r="AM261" s="60" t="e">
        <f>100+HLOOKUP(AM$4,$D$7:$P$336,$R261,FALSE)-HLOOKUP(AM$3,$D$7:$P$336,$R261,FALSE)</f>
        <v>#N/A</v>
      </c>
      <c r="AN261" s="60" t="e">
        <f>100+HLOOKUP(AN$4,$D$7:$P$336,$R261,FALSE)-HLOOKUP(AN$3,$D$7:$P$336,$R261,FALSE)</f>
        <v>#N/A</v>
      </c>
      <c r="AO261" s="60" t="e">
        <f>100+HLOOKUP(AO$4,$D$7:$P$336,$R261,FALSE)-HLOOKUP(AO$3,$D$7:$P$336,$R261,FALSE)</f>
        <v>#N/A</v>
      </c>
      <c r="AP261" s="60" t="e">
        <f>100+HLOOKUP(AP$4,$D$7:$P$336,$R261,FALSE)-HLOOKUP(AP$3,$D$7:$P$336,$R261,FALSE)</f>
        <v>#N/A</v>
      </c>
      <c r="AQ261" s="60" t="e">
        <f>100+HLOOKUP(AQ$4,$D$7:$P$336,$R261,FALSE)-HLOOKUP(AQ$3,$D$7:$P$336,$R261,FALSE)</f>
        <v>#N/A</v>
      </c>
      <c r="AV261" s="60">
        <f ca="1">AV$5-S261</f>
        <v>-8.8096005732035678</v>
      </c>
      <c r="AW261" s="60">
        <f ca="1">AW$5-T261</f>
        <v>-17.779349470242252</v>
      </c>
      <c r="AX261" s="60">
        <f ca="1">AX$5-U261</f>
        <v>11.775915403668051</v>
      </c>
      <c r="AY261" s="60">
        <f ca="1">AY$5-V261</f>
        <v>-18.396985598472199</v>
      </c>
      <c r="AZ261" s="60">
        <f ca="1">AZ$5-W261</f>
        <v>7.4544821725960304</v>
      </c>
      <c r="BA261" s="60">
        <f ca="1">BA$5-X261</f>
        <v>-13.534940941017297</v>
      </c>
      <c r="BB261" s="60">
        <f ca="1">BB$5-Y261</f>
        <v>-18.649407272618873</v>
      </c>
      <c r="BC261" s="60">
        <f ca="1">BC$5-Z261</f>
        <v>17.437465909882164</v>
      </c>
      <c r="BD261" s="60">
        <f ca="1">BD$5-AA261</f>
        <v>-14.063481335617638</v>
      </c>
      <c r="BE261" s="60">
        <f ca="1">BE$5-AB261</f>
        <v>1.829390591992194</v>
      </c>
      <c r="BF261" s="60">
        <f ca="1">BF$5-AC261</f>
        <v>11.01730431647708</v>
      </c>
      <c r="BG261" s="60">
        <f ca="1">BG$5-AD261</f>
        <v>11.985258705018509</v>
      </c>
      <c r="BH261" s="60">
        <f ca="1">BH$5-AE261</f>
        <v>6.9545922303675667</v>
      </c>
      <c r="BI261" s="60">
        <f ca="1">BI$5-AF261</f>
        <v>-21.391494488745195</v>
      </c>
      <c r="BJ261" s="60">
        <f ca="1">BJ$5-AG261</f>
        <v>-20.56044894232123</v>
      </c>
      <c r="BK261" s="60" t="e">
        <f>BK$5-AH261</f>
        <v>#N/A</v>
      </c>
      <c r="BL261" s="60" t="e">
        <f>BL$5-AI261</f>
        <v>#N/A</v>
      </c>
      <c r="BM261" s="60" t="e">
        <f>BM$5-AJ261</f>
        <v>#N/A</v>
      </c>
      <c r="BN261" s="60" t="e">
        <f>BN$5-AK261</f>
        <v>#N/A</v>
      </c>
      <c r="BO261" s="60" t="e">
        <f>BO$5-AL261</f>
        <v>#N/A</v>
      </c>
      <c r="BP261" s="60" t="e">
        <f>BP$5-AM261</f>
        <v>#N/A</v>
      </c>
      <c r="BQ261" s="60" t="e">
        <f>BQ$5-AN261</f>
        <v>#N/A</v>
      </c>
      <c r="BR261" s="60" t="e">
        <f>BR$5-AO261</f>
        <v>#N/A</v>
      </c>
      <c r="BS261" s="60" t="e">
        <f>BS$5-AP261</f>
        <v>#N/A</v>
      </c>
      <c r="BT261" s="60" t="e">
        <f>BT$5-AQ261</f>
        <v>#N/A</v>
      </c>
      <c r="BV261" s="60" cm="1">
        <f t="array" aca="1" ref="BV261" ca="1">SQRT(SUMSQ(_xlfn._xlws.FILTER(AV261:BT261,ISNUMBER(AV261:BT261)))/COUNT(_xlfn._xlws.FILTER(AV261:BT261,ISNUMBER(AV261:BT261))))</f>
        <v>14.505895767748477</v>
      </c>
    </row>
    <row r="262" spans="3:74" x14ac:dyDescent="0.2">
      <c r="C262" s="60" t="s">
        <v>212</v>
      </c>
      <c r="D262" s="60">
        <v>0</v>
      </c>
      <c r="E262" s="60">
        <v>2</v>
      </c>
      <c r="F262" s="60">
        <v>4</v>
      </c>
      <c r="G262" s="60">
        <v>6</v>
      </c>
      <c r="H262" s="60">
        <v>8</v>
      </c>
      <c r="I262" s="60">
        <v>10</v>
      </c>
      <c r="J262" s="60">
        <v>-12</v>
      </c>
      <c r="K262" s="60">
        <v>-10</v>
      </c>
      <c r="L262" s="60">
        <v>-8</v>
      </c>
      <c r="M262" s="60">
        <v>-6</v>
      </c>
      <c r="N262" s="60">
        <v>-4</v>
      </c>
      <c r="O262" s="60">
        <v>-2</v>
      </c>
      <c r="P262" s="60">
        <v>0</v>
      </c>
      <c r="R262" s="61">
        <f>(ROW(R262)-ROW($C$6))</f>
        <v>256</v>
      </c>
      <c r="S262" s="60">
        <f ca="1">100+HLOOKUP(S$4,$D$7:$P$336,$R262,FALSE)-HLOOKUP(S$3,$D$7:$P$336,$R262,FALSE)</f>
        <v>114</v>
      </c>
      <c r="T262" s="60">
        <f ca="1">100+HLOOKUP(T$4,$D$7:$P$336,$R262,FALSE)-HLOOKUP(T$3,$D$7:$P$336,$R262,FALSE)</f>
        <v>90</v>
      </c>
      <c r="U262" s="60">
        <f ca="1">100+HLOOKUP(U$4,$D$7:$P$336,$R262,FALSE)-HLOOKUP(U$3,$D$7:$P$336,$R262,FALSE)</f>
        <v>90</v>
      </c>
      <c r="V262" s="60">
        <f ca="1">100+HLOOKUP(V$4,$D$7:$P$336,$R262,FALSE)-HLOOKUP(V$3,$D$7:$P$336,$R262,FALSE)</f>
        <v>114</v>
      </c>
      <c r="W262" s="60">
        <f ca="1">100+HLOOKUP(W$4,$D$7:$P$336,$R262,FALSE)-HLOOKUP(W$3,$D$7:$P$336,$R262,FALSE)</f>
        <v>90</v>
      </c>
      <c r="X262" s="60">
        <f ca="1">100+HLOOKUP(X$4,$D$7:$P$336,$R262,FALSE)-HLOOKUP(X$3,$D$7:$P$336,$R262,FALSE)</f>
        <v>114</v>
      </c>
      <c r="Y262" s="60">
        <f ca="1">100+HLOOKUP(Y$4,$D$7:$P$336,$R262,FALSE)-HLOOKUP(Y$3,$D$7:$P$336,$R262,FALSE)</f>
        <v>90</v>
      </c>
      <c r="Z262" s="60">
        <f ca="1">100+HLOOKUP(Z$4,$D$7:$P$336,$R262,FALSE)-HLOOKUP(Z$3,$D$7:$P$336,$R262,FALSE)</f>
        <v>90</v>
      </c>
      <c r="AA262" s="60">
        <f ca="1">100+HLOOKUP(AA$4,$D$7:$P$336,$R262,FALSE)-HLOOKUP(AA$3,$D$7:$P$336,$R262,FALSE)</f>
        <v>114</v>
      </c>
      <c r="AB262" s="60">
        <f ca="1">100+HLOOKUP(AB$4,$D$7:$P$336,$R262,FALSE)-HLOOKUP(AB$3,$D$7:$P$336,$R262,FALSE)</f>
        <v>90</v>
      </c>
      <c r="AC262" s="60">
        <f ca="1">100+HLOOKUP(AC$4,$D$7:$P$336,$R262,FALSE)-HLOOKUP(AC$3,$D$7:$P$336,$R262,FALSE)</f>
        <v>90</v>
      </c>
      <c r="AD262" s="60">
        <f ca="1">100+HLOOKUP(AD$4,$D$7:$P$336,$R262,FALSE)-HLOOKUP(AD$3,$D$7:$P$336,$R262,FALSE)</f>
        <v>90</v>
      </c>
      <c r="AE262" s="60">
        <f ca="1">100+HLOOKUP(AE$4,$D$7:$P$336,$R262,FALSE)-HLOOKUP(AE$3,$D$7:$P$336,$R262,FALSE)</f>
        <v>114</v>
      </c>
      <c r="AF262" s="60">
        <f ca="1">100+HLOOKUP(AF$4,$D$7:$P$336,$R262,FALSE)-HLOOKUP(AF$3,$D$7:$P$336,$R262,FALSE)</f>
        <v>114</v>
      </c>
      <c r="AG262" s="60">
        <f ca="1">100+HLOOKUP(AG$4,$D$7:$P$336,$R262,FALSE)-HLOOKUP(AG$3,$D$7:$P$336,$R262,FALSE)</f>
        <v>114</v>
      </c>
      <c r="AH262" s="60" t="e">
        <f>100+HLOOKUP(AH$4,$D$7:$P$336,$R262,FALSE)-HLOOKUP(AH$3,$D$7:$P$336,$R262,FALSE)</f>
        <v>#N/A</v>
      </c>
      <c r="AI262" s="60" t="e">
        <f>100+HLOOKUP(AI$4,$D$7:$P$336,$R262,FALSE)-HLOOKUP(AI$3,$D$7:$P$336,$R262,FALSE)</f>
        <v>#N/A</v>
      </c>
      <c r="AJ262" s="60" t="e">
        <f>100+HLOOKUP(AJ$4,$D$7:$P$336,$R262,FALSE)-HLOOKUP(AJ$3,$D$7:$P$336,$R262,FALSE)</f>
        <v>#N/A</v>
      </c>
      <c r="AK262" s="60" t="e">
        <f>100+HLOOKUP(AK$4,$D$7:$P$336,$R262,FALSE)-HLOOKUP(AK$3,$D$7:$P$336,$R262,FALSE)</f>
        <v>#N/A</v>
      </c>
      <c r="AL262" s="60" t="e">
        <f>100+HLOOKUP(AL$4,$D$7:$P$336,$R262,FALSE)-HLOOKUP(AL$3,$D$7:$P$336,$R262,FALSE)</f>
        <v>#N/A</v>
      </c>
      <c r="AM262" s="60" t="e">
        <f>100+HLOOKUP(AM$4,$D$7:$P$336,$R262,FALSE)-HLOOKUP(AM$3,$D$7:$P$336,$R262,FALSE)</f>
        <v>#N/A</v>
      </c>
      <c r="AN262" s="60" t="e">
        <f>100+HLOOKUP(AN$4,$D$7:$P$336,$R262,FALSE)-HLOOKUP(AN$3,$D$7:$P$336,$R262,FALSE)</f>
        <v>#N/A</v>
      </c>
      <c r="AO262" s="60" t="e">
        <f>100+HLOOKUP(AO$4,$D$7:$P$336,$R262,FALSE)-HLOOKUP(AO$3,$D$7:$P$336,$R262,FALSE)</f>
        <v>#N/A</v>
      </c>
      <c r="AP262" s="60" t="e">
        <f>100+HLOOKUP(AP$4,$D$7:$P$336,$R262,FALSE)-HLOOKUP(AP$3,$D$7:$P$336,$R262,FALSE)</f>
        <v>#N/A</v>
      </c>
      <c r="AQ262" s="60" t="e">
        <f>100+HLOOKUP(AQ$4,$D$7:$P$336,$R262,FALSE)-HLOOKUP(AQ$3,$D$7:$P$336,$R262,FALSE)</f>
        <v>#N/A</v>
      </c>
      <c r="AV262" s="60">
        <f ca="1">AV$5-S262</f>
        <v>-10.809600573203568</v>
      </c>
      <c r="AW262" s="60">
        <f ca="1">AW$5-T262</f>
        <v>4.2206505297577479</v>
      </c>
      <c r="AX262" s="60">
        <f ca="1">AX$5-U262</f>
        <v>11.775915403668051</v>
      </c>
      <c r="AY262" s="60">
        <f ca="1">AY$5-V262</f>
        <v>-20.396985598472199</v>
      </c>
      <c r="AZ262" s="60">
        <f ca="1">AZ$5-W262</f>
        <v>7.4544821725960304</v>
      </c>
      <c r="BA262" s="60">
        <f ca="1">BA$5-X262</f>
        <v>-15.534940941017297</v>
      </c>
      <c r="BB262" s="60">
        <f ca="1">BB$5-Y262</f>
        <v>3.3505927273811267</v>
      </c>
      <c r="BC262" s="60">
        <f ca="1">BC$5-Z262</f>
        <v>17.437465909882164</v>
      </c>
      <c r="BD262" s="60">
        <f ca="1">BD$5-AA262</f>
        <v>-16.063481335617638</v>
      </c>
      <c r="BE262" s="60">
        <f ca="1">BE$5-AB262</f>
        <v>1.829390591992194</v>
      </c>
      <c r="BF262" s="60">
        <f ca="1">BF$5-AC262</f>
        <v>11.01730431647708</v>
      </c>
      <c r="BG262" s="60">
        <f ca="1">BG$5-AD262</f>
        <v>13.985258705018509</v>
      </c>
      <c r="BH262" s="60">
        <f ca="1">BH$5-AE262</f>
        <v>-15.045407769632433</v>
      </c>
      <c r="BI262" s="60">
        <f ca="1">BI$5-AF262</f>
        <v>-23.391494488745195</v>
      </c>
      <c r="BJ262" s="60">
        <f ca="1">BJ$5-AG262</f>
        <v>-22.56044894232123</v>
      </c>
      <c r="BK262" s="60" t="e">
        <f>BK$5-AH262</f>
        <v>#N/A</v>
      </c>
      <c r="BL262" s="60" t="e">
        <f>BL$5-AI262</f>
        <v>#N/A</v>
      </c>
      <c r="BM262" s="60" t="e">
        <f>BM$5-AJ262</f>
        <v>#N/A</v>
      </c>
      <c r="BN262" s="60" t="e">
        <f>BN$5-AK262</f>
        <v>#N/A</v>
      </c>
      <c r="BO262" s="60" t="e">
        <f>BO$5-AL262</f>
        <v>#N/A</v>
      </c>
      <c r="BP262" s="60" t="e">
        <f>BP$5-AM262</f>
        <v>#N/A</v>
      </c>
      <c r="BQ262" s="60" t="e">
        <f>BQ$5-AN262</f>
        <v>#N/A</v>
      </c>
      <c r="BR262" s="60" t="e">
        <f>BR$5-AO262</f>
        <v>#N/A</v>
      </c>
      <c r="BS262" s="60" t="e">
        <f>BS$5-AP262</f>
        <v>#N/A</v>
      </c>
      <c r="BT262" s="60" t="e">
        <f>BT$5-AQ262</f>
        <v>#N/A</v>
      </c>
      <c r="BV262" s="60" cm="1">
        <f t="array" aca="1" ref="BV262" ca="1">SQRT(SUMSQ(_xlfn._xlws.FILTER(AV262:BT262,ISNUMBER(AV262:BT262)))/COUNT(_xlfn._xlws.FILTER(AV262:BT262,ISNUMBER(AV262:BT262))))</f>
        <v>14.519909705612882</v>
      </c>
    </row>
    <row r="263" spans="3:74" x14ac:dyDescent="0.2">
      <c r="C263" s="60" t="s">
        <v>427</v>
      </c>
      <c r="D263" s="60">
        <v>0</v>
      </c>
      <c r="E263" s="60">
        <v>-2</v>
      </c>
      <c r="F263" s="60">
        <v>-5</v>
      </c>
      <c r="G263" s="60">
        <v>-7</v>
      </c>
      <c r="H263" s="60">
        <v>-9</v>
      </c>
      <c r="I263" s="60">
        <v>-12</v>
      </c>
      <c r="J263" s="60">
        <v>-14</v>
      </c>
      <c r="K263" s="60">
        <v>-16</v>
      </c>
      <c r="L263" s="60">
        <v>-19</v>
      </c>
      <c r="M263" s="60">
        <v>7</v>
      </c>
      <c r="N263" s="60">
        <v>5</v>
      </c>
      <c r="O263" s="60">
        <v>2</v>
      </c>
      <c r="P263" s="60">
        <v>0</v>
      </c>
      <c r="R263" s="61">
        <f>(ROW(R263)-ROW($C$6))</f>
        <v>257</v>
      </c>
      <c r="S263" s="60">
        <f ca="1">100+HLOOKUP(S$4,$D$7:$P$336,$R263,FALSE)-HLOOKUP(S$3,$D$7:$P$336,$R263,FALSE)</f>
        <v>84</v>
      </c>
      <c r="T263" s="60">
        <f ca="1">100+HLOOKUP(T$4,$D$7:$P$336,$R263,FALSE)-HLOOKUP(T$3,$D$7:$P$336,$R263,FALSE)</f>
        <v>84</v>
      </c>
      <c r="U263" s="60">
        <f ca="1">100+HLOOKUP(U$4,$D$7:$P$336,$R263,FALSE)-HLOOKUP(U$3,$D$7:$P$336,$R263,FALSE)</f>
        <v>83</v>
      </c>
      <c r="V263" s="60">
        <f ca="1">100+HLOOKUP(V$4,$D$7:$P$336,$R263,FALSE)-HLOOKUP(V$3,$D$7:$P$336,$R263,FALSE)</f>
        <v>83</v>
      </c>
      <c r="W263" s="60">
        <f ca="1">100+HLOOKUP(W$4,$D$7:$P$336,$R263,FALSE)-HLOOKUP(W$3,$D$7:$P$336,$R263,FALSE)</f>
        <v>84</v>
      </c>
      <c r="X263" s="60">
        <f ca="1">100+HLOOKUP(X$4,$D$7:$P$336,$R263,FALSE)-HLOOKUP(X$3,$D$7:$P$336,$R263,FALSE)</f>
        <v>84</v>
      </c>
      <c r="Y263" s="60">
        <f ca="1">100+HLOOKUP(Y$4,$D$7:$P$336,$R263,FALSE)-HLOOKUP(Y$3,$D$7:$P$336,$R263,FALSE)</f>
        <v>84</v>
      </c>
      <c r="Z263" s="60">
        <f ca="1">100+HLOOKUP(Z$4,$D$7:$P$336,$R263,FALSE)-HLOOKUP(Z$3,$D$7:$P$336,$R263,FALSE)</f>
        <v>83</v>
      </c>
      <c r="AA263" s="60">
        <f ca="1">100+HLOOKUP(AA$4,$D$7:$P$336,$R263,FALSE)-HLOOKUP(AA$3,$D$7:$P$336,$R263,FALSE)</f>
        <v>83</v>
      </c>
      <c r="AB263" s="60">
        <f ca="1">100+HLOOKUP(AB$4,$D$7:$P$336,$R263,FALSE)-HLOOKUP(AB$3,$D$7:$P$336,$R263,FALSE)</f>
        <v>84</v>
      </c>
      <c r="AC263" s="60">
        <f ca="1">100+HLOOKUP(AC$4,$D$7:$P$336,$R263,FALSE)-HLOOKUP(AC$3,$D$7:$P$336,$R263,FALSE)</f>
        <v>112</v>
      </c>
      <c r="AD263" s="60">
        <f ca="1">100+HLOOKUP(AD$4,$D$7:$P$336,$R263,FALSE)-HLOOKUP(AD$3,$D$7:$P$336,$R263,FALSE)</f>
        <v>111</v>
      </c>
      <c r="AE263" s="60">
        <f ca="1">100+HLOOKUP(AE$4,$D$7:$P$336,$R263,FALSE)-HLOOKUP(AE$3,$D$7:$P$336,$R263,FALSE)</f>
        <v>112</v>
      </c>
      <c r="AF263" s="60">
        <f ca="1">100+HLOOKUP(AF$4,$D$7:$P$336,$R263,FALSE)-HLOOKUP(AF$3,$D$7:$P$336,$R263,FALSE)</f>
        <v>112</v>
      </c>
      <c r="AG263" s="60">
        <f ca="1">100+HLOOKUP(AG$4,$D$7:$P$336,$R263,FALSE)-HLOOKUP(AG$3,$D$7:$P$336,$R263,FALSE)</f>
        <v>83</v>
      </c>
      <c r="AH263" s="60" t="e">
        <f>100+HLOOKUP(AH$4,$D$7:$P$336,$R263,FALSE)-HLOOKUP(AH$3,$D$7:$P$336,$R263,FALSE)</f>
        <v>#N/A</v>
      </c>
      <c r="AI263" s="60" t="e">
        <f>100+HLOOKUP(AI$4,$D$7:$P$336,$R263,FALSE)-HLOOKUP(AI$3,$D$7:$P$336,$R263,FALSE)</f>
        <v>#N/A</v>
      </c>
      <c r="AJ263" s="60" t="e">
        <f>100+HLOOKUP(AJ$4,$D$7:$P$336,$R263,FALSE)-HLOOKUP(AJ$3,$D$7:$P$336,$R263,FALSE)</f>
        <v>#N/A</v>
      </c>
      <c r="AK263" s="60" t="e">
        <f>100+HLOOKUP(AK$4,$D$7:$P$336,$R263,FALSE)-HLOOKUP(AK$3,$D$7:$P$336,$R263,FALSE)</f>
        <v>#N/A</v>
      </c>
      <c r="AL263" s="60" t="e">
        <f>100+HLOOKUP(AL$4,$D$7:$P$336,$R263,FALSE)-HLOOKUP(AL$3,$D$7:$P$336,$R263,FALSE)</f>
        <v>#N/A</v>
      </c>
      <c r="AM263" s="60" t="e">
        <f>100+HLOOKUP(AM$4,$D$7:$P$336,$R263,FALSE)-HLOOKUP(AM$3,$D$7:$P$336,$R263,FALSE)</f>
        <v>#N/A</v>
      </c>
      <c r="AN263" s="60" t="e">
        <f>100+HLOOKUP(AN$4,$D$7:$P$336,$R263,FALSE)-HLOOKUP(AN$3,$D$7:$P$336,$R263,FALSE)</f>
        <v>#N/A</v>
      </c>
      <c r="AO263" s="60" t="e">
        <f>100+HLOOKUP(AO$4,$D$7:$P$336,$R263,FALSE)-HLOOKUP(AO$3,$D$7:$P$336,$R263,FALSE)</f>
        <v>#N/A</v>
      </c>
      <c r="AP263" s="60" t="e">
        <f>100+HLOOKUP(AP$4,$D$7:$P$336,$R263,FALSE)-HLOOKUP(AP$3,$D$7:$P$336,$R263,FALSE)</f>
        <v>#N/A</v>
      </c>
      <c r="AQ263" s="60" t="e">
        <f>100+HLOOKUP(AQ$4,$D$7:$P$336,$R263,FALSE)-HLOOKUP(AQ$3,$D$7:$P$336,$R263,FALSE)</f>
        <v>#N/A</v>
      </c>
      <c r="AV263" s="60">
        <f ca="1">AV$5-S263</f>
        <v>19.190399426796432</v>
      </c>
      <c r="AW263" s="60">
        <f ca="1">AW$5-T263</f>
        <v>10.220650529757748</v>
      </c>
      <c r="AX263" s="60">
        <f ca="1">AX$5-U263</f>
        <v>18.775915403668051</v>
      </c>
      <c r="AY263" s="60">
        <f ca="1">AY$5-V263</f>
        <v>10.603014401527801</v>
      </c>
      <c r="AZ263" s="60">
        <f ca="1">AZ$5-W263</f>
        <v>13.45448217259603</v>
      </c>
      <c r="BA263" s="60">
        <f ca="1">BA$5-X263</f>
        <v>14.465059058982703</v>
      </c>
      <c r="BB263" s="60">
        <f ca="1">BB$5-Y263</f>
        <v>9.3505927273811267</v>
      </c>
      <c r="BC263" s="60">
        <f ca="1">BC$5-Z263</f>
        <v>24.437465909882164</v>
      </c>
      <c r="BD263" s="60">
        <f ca="1">BD$5-AA263</f>
        <v>14.936518664382362</v>
      </c>
      <c r="BE263" s="60">
        <f ca="1">BE$5-AB263</f>
        <v>7.829390591992194</v>
      </c>
      <c r="BF263" s="60">
        <f ca="1">BF$5-AC263</f>
        <v>-10.98269568352292</v>
      </c>
      <c r="BG263" s="60">
        <f ca="1">BG$5-AD263</f>
        <v>-7.0147412949814907</v>
      </c>
      <c r="BH263" s="60">
        <f ca="1">BH$5-AE263</f>
        <v>-13.045407769632433</v>
      </c>
      <c r="BI263" s="60">
        <f ca="1">BI$5-AF263</f>
        <v>-21.391494488745195</v>
      </c>
      <c r="BJ263" s="60">
        <f ca="1">BJ$5-AG263</f>
        <v>8.43955105767877</v>
      </c>
      <c r="BK263" s="60" t="e">
        <f>BK$5-AH263</f>
        <v>#N/A</v>
      </c>
      <c r="BL263" s="60" t="e">
        <f>BL$5-AI263</f>
        <v>#N/A</v>
      </c>
      <c r="BM263" s="60" t="e">
        <f>BM$5-AJ263</f>
        <v>#N/A</v>
      </c>
      <c r="BN263" s="60" t="e">
        <f>BN$5-AK263</f>
        <v>#N/A</v>
      </c>
      <c r="BO263" s="60" t="e">
        <f>BO$5-AL263</f>
        <v>#N/A</v>
      </c>
      <c r="BP263" s="60" t="e">
        <f>BP$5-AM263</f>
        <v>#N/A</v>
      </c>
      <c r="BQ263" s="60" t="e">
        <f>BQ$5-AN263</f>
        <v>#N/A</v>
      </c>
      <c r="BR263" s="60" t="e">
        <f>BR$5-AO263</f>
        <v>#N/A</v>
      </c>
      <c r="BS263" s="60" t="e">
        <f>BS$5-AP263</f>
        <v>#N/A</v>
      </c>
      <c r="BT263" s="60" t="e">
        <f>BT$5-AQ263</f>
        <v>#N/A</v>
      </c>
      <c r="BV263" s="60" cm="1">
        <f t="array" aca="1" ref="BV263" ca="1">SQRT(SUMSQ(_xlfn._xlws.FILTER(AV263:BT263,ISNUMBER(AV263:BT263)))/COUNT(_xlfn._xlws.FILTER(AV263:BT263,ISNUMBER(AV263:BT263))))</f>
        <v>14.527689099962821</v>
      </c>
    </row>
    <row r="264" spans="3:74" x14ac:dyDescent="0.2">
      <c r="C264" s="60" t="s">
        <v>232</v>
      </c>
      <c r="D264" s="60">
        <v>0</v>
      </c>
      <c r="E264" s="60">
        <v>-3</v>
      </c>
      <c r="F264" s="60">
        <v>-7</v>
      </c>
      <c r="G264" s="60">
        <v>-10</v>
      </c>
      <c r="H264" s="60">
        <v>-14</v>
      </c>
      <c r="I264" s="60">
        <v>-17</v>
      </c>
      <c r="J264" s="60">
        <v>-19</v>
      </c>
      <c r="K264" s="60">
        <v>-19</v>
      </c>
      <c r="L264" s="60">
        <v>-15</v>
      </c>
      <c r="M264" s="60">
        <v>-8</v>
      </c>
      <c r="N264" s="60">
        <v>7</v>
      </c>
      <c r="O264" s="60">
        <v>3</v>
      </c>
      <c r="P264" s="60">
        <v>0</v>
      </c>
      <c r="R264" s="61">
        <f>(ROW(R264)-ROW($C$6))</f>
        <v>258</v>
      </c>
      <c r="S264" s="60">
        <f ca="1">100+HLOOKUP(S$4,$D$7:$P$336,$R264,FALSE)-HLOOKUP(S$3,$D$7:$P$336,$R264,FALSE)</f>
        <v>94</v>
      </c>
      <c r="T264" s="60">
        <f ca="1">100+HLOOKUP(T$4,$D$7:$P$336,$R264,FALSE)-HLOOKUP(T$3,$D$7:$P$336,$R264,FALSE)</f>
        <v>78</v>
      </c>
      <c r="U264" s="60">
        <f ca="1">100+HLOOKUP(U$4,$D$7:$P$336,$R264,FALSE)-HLOOKUP(U$3,$D$7:$P$336,$R264,FALSE)</f>
        <v>88</v>
      </c>
      <c r="V264" s="60">
        <f ca="1">100+HLOOKUP(V$4,$D$7:$P$336,$R264,FALSE)-HLOOKUP(V$3,$D$7:$P$336,$R264,FALSE)</f>
        <v>76</v>
      </c>
      <c r="W264" s="60">
        <f ca="1">100+HLOOKUP(W$4,$D$7:$P$336,$R264,FALSE)-HLOOKUP(W$3,$D$7:$P$336,$R264,FALSE)</f>
        <v>81</v>
      </c>
      <c r="X264" s="60">
        <f ca="1">100+HLOOKUP(X$4,$D$7:$P$336,$R264,FALSE)-HLOOKUP(X$3,$D$7:$P$336,$R264,FALSE)</f>
        <v>94</v>
      </c>
      <c r="Y264" s="60">
        <f ca="1">100+HLOOKUP(Y$4,$D$7:$P$336,$R264,FALSE)-HLOOKUP(Y$3,$D$7:$P$336,$R264,FALSE)</f>
        <v>78</v>
      </c>
      <c r="Z264" s="60">
        <f ca="1">100+HLOOKUP(Z$4,$D$7:$P$336,$R264,FALSE)-HLOOKUP(Z$3,$D$7:$P$336,$R264,FALSE)</f>
        <v>88</v>
      </c>
      <c r="AA264" s="60">
        <f ca="1">100+HLOOKUP(AA$4,$D$7:$P$336,$R264,FALSE)-HLOOKUP(AA$3,$D$7:$P$336,$R264,FALSE)</f>
        <v>76</v>
      </c>
      <c r="AB264" s="60">
        <f ca="1">100+HLOOKUP(AB$4,$D$7:$P$336,$R264,FALSE)-HLOOKUP(AB$3,$D$7:$P$336,$R264,FALSE)</f>
        <v>81</v>
      </c>
      <c r="AC264" s="60">
        <f ca="1">100+HLOOKUP(AC$4,$D$7:$P$336,$R264,FALSE)-HLOOKUP(AC$3,$D$7:$P$336,$R264,FALSE)</f>
        <v>99</v>
      </c>
      <c r="AD264" s="60">
        <f ca="1">100+HLOOKUP(AD$4,$D$7:$P$336,$R264,FALSE)-HLOOKUP(AD$3,$D$7:$P$336,$R264,FALSE)</f>
        <v>117</v>
      </c>
      <c r="AE264" s="60">
        <f ca="1">100+HLOOKUP(AE$4,$D$7:$P$336,$R264,FALSE)-HLOOKUP(AE$3,$D$7:$P$336,$R264,FALSE)</f>
        <v>116</v>
      </c>
      <c r="AF264" s="60">
        <f ca="1">100+HLOOKUP(AF$4,$D$7:$P$336,$R264,FALSE)-HLOOKUP(AF$3,$D$7:$P$336,$R264,FALSE)</f>
        <v>105</v>
      </c>
      <c r="AG264" s="60">
        <f ca="1">100+HLOOKUP(AG$4,$D$7:$P$336,$R264,FALSE)-HLOOKUP(AG$3,$D$7:$P$336,$R264,FALSE)</f>
        <v>76</v>
      </c>
      <c r="AH264" s="60" t="e">
        <f>100+HLOOKUP(AH$4,$D$7:$P$336,$R264,FALSE)-HLOOKUP(AH$3,$D$7:$P$336,$R264,FALSE)</f>
        <v>#N/A</v>
      </c>
      <c r="AI264" s="60" t="e">
        <f>100+HLOOKUP(AI$4,$D$7:$P$336,$R264,FALSE)-HLOOKUP(AI$3,$D$7:$P$336,$R264,FALSE)</f>
        <v>#N/A</v>
      </c>
      <c r="AJ264" s="60" t="e">
        <f>100+HLOOKUP(AJ$4,$D$7:$P$336,$R264,FALSE)-HLOOKUP(AJ$3,$D$7:$P$336,$R264,FALSE)</f>
        <v>#N/A</v>
      </c>
      <c r="AK264" s="60" t="e">
        <f>100+HLOOKUP(AK$4,$D$7:$P$336,$R264,FALSE)-HLOOKUP(AK$3,$D$7:$P$336,$R264,FALSE)</f>
        <v>#N/A</v>
      </c>
      <c r="AL264" s="60" t="e">
        <f>100+HLOOKUP(AL$4,$D$7:$P$336,$R264,FALSE)-HLOOKUP(AL$3,$D$7:$P$336,$R264,FALSE)</f>
        <v>#N/A</v>
      </c>
      <c r="AM264" s="60" t="e">
        <f>100+HLOOKUP(AM$4,$D$7:$P$336,$R264,FALSE)-HLOOKUP(AM$3,$D$7:$P$336,$R264,FALSE)</f>
        <v>#N/A</v>
      </c>
      <c r="AN264" s="60" t="e">
        <f>100+HLOOKUP(AN$4,$D$7:$P$336,$R264,FALSE)-HLOOKUP(AN$3,$D$7:$P$336,$R264,FALSE)</f>
        <v>#N/A</v>
      </c>
      <c r="AO264" s="60" t="e">
        <f>100+HLOOKUP(AO$4,$D$7:$P$336,$R264,FALSE)-HLOOKUP(AO$3,$D$7:$P$336,$R264,FALSE)</f>
        <v>#N/A</v>
      </c>
      <c r="AP264" s="60" t="e">
        <f>100+HLOOKUP(AP$4,$D$7:$P$336,$R264,FALSE)-HLOOKUP(AP$3,$D$7:$P$336,$R264,FALSE)</f>
        <v>#N/A</v>
      </c>
      <c r="AQ264" s="60" t="e">
        <f>100+HLOOKUP(AQ$4,$D$7:$P$336,$R264,FALSE)-HLOOKUP(AQ$3,$D$7:$P$336,$R264,FALSE)</f>
        <v>#N/A</v>
      </c>
      <c r="AV264" s="60">
        <f ca="1">AV$5-S264</f>
        <v>9.1903994267964322</v>
      </c>
      <c r="AW264" s="60">
        <f ca="1">AW$5-T264</f>
        <v>16.220650529757748</v>
      </c>
      <c r="AX264" s="60">
        <f ca="1">AX$5-U264</f>
        <v>13.775915403668051</v>
      </c>
      <c r="AY264" s="60">
        <f ca="1">AY$5-V264</f>
        <v>17.603014401527801</v>
      </c>
      <c r="AZ264" s="60">
        <f ca="1">AZ$5-W264</f>
        <v>16.45448217259603</v>
      </c>
      <c r="BA264" s="60">
        <f ca="1">BA$5-X264</f>
        <v>4.4650590589827033</v>
      </c>
      <c r="BB264" s="60">
        <f ca="1">BB$5-Y264</f>
        <v>15.350592727381127</v>
      </c>
      <c r="BC264" s="60">
        <f ca="1">BC$5-Z264</f>
        <v>19.437465909882164</v>
      </c>
      <c r="BD264" s="60">
        <f ca="1">BD$5-AA264</f>
        <v>21.936518664382362</v>
      </c>
      <c r="BE264" s="60">
        <f ca="1">BE$5-AB264</f>
        <v>10.829390591992194</v>
      </c>
      <c r="BF264" s="60">
        <f ca="1">BF$5-AC264</f>
        <v>2.0173043164770803</v>
      </c>
      <c r="BG264" s="60">
        <f ca="1">BG$5-AD264</f>
        <v>-13.014741294981491</v>
      </c>
      <c r="BH264" s="60">
        <f ca="1">BH$5-AE264</f>
        <v>-17.045407769632433</v>
      </c>
      <c r="BI264" s="60">
        <f ca="1">BI$5-AF264</f>
        <v>-14.391494488745195</v>
      </c>
      <c r="BJ264" s="60">
        <f ca="1">BJ$5-AG264</f>
        <v>15.43955105767877</v>
      </c>
      <c r="BK264" s="60" t="e">
        <f>BK$5-AH264</f>
        <v>#N/A</v>
      </c>
      <c r="BL264" s="60" t="e">
        <f>BL$5-AI264</f>
        <v>#N/A</v>
      </c>
      <c r="BM264" s="60" t="e">
        <f>BM$5-AJ264</f>
        <v>#N/A</v>
      </c>
      <c r="BN264" s="60" t="e">
        <f>BN$5-AK264</f>
        <v>#N/A</v>
      </c>
      <c r="BO264" s="60" t="e">
        <f>BO$5-AL264</f>
        <v>#N/A</v>
      </c>
      <c r="BP264" s="60" t="e">
        <f>BP$5-AM264</f>
        <v>#N/A</v>
      </c>
      <c r="BQ264" s="60" t="e">
        <f>BQ$5-AN264</f>
        <v>#N/A</v>
      </c>
      <c r="BR264" s="60" t="e">
        <f>BR$5-AO264</f>
        <v>#N/A</v>
      </c>
      <c r="BS264" s="60" t="e">
        <f>BS$5-AP264</f>
        <v>#N/A</v>
      </c>
      <c r="BT264" s="60" t="e">
        <f>BT$5-AQ264</f>
        <v>#N/A</v>
      </c>
      <c r="BV264" s="60" cm="1">
        <f t="array" aca="1" ref="BV264" ca="1">SQRT(SUMSQ(_xlfn._xlws.FILTER(AV264:BT264,ISNUMBER(AV264:BT264)))/COUNT(_xlfn._xlws.FILTER(AV264:BT264,ISNUMBER(AV264:BT264))))</f>
        <v>14.740732131100415</v>
      </c>
    </row>
    <row r="265" spans="3:74" x14ac:dyDescent="0.2">
      <c r="C265" s="60" t="s">
        <v>493</v>
      </c>
      <c r="D265" s="60">
        <v>0</v>
      </c>
      <c r="E265" s="60">
        <v>-3</v>
      </c>
      <c r="F265" s="60">
        <v>-7</v>
      </c>
      <c r="G265" s="60">
        <v>-10</v>
      </c>
      <c r="H265" s="60">
        <v>-14</v>
      </c>
      <c r="I265" s="60">
        <v>-17</v>
      </c>
      <c r="J265" s="60">
        <v>-21</v>
      </c>
      <c r="K265" s="60">
        <v>-24</v>
      </c>
      <c r="L265" s="60">
        <v>-7</v>
      </c>
      <c r="M265" s="60">
        <v>-10</v>
      </c>
      <c r="N265" s="60">
        <v>7</v>
      </c>
      <c r="O265" s="60">
        <v>4</v>
      </c>
      <c r="P265" s="60">
        <v>0</v>
      </c>
      <c r="R265" s="61">
        <f>(ROW(R265)-ROW($C$6))</f>
        <v>259</v>
      </c>
      <c r="S265" s="60">
        <f ca="1">100+HLOOKUP(S$4,$D$7:$P$336,$R265,FALSE)-HLOOKUP(S$3,$D$7:$P$336,$R265,FALSE)</f>
        <v>96</v>
      </c>
      <c r="T265" s="60">
        <f ca="1">100+HLOOKUP(T$4,$D$7:$P$336,$R265,FALSE)-HLOOKUP(T$3,$D$7:$P$336,$R265,FALSE)</f>
        <v>75</v>
      </c>
      <c r="U265" s="60">
        <f ca="1">100+HLOOKUP(U$4,$D$7:$P$336,$R265,FALSE)-HLOOKUP(U$3,$D$7:$P$336,$R265,FALSE)</f>
        <v>96</v>
      </c>
      <c r="V265" s="60">
        <f ca="1">100+HLOOKUP(V$4,$D$7:$P$336,$R265,FALSE)-HLOOKUP(V$3,$D$7:$P$336,$R265,FALSE)</f>
        <v>76</v>
      </c>
      <c r="W265" s="60">
        <f ca="1">100+HLOOKUP(W$4,$D$7:$P$336,$R265,FALSE)-HLOOKUP(W$3,$D$7:$P$336,$R265,FALSE)</f>
        <v>76</v>
      </c>
      <c r="X265" s="60">
        <f ca="1">100+HLOOKUP(X$4,$D$7:$P$336,$R265,FALSE)-HLOOKUP(X$3,$D$7:$P$336,$R265,FALSE)</f>
        <v>96</v>
      </c>
      <c r="Y265" s="60">
        <f ca="1">100+HLOOKUP(Y$4,$D$7:$P$336,$R265,FALSE)-HLOOKUP(Y$3,$D$7:$P$336,$R265,FALSE)</f>
        <v>75</v>
      </c>
      <c r="Z265" s="60">
        <f ca="1">100+HLOOKUP(Z$4,$D$7:$P$336,$R265,FALSE)-HLOOKUP(Z$3,$D$7:$P$336,$R265,FALSE)</f>
        <v>96</v>
      </c>
      <c r="AA265" s="60">
        <f ca="1">100+HLOOKUP(AA$4,$D$7:$P$336,$R265,FALSE)-HLOOKUP(AA$3,$D$7:$P$336,$R265,FALSE)</f>
        <v>76</v>
      </c>
      <c r="AB265" s="60">
        <f ca="1">100+HLOOKUP(AB$4,$D$7:$P$336,$R265,FALSE)-HLOOKUP(AB$3,$D$7:$P$336,$R265,FALSE)</f>
        <v>76</v>
      </c>
      <c r="AC265" s="60">
        <f ca="1">100+HLOOKUP(AC$4,$D$7:$P$336,$R265,FALSE)-HLOOKUP(AC$3,$D$7:$P$336,$R265,FALSE)</f>
        <v>97</v>
      </c>
      <c r="AD265" s="60">
        <f ca="1">100+HLOOKUP(AD$4,$D$7:$P$336,$R265,FALSE)-HLOOKUP(AD$3,$D$7:$P$336,$R265,FALSE)</f>
        <v>118</v>
      </c>
      <c r="AE265" s="60">
        <f ca="1">100+HLOOKUP(AE$4,$D$7:$P$336,$R265,FALSE)-HLOOKUP(AE$3,$D$7:$P$336,$R265,FALSE)</f>
        <v>118</v>
      </c>
      <c r="AF265" s="60">
        <f ca="1">100+HLOOKUP(AF$4,$D$7:$P$336,$R265,FALSE)-HLOOKUP(AF$3,$D$7:$P$336,$R265,FALSE)</f>
        <v>97</v>
      </c>
      <c r="AG265" s="60">
        <f ca="1">100+HLOOKUP(AG$4,$D$7:$P$336,$R265,FALSE)-HLOOKUP(AG$3,$D$7:$P$336,$R265,FALSE)</f>
        <v>76</v>
      </c>
      <c r="AH265" s="60" t="e">
        <f>100+HLOOKUP(AH$4,$D$7:$P$336,$R265,FALSE)-HLOOKUP(AH$3,$D$7:$P$336,$R265,FALSE)</f>
        <v>#N/A</v>
      </c>
      <c r="AI265" s="60" t="e">
        <f>100+HLOOKUP(AI$4,$D$7:$P$336,$R265,FALSE)-HLOOKUP(AI$3,$D$7:$P$336,$R265,FALSE)</f>
        <v>#N/A</v>
      </c>
      <c r="AJ265" s="60" t="e">
        <f>100+HLOOKUP(AJ$4,$D$7:$P$336,$R265,FALSE)-HLOOKUP(AJ$3,$D$7:$P$336,$R265,FALSE)</f>
        <v>#N/A</v>
      </c>
      <c r="AK265" s="60" t="e">
        <f>100+HLOOKUP(AK$4,$D$7:$P$336,$R265,FALSE)-HLOOKUP(AK$3,$D$7:$P$336,$R265,FALSE)</f>
        <v>#N/A</v>
      </c>
      <c r="AL265" s="60" t="e">
        <f>100+HLOOKUP(AL$4,$D$7:$P$336,$R265,FALSE)-HLOOKUP(AL$3,$D$7:$P$336,$R265,FALSE)</f>
        <v>#N/A</v>
      </c>
      <c r="AM265" s="60" t="e">
        <f>100+HLOOKUP(AM$4,$D$7:$P$336,$R265,FALSE)-HLOOKUP(AM$3,$D$7:$P$336,$R265,FALSE)</f>
        <v>#N/A</v>
      </c>
      <c r="AN265" s="60" t="e">
        <f>100+HLOOKUP(AN$4,$D$7:$P$336,$R265,FALSE)-HLOOKUP(AN$3,$D$7:$P$336,$R265,FALSE)</f>
        <v>#N/A</v>
      </c>
      <c r="AO265" s="60" t="e">
        <f>100+HLOOKUP(AO$4,$D$7:$P$336,$R265,FALSE)-HLOOKUP(AO$3,$D$7:$P$336,$R265,FALSE)</f>
        <v>#N/A</v>
      </c>
      <c r="AP265" s="60" t="e">
        <f>100+HLOOKUP(AP$4,$D$7:$P$336,$R265,FALSE)-HLOOKUP(AP$3,$D$7:$P$336,$R265,FALSE)</f>
        <v>#N/A</v>
      </c>
      <c r="AQ265" s="60" t="e">
        <f>100+HLOOKUP(AQ$4,$D$7:$P$336,$R265,FALSE)-HLOOKUP(AQ$3,$D$7:$P$336,$R265,FALSE)</f>
        <v>#N/A</v>
      </c>
      <c r="AV265" s="60">
        <f ca="1">AV$5-S265</f>
        <v>7.1903994267964322</v>
      </c>
      <c r="AW265" s="60">
        <f ca="1">AW$5-T265</f>
        <v>19.220650529757748</v>
      </c>
      <c r="AX265" s="60">
        <f ca="1">AX$5-U265</f>
        <v>5.7759154036680513</v>
      </c>
      <c r="AY265" s="60">
        <f ca="1">AY$5-V265</f>
        <v>17.603014401527801</v>
      </c>
      <c r="AZ265" s="60">
        <f ca="1">AZ$5-W265</f>
        <v>21.45448217259603</v>
      </c>
      <c r="BA265" s="60">
        <f ca="1">BA$5-X265</f>
        <v>2.4650590589827033</v>
      </c>
      <c r="BB265" s="60">
        <f ca="1">BB$5-Y265</f>
        <v>18.350592727381127</v>
      </c>
      <c r="BC265" s="60">
        <f ca="1">BC$5-Z265</f>
        <v>11.437465909882164</v>
      </c>
      <c r="BD265" s="60">
        <f ca="1">BD$5-AA265</f>
        <v>21.936518664382362</v>
      </c>
      <c r="BE265" s="60">
        <f ca="1">BE$5-AB265</f>
        <v>15.829390591992194</v>
      </c>
      <c r="BF265" s="60">
        <f ca="1">BF$5-AC265</f>
        <v>4.0173043164770803</v>
      </c>
      <c r="BG265" s="60">
        <f ca="1">BG$5-AD265</f>
        <v>-14.014741294981491</v>
      </c>
      <c r="BH265" s="60">
        <f ca="1">BH$5-AE265</f>
        <v>-19.045407769632433</v>
      </c>
      <c r="BI265" s="60">
        <f ca="1">BI$5-AF265</f>
        <v>-6.3914944887451952</v>
      </c>
      <c r="BJ265" s="60">
        <f ca="1">BJ$5-AG265</f>
        <v>15.43955105767877</v>
      </c>
      <c r="BK265" s="60" t="e">
        <f>BK$5-AH265</f>
        <v>#N/A</v>
      </c>
      <c r="BL265" s="60" t="e">
        <f>BL$5-AI265</f>
        <v>#N/A</v>
      </c>
      <c r="BM265" s="60" t="e">
        <f>BM$5-AJ265</f>
        <v>#N/A</v>
      </c>
      <c r="BN265" s="60" t="e">
        <f>BN$5-AK265</f>
        <v>#N/A</v>
      </c>
      <c r="BO265" s="60" t="e">
        <f>BO$5-AL265</f>
        <v>#N/A</v>
      </c>
      <c r="BP265" s="60" t="e">
        <f>BP$5-AM265</f>
        <v>#N/A</v>
      </c>
      <c r="BQ265" s="60" t="e">
        <f>BQ$5-AN265</f>
        <v>#N/A</v>
      </c>
      <c r="BR265" s="60" t="e">
        <f>BR$5-AO265</f>
        <v>#N/A</v>
      </c>
      <c r="BS265" s="60" t="e">
        <f>BS$5-AP265</f>
        <v>#N/A</v>
      </c>
      <c r="BT265" s="60" t="e">
        <f>BT$5-AQ265</f>
        <v>#N/A</v>
      </c>
      <c r="BV265" s="60" cm="1">
        <f t="array" aca="1" ref="BV265" ca="1">SQRT(SUMSQ(_xlfn._xlws.FILTER(AV265:BT265,ISNUMBER(AV265:BT265)))/COUNT(_xlfn._xlws.FILTER(AV265:BT265,ISNUMBER(AV265:BT265))))</f>
        <v>14.797712498347206</v>
      </c>
    </row>
    <row r="266" spans="3:74" x14ac:dyDescent="0.2">
      <c r="C266" s="60" t="s">
        <v>266</v>
      </c>
      <c r="D266" s="60">
        <v>0</v>
      </c>
      <c r="E266" s="60">
        <v>-6.1920000000000002</v>
      </c>
      <c r="F266" s="60">
        <v>-8.0429999999999993</v>
      </c>
      <c r="G266" s="60">
        <v>-9.5060000000000002</v>
      </c>
      <c r="H266" s="60">
        <v>-12.664999999999999</v>
      </c>
      <c r="I266" s="60">
        <v>-14.563000000000001</v>
      </c>
      <c r="J266" s="60">
        <v>-18.303999999999998</v>
      </c>
      <c r="K266" s="60">
        <v>-20.629000000000001</v>
      </c>
      <c r="L266" s="60">
        <v>-21.876999999999999</v>
      </c>
      <c r="M266" s="60">
        <v>2.6240000000000001</v>
      </c>
      <c r="N266" s="60">
        <v>3.3639999999999999</v>
      </c>
      <c r="O266" s="60">
        <v>-1.9550000000000001</v>
      </c>
      <c r="P266" s="60">
        <v>0</v>
      </c>
      <c r="R266" s="61">
        <f>(ROW(R266)-ROW($C$6))</f>
        <v>260</v>
      </c>
      <c r="S266" s="60">
        <f ca="1">100+HLOOKUP(S$4,$D$7:$P$336,$R266,FALSE)-HLOOKUP(S$3,$D$7:$P$336,$R266,FALSE)</f>
        <v>84.711000000000013</v>
      </c>
      <c r="T266" s="60">
        <f ca="1">100+HLOOKUP(T$4,$D$7:$P$336,$R266,FALSE)-HLOOKUP(T$3,$D$7:$P$336,$R266,FALSE)</f>
        <v>83.650999999999996</v>
      </c>
      <c r="U266" s="60">
        <f ca="1">100+HLOOKUP(U$4,$D$7:$P$336,$R266,FALSE)-HLOOKUP(U$3,$D$7:$P$336,$R266,FALSE)</f>
        <v>84.314999999999998</v>
      </c>
      <c r="V266" s="60">
        <f ca="1">100+HLOOKUP(V$4,$D$7:$P$336,$R266,FALSE)-HLOOKUP(V$3,$D$7:$P$336,$R266,FALSE)</f>
        <v>82.072999999999993</v>
      </c>
      <c r="W266" s="60">
        <f ca="1">100+HLOOKUP(W$4,$D$7:$P$336,$R266,FALSE)-HLOOKUP(W$3,$D$7:$P$336,$R266,FALSE)</f>
        <v>79.370999999999995</v>
      </c>
      <c r="X266" s="60">
        <f ca="1">100+HLOOKUP(X$4,$D$7:$P$336,$R266,FALSE)-HLOOKUP(X$3,$D$7:$P$336,$R266,FALSE)</f>
        <v>84.711000000000013</v>
      </c>
      <c r="Y266" s="60">
        <f ca="1">100+HLOOKUP(Y$4,$D$7:$P$336,$R266,FALSE)-HLOOKUP(Y$3,$D$7:$P$336,$R266,FALSE)</f>
        <v>83.650999999999996</v>
      </c>
      <c r="Z266" s="60">
        <f ca="1">100+HLOOKUP(Z$4,$D$7:$P$336,$R266,FALSE)-HLOOKUP(Z$3,$D$7:$P$336,$R266,FALSE)</f>
        <v>84.314999999999998</v>
      </c>
      <c r="AA266" s="60">
        <f ca="1">100+HLOOKUP(AA$4,$D$7:$P$336,$R266,FALSE)-HLOOKUP(AA$3,$D$7:$P$336,$R266,FALSE)</f>
        <v>82.072999999999993</v>
      </c>
      <c r="AB266" s="60">
        <f ca="1">100+HLOOKUP(AB$4,$D$7:$P$336,$R266,FALSE)-HLOOKUP(AB$3,$D$7:$P$336,$R266,FALSE)</f>
        <v>79.370999999999995</v>
      </c>
      <c r="AC266" s="60">
        <f ca="1">100+HLOOKUP(AC$4,$D$7:$P$336,$R266,FALSE)-HLOOKUP(AC$3,$D$7:$P$336,$R266,FALSE)</f>
        <v>110.667</v>
      </c>
      <c r="AD266" s="60">
        <f ca="1">100+HLOOKUP(AD$4,$D$7:$P$336,$R266,FALSE)-HLOOKUP(AD$3,$D$7:$P$336,$R266,FALSE)</f>
        <v>110.71000000000001</v>
      </c>
      <c r="AE266" s="60">
        <f ca="1">100+HLOOKUP(AE$4,$D$7:$P$336,$R266,FALSE)-HLOOKUP(AE$3,$D$7:$P$336,$R266,FALSE)</f>
        <v>112.11199999999999</v>
      </c>
      <c r="AF266" s="60">
        <f ca="1">100+HLOOKUP(AF$4,$D$7:$P$336,$R266,FALSE)-HLOOKUP(AF$3,$D$7:$P$336,$R266,FALSE)</f>
        <v>112.371</v>
      </c>
      <c r="AG266" s="60">
        <f ca="1">100+HLOOKUP(AG$4,$D$7:$P$336,$R266,FALSE)-HLOOKUP(AG$3,$D$7:$P$336,$R266,FALSE)</f>
        <v>82.072999999999993</v>
      </c>
      <c r="AH266" s="60" t="e">
        <f>100+HLOOKUP(AH$4,$D$7:$P$336,$R266,FALSE)-HLOOKUP(AH$3,$D$7:$P$336,$R266,FALSE)</f>
        <v>#N/A</v>
      </c>
      <c r="AI266" s="60" t="e">
        <f>100+HLOOKUP(AI$4,$D$7:$P$336,$R266,FALSE)-HLOOKUP(AI$3,$D$7:$P$336,$R266,FALSE)</f>
        <v>#N/A</v>
      </c>
      <c r="AJ266" s="60" t="e">
        <f>100+HLOOKUP(AJ$4,$D$7:$P$336,$R266,FALSE)-HLOOKUP(AJ$3,$D$7:$P$336,$R266,FALSE)</f>
        <v>#N/A</v>
      </c>
      <c r="AK266" s="60" t="e">
        <f>100+HLOOKUP(AK$4,$D$7:$P$336,$R266,FALSE)-HLOOKUP(AK$3,$D$7:$P$336,$R266,FALSE)</f>
        <v>#N/A</v>
      </c>
      <c r="AL266" s="60" t="e">
        <f>100+HLOOKUP(AL$4,$D$7:$P$336,$R266,FALSE)-HLOOKUP(AL$3,$D$7:$P$336,$R266,FALSE)</f>
        <v>#N/A</v>
      </c>
      <c r="AM266" s="60" t="e">
        <f>100+HLOOKUP(AM$4,$D$7:$P$336,$R266,FALSE)-HLOOKUP(AM$3,$D$7:$P$336,$R266,FALSE)</f>
        <v>#N/A</v>
      </c>
      <c r="AN266" s="60" t="e">
        <f>100+HLOOKUP(AN$4,$D$7:$P$336,$R266,FALSE)-HLOOKUP(AN$3,$D$7:$P$336,$R266,FALSE)</f>
        <v>#N/A</v>
      </c>
      <c r="AO266" s="60" t="e">
        <f>100+HLOOKUP(AO$4,$D$7:$P$336,$R266,FALSE)-HLOOKUP(AO$3,$D$7:$P$336,$R266,FALSE)</f>
        <v>#N/A</v>
      </c>
      <c r="AP266" s="60" t="e">
        <f>100+HLOOKUP(AP$4,$D$7:$P$336,$R266,FALSE)-HLOOKUP(AP$3,$D$7:$P$336,$R266,FALSE)</f>
        <v>#N/A</v>
      </c>
      <c r="AQ266" s="60" t="e">
        <f>100+HLOOKUP(AQ$4,$D$7:$P$336,$R266,FALSE)-HLOOKUP(AQ$3,$D$7:$P$336,$R266,FALSE)</f>
        <v>#N/A</v>
      </c>
      <c r="AV266" s="60">
        <f ca="1">AV$5-S266</f>
        <v>18.479399426796419</v>
      </c>
      <c r="AW266" s="60">
        <f ca="1">AW$5-T266</f>
        <v>10.569650529757752</v>
      </c>
      <c r="AX266" s="60">
        <f ca="1">AX$5-U266</f>
        <v>17.460915403668054</v>
      </c>
      <c r="AY266" s="60">
        <f ca="1">AY$5-V266</f>
        <v>11.530014401527808</v>
      </c>
      <c r="AZ266" s="60">
        <f ca="1">AZ$5-W266</f>
        <v>18.083482172596035</v>
      </c>
      <c r="BA266" s="60">
        <f ca="1">BA$5-X266</f>
        <v>13.754059058982691</v>
      </c>
      <c r="BB266" s="60">
        <f ca="1">BB$5-Y266</f>
        <v>9.6995927273811304</v>
      </c>
      <c r="BC266" s="60">
        <f ca="1">BC$5-Z266</f>
        <v>23.122465909882166</v>
      </c>
      <c r="BD266" s="60">
        <f ca="1">BD$5-AA266</f>
        <v>15.863518664382369</v>
      </c>
      <c r="BE266" s="60">
        <f ca="1">BE$5-AB266</f>
        <v>12.458390591992199</v>
      </c>
      <c r="BF266" s="60">
        <f ca="1">BF$5-AC266</f>
        <v>-9.6496956835229213</v>
      </c>
      <c r="BG266" s="60">
        <f ca="1">BG$5-AD266</f>
        <v>-6.7247412949814986</v>
      </c>
      <c r="BH266" s="60">
        <f ca="1">BH$5-AE266</f>
        <v>-13.157407769632428</v>
      </c>
      <c r="BI266" s="60">
        <f ca="1">BI$5-AF266</f>
        <v>-21.76249448874519</v>
      </c>
      <c r="BJ266" s="60">
        <f ca="1">BJ$5-AG266</f>
        <v>9.3665510576787767</v>
      </c>
      <c r="BK266" s="60" t="e">
        <f>BK$5-AH266</f>
        <v>#N/A</v>
      </c>
      <c r="BL266" s="60" t="e">
        <f>BL$5-AI266</f>
        <v>#N/A</v>
      </c>
      <c r="BM266" s="60" t="e">
        <f>BM$5-AJ266</f>
        <v>#N/A</v>
      </c>
      <c r="BN266" s="60" t="e">
        <f>BN$5-AK266</f>
        <v>#N/A</v>
      </c>
      <c r="BO266" s="60" t="e">
        <f>BO$5-AL266</f>
        <v>#N/A</v>
      </c>
      <c r="BP266" s="60" t="e">
        <f>BP$5-AM266</f>
        <v>#N/A</v>
      </c>
      <c r="BQ266" s="60" t="e">
        <f>BQ$5-AN266</f>
        <v>#N/A</v>
      </c>
      <c r="BR266" s="60" t="e">
        <f>BR$5-AO266</f>
        <v>#N/A</v>
      </c>
      <c r="BS266" s="60" t="e">
        <f>BS$5-AP266</f>
        <v>#N/A</v>
      </c>
      <c r="BT266" s="60" t="e">
        <f>BT$5-AQ266</f>
        <v>#N/A</v>
      </c>
      <c r="BV266" s="60" cm="1">
        <f t="array" aca="1" ref="BV266" ca="1">SQRT(SUMSQ(_xlfn._xlws.FILTER(AV266:BT266,ISNUMBER(AV266:BT266)))/COUNT(_xlfn._xlws.FILTER(AV266:BT266,ISNUMBER(AV266:BT266))))</f>
        <v>14.867424857446167</v>
      </c>
    </row>
    <row r="267" spans="3:74" x14ac:dyDescent="0.2">
      <c r="C267" s="60" t="s">
        <v>518</v>
      </c>
      <c r="D267" s="60">
        <v>0</v>
      </c>
      <c r="E267" s="60">
        <v>-3</v>
      </c>
      <c r="F267" s="60">
        <v>-7</v>
      </c>
      <c r="G267" s="60">
        <v>-10</v>
      </c>
      <c r="H267" s="60">
        <v>-14</v>
      </c>
      <c r="I267" s="60">
        <v>-17</v>
      </c>
      <c r="J267" s="60">
        <v>-20</v>
      </c>
      <c r="K267" s="60">
        <v>-24</v>
      </c>
      <c r="L267" s="60">
        <v>-17</v>
      </c>
      <c r="M267" s="60">
        <v>-6</v>
      </c>
      <c r="N267" s="60">
        <v>1</v>
      </c>
      <c r="O267" s="60">
        <v>3</v>
      </c>
      <c r="P267" s="60">
        <v>0</v>
      </c>
      <c r="R267" s="61">
        <f>(ROW(R267)-ROW($C$6))</f>
        <v>261</v>
      </c>
      <c r="S267" s="60">
        <f ca="1">100+HLOOKUP(S$4,$D$7:$P$336,$R267,FALSE)-HLOOKUP(S$3,$D$7:$P$336,$R267,FALSE)</f>
        <v>92</v>
      </c>
      <c r="T267" s="60">
        <f ca="1">100+HLOOKUP(T$4,$D$7:$P$336,$R267,FALSE)-HLOOKUP(T$3,$D$7:$P$336,$R267,FALSE)</f>
        <v>77</v>
      </c>
      <c r="U267" s="60">
        <f ca="1">100+HLOOKUP(U$4,$D$7:$P$336,$R267,FALSE)-HLOOKUP(U$3,$D$7:$P$336,$R267,FALSE)</f>
        <v>86</v>
      </c>
      <c r="V267" s="60">
        <f ca="1">100+HLOOKUP(V$4,$D$7:$P$336,$R267,FALSE)-HLOOKUP(V$3,$D$7:$P$336,$R267,FALSE)</f>
        <v>82</v>
      </c>
      <c r="W267" s="60">
        <f ca="1">100+HLOOKUP(W$4,$D$7:$P$336,$R267,FALSE)-HLOOKUP(W$3,$D$7:$P$336,$R267,FALSE)</f>
        <v>76</v>
      </c>
      <c r="X267" s="60">
        <f ca="1">100+HLOOKUP(X$4,$D$7:$P$336,$R267,FALSE)-HLOOKUP(X$3,$D$7:$P$336,$R267,FALSE)</f>
        <v>92</v>
      </c>
      <c r="Y267" s="60">
        <f ca="1">100+HLOOKUP(Y$4,$D$7:$P$336,$R267,FALSE)-HLOOKUP(Y$3,$D$7:$P$336,$R267,FALSE)</f>
        <v>77</v>
      </c>
      <c r="Z267" s="60">
        <f ca="1">100+HLOOKUP(Z$4,$D$7:$P$336,$R267,FALSE)-HLOOKUP(Z$3,$D$7:$P$336,$R267,FALSE)</f>
        <v>86</v>
      </c>
      <c r="AA267" s="60">
        <f ca="1">100+HLOOKUP(AA$4,$D$7:$P$336,$R267,FALSE)-HLOOKUP(AA$3,$D$7:$P$336,$R267,FALSE)</f>
        <v>82</v>
      </c>
      <c r="AB267" s="60">
        <f ca="1">100+HLOOKUP(AB$4,$D$7:$P$336,$R267,FALSE)-HLOOKUP(AB$3,$D$7:$P$336,$R267,FALSE)</f>
        <v>76</v>
      </c>
      <c r="AC267" s="60">
        <f ca="1">100+HLOOKUP(AC$4,$D$7:$P$336,$R267,FALSE)-HLOOKUP(AC$3,$D$7:$P$336,$R267,FALSE)</f>
        <v>101</v>
      </c>
      <c r="AD267" s="60">
        <f ca="1">100+HLOOKUP(AD$4,$D$7:$P$336,$R267,FALSE)-HLOOKUP(AD$3,$D$7:$P$336,$R267,FALSE)</f>
        <v>117</v>
      </c>
      <c r="AE267" s="60">
        <f ca="1">100+HLOOKUP(AE$4,$D$7:$P$336,$R267,FALSE)-HLOOKUP(AE$3,$D$7:$P$336,$R267,FALSE)</f>
        <v>117</v>
      </c>
      <c r="AF267" s="60">
        <f ca="1">100+HLOOKUP(AF$4,$D$7:$P$336,$R267,FALSE)-HLOOKUP(AF$3,$D$7:$P$336,$R267,FALSE)</f>
        <v>107</v>
      </c>
      <c r="AG267" s="60">
        <f ca="1">100+HLOOKUP(AG$4,$D$7:$P$336,$R267,FALSE)-HLOOKUP(AG$3,$D$7:$P$336,$R267,FALSE)</f>
        <v>82</v>
      </c>
      <c r="AH267" s="60" t="e">
        <f>100+HLOOKUP(AH$4,$D$7:$P$336,$R267,FALSE)-HLOOKUP(AH$3,$D$7:$P$336,$R267,FALSE)</f>
        <v>#N/A</v>
      </c>
      <c r="AI267" s="60" t="e">
        <f>100+HLOOKUP(AI$4,$D$7:$P$336,$R267,FALSE)-HLOOKUP(AI$3,$D$7:$P$336,$R267,FALSE)</f>
        <v>#N/A</v>
      </c>
      <c r="AJ267" s="60" t="e">
        <f>100+HLOOKUP(AJ$4,$D$7:$P$336,$R267,FALSE)-HLOOKUP(AJ$3,$D$7:$P$336,$R267,FALSE)</f>
        <v>#N/A</v>
      </c>
      <c r="AK267" s="60" t="e">
        <f>100+HLOOKUP(AK$4,$D$7:$P$336,$R267,FALSE)-HLOOKUP(AK$3,$D$7:$P$336,$R267,FALSE)</f>
        <v>#N/A</v>
      </c>
      <c r="AL267" s="60" t="e">
        <f>100+HLOOKUP(AL$4,$D$7:$P$336,$R267,FALSE)-HLOOKUP(AL$3,$D$7:$P$336,$R267,FALSE)</f>
        <v>#N/A</v>
      </c>
      <c r="AM267" s="60" t="e">
        <f>100+HLOOKUP(AM$4,$D$7:$P$336,$R267,FALSE)-HLOOKUP(AM$3,$D$7:$P$336,$R267,FALSE)</f>
        <v>#N/A</v>
      </c>
      <c r="AN267" s="60" t="e">
        <f>100+HLOOKUP(AN$4,$D$7:$P$336,$R267,FALSE)-HLOOKUP(AN$3,$D$7:$P$336,$R267,FALSE)</f>
        <v>#N/A</v>
      </c>
      <c r="AO267" s="60" t="e">
        <f>100+HLOOKUP(AO$4,$D$7:$P$336,$R267,FALSE)-HLOOKUP(AO$3,$D$7:$P$336,$R267,FALSE)</f>
        <v>#N/A</v>
      </c>
      <c r="AP267" s="60" t="e">
        <f>100+HLOOKUP(AP$4,$D$7:$P$336,$R267,FALSE)-HLOOKUP(AP$3,$D$7:$P$336,$R267,FALSE)</f>
        <v>#N/A</v>
      </c>
      <c r="AQ267" s="60" t="e">
        <f>100+HLOOKUP(AQ$4,$D$7:$P$336,$R267,FALSE)-HLOOKUP(AQ$3,$D$7:$P$336,$R267,FALSE)</f>
        <v>#N/A</v>
      </c>
      <c r="AV267" s="60">
        <f ca="1">AV$5-S267</f>
        <v>11.190399426796432</v>
      </c>
      <c r="AW267" s="60">
        <f ca="1">AW$5-T267</f>
        <v>17.220650529757748</v>
      </c>
      <c r="AX267" s="60">
        <f ca="1">AX$5-U267</f>
        <v>15.775915403668051</v>
      </c>
      <c r="AY267" s="60">
        <f ca="1">AY$5-V267</f>
        <v>11.603014401527801</v>
      </c>
      <c r="AZ267" s="60">
        <f ca="1">AZ$5-W267</f>
        <v>21.45448217259603</v>
      </c>
      <c r="BA267" s="60">
        <f ca="1">BA$5-X267</f>
        <v>6.4650590589827033</v>
      </c>
      <c r="BB267" s="60">
        <f ca="1">BB$5-Y267</f>
        <v>16.350592727381127</v>
      </c>
      <c r="BC267" s="60">
        <f ca="1">BC$5-Z267</f>
        <v>21.437465909882164</v>
      </c>
      <c r="BD267" s="60">
        <f ca="1">BD$5-AA267</f>
        <v>15.936518664382362</v>
      </c>
      <c r="BE267" s="60">
        <f ca="1">BE$5-AB267</f>
        <v>15.829390591992194</v>
      </c>
      <c r="BF267" s="60">
        <f ca="1">BF$5-AC267</f>
        <v>1.7304316477080306E-2</v>
      </c>
      <c r="BG267" s="60">
        <f ca="1">BG$5-AD267</f>
        <v>-13.014741294981491</v>
      </c>
      <c r="BH267" s="60">
        <f ca="1">BH$5-AE267</f>
        <v>-18.045407769632433</v>
      </c>
      <c r="BI267" s="60">
        <f ca="1">BI$5-AF267</f>
        <v>-16.391494488745195</v>
      </c>
      <c r="BJ267" s="60">
        <f ca="1">BJ$5-AG267</f>
        <v>9.43955105767877</v>
      </c>
      <c r="BK267" s="60" t="e">
        <f>BK$5-AH267</f>
        <v>#N/A</v>
      </c>
      <c r="BL267" s="60" t="e">
        <f>BL$5-AI267</f>
        <v>#N/A</v>
      </c>
      <c r="BM267" s="60" t="e">
        <f>BM$5-AJ267</f>
        <v>#N/A</v>
      </c>
      <c r="BN267" s="60" t="e">
        <f>BN$5-AK267</f>
        <v>#N/A</v>
      </c>
      <c r="BO267" s="60" t="e">
        <f>BO$5-AL267</f>
        <v>#N/A</v>
      </c>
      <c r="BP267" s="60" t="e">
        <f>BP$5-AM267</f>
        <v>#N/A</v>
      </c>
      <c r="BQ267" s="60" t="e">
        <f>BQ$5-AN267</f>
        <v>#N/A</v>
      </c>
      <c r="BR267" s="60" t="e">
        <f>BR$5-AO267</f>
        <v>#N/A</v>
      </c>
      <c r="BS267" s="60" t="e">
        <f>BS$5-AP267</f>
        <v>#N/A</v>
      </c>
      <c r="BT267" s="60" t="e">
        <f>BT$5-AQ267</f>
        <v>#N/A</v>
      </c>
      <c r="BV267" s="60" cm="1">
        <f t="array" aca="1" ref="BV267" ca="1">SQRT(SUMSQ(_xlfn._xlws.FILTER(AV267:BT267,ISNUMBER(AV267:BT267)))/COUNT(_xlfn._xlws.FILTER(AV267:BT267,ISNUMBER(AV267:BT267))))</f>
        <v>15.036916564499055</v>
      </c>
    </row>
    <row r="268" spans="3:74" x14ac:dyDescent="0.2">
      <c r="C268" s="60" t="s">
        <v>265</v>
      </c>
      <c r="D268" s="60">
        <v>0</v>
      </c>
      <c r="E268" s="60">
        <v>-6</v>
      </c>
      <c r="F268" s="60">
        <v>-8</v>
      </c>
      <c r="G268" s="60">
        <v>-10</v>
      </c>
      <c r="H268" s="60">
        <v>-13</v>
      </c>
      <c r="I268" s="60">
        <v>-15</v>
      </c>
      <c r="J268" s="60">
        <v>-18</v>
      </c>
      <c r="K268" s="60">
        <v>-21</v>
      </c>
      <c r="L268" s="60">
        <v>-22</v>
      </c>
      <c r="M268" s="60">
        <v>3</v>
      </c>
      <c r="N268" s="60">
        <v>3</v>
      </c>
      <c r="O268" s="60">
        <v>-2</v>
      </c>
      <c r="P268" s="60">
        <v>0</v>
      </c>
      <c r="R268" s="61">
        <f>(ROW(R268)-ROW($C$6))</f>
        <v>262</v>
      </c>
      <c r="S268" s="60">
        <f ca="1">100+HLOOKUP(S$4,$D$7:$P$336,$R268,FALSE)-HLOOKUP(S$3,$D$7:$P$336,$R268,FALSE)</f>
        <v>84</v>
      </c>
      <c r="T268" s="60">
        <f ca="1">100+HLOOKUP(T$4,$D$7:$P$336,$R268,FALSE)-HLOOKUP(T$3,$D$7:$P$336,$R268,FALSE)</f>
        <v>84</v>
      </c>
      <c r="U268" s="60">
        <f ca="1">100+HLOOKUP(U$4,$D$7:$P$336,$R268,FALSE)-HLOOKUP(U$3,$D$7:$P$336,$R268,FALSE)</f>
        <v>84</v>
      </c>
      <c r="V268" s="60">
        <f ca="1">100+HLOOKUP(V$4,$D$7:$P$336,$R268,FALSE)-HLOOKUP(V$3,$D$7:$P$336,$R268,FALSE)</f>
        <v>82</v>
      </c>
      <c r="W268" s="60">
        <f ca="1">100+HLOOKUP(W$4,$D$7:$P$336,$R268,FALSE)-HLOOKUP(W$3,$D$7:$P$336,$R268,FALSE)</f>
        <v>79</v>
      </c>
      <c r="X268" s="60">
        <f ca="1">100+HLOOKUP(X$4,$D$7:$P$336,$R268,FALSE)-HLOOKUP(X$3,$D$7:$P$336,$R268,FALSE)</f>
        <v>84</v>
      </c>
      <c r="Y268" s="60">
        <f ca="1">100+HLOOKUP(Y$4,$D$7:$P$336,$R268,FALSE)-HLOOKUP(Y$3,$D$7:$P$336,$R268,FALSE)</f>
        <v>84</v>
      </c>
      <c r="Z268" s="60">
        <f ca="1">100+HLOOKUP(Z$4,$D$7:$P$336,$R268,FALSE)-HLOOKUP(Z$3,$D$7:$P$336,$R268,FALSE)</f>
        <v>84</v>
      </c>
      <c r="AA268" s="60">
        <f ca="1">100+HLOOKUP(AA$4,$D$7:$P$336,$R268,FALSE)-HLOOKUP(AA$3,$D$7:$P$336,$R268,FALSE)</f>
        <v>82</v>
      </c>
      <c r="AB268" s="60">
        <f ca="1">100+HLOOKUP(AB$4,$D$7:$P$336,$R268,FALSE)-HLOOKUP(AB$3,$D$7:$P$336,$R268,FALSE)</f>
        <v>79</v>
      </c>
      <c r="AC268" s="60">
        <f ca="1">100+HLOOKUP(AC$4,$D$7:$P$336,$R268,FALSE)-HLOOKUP(AC$3,$D$7:$P$336,$R268,FALSE)</f>
        <v>111</v>
      </c>
      <c r="AD268" s="60">
        <f ca="1">100+HLOOKUP(AD$4,$D$7:$P$336,$R268,FALSE)-HLOOKUP(AD$3,$D$7:$P$336,$R268,FALSE)</f>
        <v>111</v>
      </c>
      <c r="AE268" s="60">
        <f ca="1">100+HLOOKUP(AE$4,$D$7:$P$336,$R268,FALSE)-HLOOKUP(AE$3,$D$7:$P$336,$R268,FALSE)</f>
        <v>112</v>
      </c>
      <c r="AF268" s="60">
        <f ca="1">100+HLOOKUP(AF$4,$D$7:$P$336,$R268,FALSE)-HLOOKUP(AF$3,$D$7:$P$336,$R268,FALSE)</f>
        <v>112</v>
      </c>
      <c r="AG268" s="60">
        <f ca="1">100+HLOOKUP(AG$4,$D$7:$P$336,$R268,FALSE)-HLOOKUP(AG$3,$D$7:$P$336,$R268,FALSE)</f>
        <v>82</v>
      </c>
      <c r="AH268" s="60" t="e">
        <f>100+HLOOKUP(AH$4,$D$7:$P$336,$R268,FALSE)-HLOOKUP(AH$3,$D$7:$P$336,$R268,FALSE)</f>
        <v>#N/A</v>
      </c>
      <c r="AI268" s="60" t="e">
        <f>100+HLOOKUP(AI$4,$D$7:$P$336,$R268,FALSE)-HLOOKUP(AI$3,$D$7:$P$336,$R268,FALSE)</f>
        <v>#N/A</v>
      </c>
      <c r="AJ268" s="60" t="e">
        <f>100+HLOOKUP(AJ$4,$D$7:$P$336,$R268,FALSE)-HLOOKUP(AJ$3,$D$7:$P$336,$R268,FALSE)</f>
        <v>#N/A</v>
      </c>
      <c r="AK268" s="60" t="e">
        <f>100+HLOOKUP(AK$4,$D$7:$P$336,$R268,FALSE)-HLOOKUP(AK$3,$D$7:$P$336,$R268,FALSE)</f>
        <v>#N/A</v>
      </c>
      <c r="AL268" s="60" t="e">
        <f>100+HLOOKUP(AL$4,$D$7:$P$336,$R268,FALSE)-HLOOKUP(AL$3,$D$7:$P$336,$R268,FALSE)</f>
        <v>#N/A</v>
      </c>
      <c r="AM268" s="60" t="e">
        <f>100+HLOOKUP(AM$4,$D$7:$P$336,$R268,FALSE)-HLOOKUP(AM$3,$D$7:$P$336,$R268,FALSE)</f>
        <v>#N/A</v>
      </c>
      <c r="AN268" s="60" t="e">
        <f>100+HLOOKUP(AN$4,$D$7:$P$336,$R268,FALSE)-HLOOKUP(AN$3,$D$7:$P$336,$R268,FALSE)</f>
        <v>#N/A</v>
      </c>
      <c r="AO268" s="60" t="e">
        <f>100+HLOOKUP(AO$4,$D$7:$P$336,$R268,FALSE)-HLOOKUP(AO$3,$D$7:$P$336,$R268,FALSE)</f>
        <v>#N/A</v>
      </c>
      <c r="AP268" s="60" t="e">
        <f>100+HLOOKUP(AP$4,$D$7:$P$336,$R268,FALSE)-HLOOKUP(AP$3,$D$7:$P$336,$R268,FALSE)</f>
        <v>#N/A</v>
      </c>
      <c r="AQ268" s="60" t="e">
        <f>100+HLOOKUP(AQ$4,$D$7:$P$336,$R268,FALSE)-HLOOKUP(AQ$3,$D$7:$P$336,$R268,FALSE)</f>
        <v>#N/A</v>
      </c>
      <c r="AV268" s="60">
        <f ca="1">AV$5-S268</f>
        <v>19.190399426796432</v>
      </c>
      <c r="AW268" s="60">
        <f ca="1">AW$5-T268</f>
        <v>10.220650529757748</v>
      </c>
      <c r="AX268" s="60">
        <f ca="1">AX$5-U268</f>
        <v>17.775915403668051</v>
      </c>
      <c r="AY268" s="60">
        <f ca="1">AY$5-V268</f>
        <v>11.603014401527801</v>
      </c>
      <c r="AZ268" s="60">
        <f ca="1">AZ$5-W268</f>
        <v>18.45448217259603</v>
      </c>
      <c r="BA268" s="60">
        <f ca="1">BA$5-X268</f>
        <v>14.465059058982703</v>
      </c>
      <c r="BB268" s="60">
        <f ca="1">BB$5-Y268</f>
        <v>9.3505927273811267</v>
      </c>
      <c r="BC268" s="60">
        <f ca="1">BC$5-Z268</f>
        <v>23.437465909882164</v>
      </c>
      <c r="BD268" s="60">
        <f ca="1">BD$5-AA268</f>
        <v>15.936518664382362</v>
      </c>
      <c r="BE268" s="60">
        <f ca="1">BE$5-AB268</f>
        <v>12.829390591992194</v>
      </c>
      <c r="BF268" s="60">
        <f ca="1">BF$5-AC268</f>
        <v>-9.9826956835229197</v>
      </c>
      <c r="BG268" s="60">
        <f ca="1">BG$5-AD268</f>
        <v>-7.0147412949814907</v>
      </c>
      <c r="BH268" s="60">
        <f ca="1">BH$5-AE268</f>
        <v>-13.045407769632433</v>
      </c>
      <c r="BI268" s="60">
        <f ca="1">BI$5-AF268</f>
        <v>-21.391494488745195</v>
      </c>
      <c r="BJ268" s="60">
        <f ca="1">BJ$5-AG268</f>
        <v>9.43955105767877</v>
      </c>
      <c r="BK268" s="60" t="e">
        <f>BK$5-AH268</f>
        <v>#N/A</v>
      </c>
      <c r="BL268" s="60" t="e">
        <f>BL$5-AI268</f>
        <v>#N/A</v>
      </c>
      <c r="BM268" s="60" t="e">
        <f>BM$5-AJ268</f>
        <v>#N/A</v>
      </c>
      <c r="BN268" s="60" t="e">
        <f>BN$5-AK268</f>
        <v>#N/A</v>
      </c>
      <c r="BO268" s="60" t="e">
        <f>BO$5-AL268</f>
        <v>#N/A</v>
      </c>
      <c r="BP268" s="60" t="e">
        <f>BP$5-AM268</f>
        <v>#N/A</v>
      </c>
      <c r="BQ268" s="60" t="e">
        <f>BQ$5-AN268</f>
        <v>#N/A</v>
      </c>
      <c r="BR268" s="60" t="e">
        <f>BR$5-AO268</f>
        <v>#N/A</v>
      </c>
      <c r="BS268" s="60" t="e">
        <f>BS$5-AP268</f>
        <v>#N/A</v>
      </c>
      <c r="BT268" s="60" t="e">
        <f>BT$5-AQ268</f>
        <v>#N/A</v>
      </c>
      <c r="BV268" s="60" cm="1">
        <f t="array" aca="1" ref="BV268" ca="1">SQRT(SUMSQ(_xlfn._xlws.FILTER(AV268:BT268,ISNUMBER(AV268:BT268)))/COUNT(_xlfn._xlws.FILTER(AV268:BT268,ISNUMBER(AV268:BT268))))</f>
        <v>15.042630533867388</v>
      </c>
    </row>
    <row r="269" spans="3:74" x14ac:dyDescent="0.2">
      <c r="C269" s="60" t="s">
        <v>313</v>
      </c>
      <c r="D269" s="60">
        <v>0</v>
      </c>
      <c r="E269" s="60">
        <v>-3</v>
      </c>
      <c r="F269" s="60">
        <v>-7</v>
      </c>
      <c r="G269" s="60">
        <v>-10</v>
      </c>
      <c r="H269" s="60">
        <v>-14</v>
      </c>
      <c r="I269" s="60">
        <v>-17</v>
      </c>
      <c r="J269" s="60">
        <v>-20</v>
      </c>
      <c r="K269" s="60">
        <v>-24</v>
      </c>
      <c r="L269" s="60">
        <v>-24</v>
      </c>
      <c r="M269" s="60">
        <v>-13</v>
      </c>
      <c r="N269" s="60">
        <v>-6</v>
      </c>
      <c r="O269" s="60">
        <v>-2</v>
      </c>
      <c r="P269" s="60">
        <v>0</v>
      </c>
      <c r="R269" s="61">
        <f>(ROW(R269)-ROW($C$6))</f>
        <v>263</v>
      </c>
      <c r="S269" s="60">
        <f ca="1">100+HLOOKUP(S$4,$D$7:$P$336,$R269,FALSE)-HLOOKUP(S$3,$D$7:$P$336,$R269,FALSE)</f>
        <v>99</v>
      </c>
      <c r="T269" s="60">
        <f ca="1">100+HLOOKUP(T$4,$D$7:$P$336,$R269,FALSE)-HLOOKUP(T$3,$D$7:$P$336,$R269,FALSE)</f>
        <v>82</v>
      </c>
      <c r="U269" s="60">
        <f ca="1">100+HLOOKUP(U$4,$D$7:$P$336,$R269,FALSE)-HLOOKUP(U$3,$D$7:$P$336,$R269,FALSE)</f>
        <v>79</v>
      </c>
      <c r="V269" s="60">
        <f ca="1">100+HLOOKUP(V$4,$D$7:$P$336,$R269,FALSE)-HLOOKUP(V$3,$D$7:$P$336,$R269,FALSE)</f>
        <v>89</v>
      </c>
      <c r="W269" s="60">
        <f ca="1">100+HLOOKUP(W$4,$D$7:$P$336,$R269,FALSE)-HLOOKUP(W$3,$D$7:$P$336,$R269,FALSE)</f>
        <v>76</v>
      </c>
      <c r="X269" s="60">
        <f ca="1">100+HLOOKUP(X$4,$D$7:$P$336,$R269,FALSE)-HLOOKUP(X$3,$D$7:$P$336,$R269,FALSE)</f>
        <v>99</v>
      </c>
      <c r="Y269" s="60">
        <f ca="1">100+HLOOKUP(Y$4,$D$7:$P$336,$R269,FALSE)-HLOOKUP(Y$3,$D$7:$P$336,$R269,FALSE)</f>
        <v>82</v>
      </c>
      <c r="Z269" s="60">
        <f ca="1">100+HLOOKUP(Z$4,$D$7:$P$336,$R269,FALSE)-HLOOKUP(Z$3,$D$7:$P$336,$R269,FALSE)</f>
        <v>79</v>
      </c>
      <c r="AA269" s="60">
        <f ca="1">100+HLOOKUP(AA$4,$D$7:$P$336,$R269,FALSE)-HLOOKUP(AA$3,$D$7:$P$336,$R269,FALSE)</f>
        <v>89</v>
      </c>
      <c r="AB269" s="60">
        <f ca="1">100+HLOOKUP(AB$4,$D$7:$P$336,$R269,FALSE)-HLOOKUP(AB$3,$D$7:$P$336,$R269,FALSE)</f>
        <v>76</v>
      </c>
      <c r="AC269" s="60">
        <f ca="1">100+HLOOKUP(AC$4,$D$7:$P$336,$R269,FALSE)-HLOOKUP(AC$3,$D$7:$P$336,$R269,FALSE)</f>
        <v>94</v>
      </c>
      <c r="AD269" s="60">
        <f ca="1">100+HLOOKUP(AD$4,$D$7:$P$336,$R269,FALSE)-HLOOKUP(AD$3,$D$7:$P$336,$R269,FALSE)</f>
        <v>112</v>
      </c>
      <c r="AE269" s="60">
        <f ca="1">100+HLOOKUP(AE$4,$D$7:$P$336,$R269,FALSE)-HLOOKUP(AE$3,$D$7:$P$336,$R269,FALSE)</f>
        <v>117</v>
      </c>
      <c r="AF269" s="60">
        <f ca="1">100+HLOOKUP(AF$4,$D$7:$P$336,$R269,FALSE)-HLOOKUP(AF$3,$D$7:$P$336,$R269,FALSE)</f>
        <v>114</v>
      </c>
      <c r="AG269" s="60">
        <f ca="1">100+HLOOKUP(AG$4,$D$7:$P$336,$R269,FALSE)-HLOOKUP(AG$3,$D$7:$P$336,$R269,FALSE)</f>
        <v>89</v>
      </c>
      <c r="AH269" s="60" t="e">
        <f>100+HLOOKUP(AH$4,$D$7:$P$336,$R269,FALSE)-HLOOKUP(AH$3,$D$7:$P$336,$R269,FALSE)</f>
        <v>#N/A</v>
      </c>
      <c r="AI269" s="60" t="e">
        <f>100+HLOOKUP(AI$4,$D$7:$P$336,$R269,FALSE)-HLOOKUP(AI$3,$D$7:$P$336,$R269,FALSE)</f>
        <v>#N/A</v>
      </c>
      <c r="AJ269" s="60" t="e">
        <f>100+HLOOKUP(AJ$4,$D$7:$P$336,$R269,FALSE)-HLOOKUP(AJ$3,$D$7:$P$336,$R269,FALSE)</f>
        <v>#N/A</v>
      </c>
      <c r="AK269" s="60" t="e">
        <f>100+HLOOKUP(AK$4,$D$7:$P$336,$R269,FALSE)-HLOOKUP(AK$3,$D$7:$P$336,$R269,FALSE)</f>
        <v>#N/A</v>
      </c>
      <c r="AL269" s="60" t="e">
        <f>100+HLOOKUP(AL$4,$D$7:$P$336,$R269,FALSE)-HLOOKUP(AL$3,$D$7:$P$336,$R269,FALSE)</f>
        <v>#N/A</v>
      </c>
      <c r="AM269" s="60" t="e">
        <f>100+HLOOKUP(AM$4,$D$7:$P$336,$R269,FALSE)-HLOOKUP(AM$3,$D$7:$P$336,$R269,FALSE)</f>
        <v>#N/A</v>
      </c>
      <c r="AN269" s="60" t="e">
        <f>100+HLOOKUP(AN$4,$D$7:$P$336,$R269,FALSE)-HLOOKUP(AN$3,$D$7:$P$336,$R269,FALSE)</f>
        <v>#N/A</v>
      </c>
      <c r="AO269" s="60" t="e">
        <f>100+HLOOKUP(AO$4,$D$7:$P$336,$R269,FALSE)-HLOOKUP(AO$3,$D$7:$P$336,$R269,FALSE)</f>
        <v>#N/A</v>
      </c>
      <c r="AP269" s="60" t="e">
        <f>100+HLOOKUP(AP$4,$D$7:$P$336,$R269,FALSE)-HLOOKUP(AP$3,$D$7:$P$336,$R269,FALSE)</f>
        <v>#N/A</v>
      </c>
      <c r="AQ269" s="60" t="e">
        <f>100+HLOOKUP(AQ$4,$D$7:$P$336,$R269,FALSE)-HLOOKUP(AQ$3,$D$7:$P$336,$R269,FALSE)</f>
        <v>#N/A</v>
      </c>
      <c r="AV269" s="60">
        <f ca="1">AV$5-S269</f>
        <v>4.1903994267964322</v>
      </c>
      <c r="AW269" s="60">
        <f ca="1">AW$5-T269</f>
        <v>12.220650529757748</v>
      </c>
      <c r="AX269" s="60">
        <f ca="1">AX$5-U269</f>
        <v>22.775915403668051</v>
      </c>
      <c r="AY269" s="60">
        <f ca="1">AY$5-V269</f>
        <v>4.6030144015278012</v>
      </c>
      <c r="AZ269" s="60">
        <f ca="1">AZ$5-W269</f>
        <v>21.45448217259603</v>
      </c>
      <c r="BA269" s="60">
        <f ca="1">BA$5-X269</f>
        <v>-0.53494094101729672</v>
      </c>
      <c r="BB269" s="60">
        <f ca="1">BB$5-Y269</f>
        <v>11.350592727381127</v>
      </c>
      <c r="BC269" s="60">
        <f ca="1">BC$5-Z269</f>
        <v>28.437465909882164</v>
      </c>
      <c r="BD269" s="60">
        <f ca="1">BD$5-AA269</f>
        <v>8.936518664382362</v>
      </c>
      <c r="BE269" s="60">
        <f ca="1">BE$5-AB269</f>
        <v>15.829390591992194</v>
      </c>
      <c r="BF269" s="60">
        <f ca="1">BF$5-AC269</f>
        <v>7.0173043164770803</v>
      </c>
      <c r="BG269" s="60">
        <f ca="1">BG$5-AD269</f>
        <v>-8.0147412949814907</v>
      </c>
      <c r="BH269" s="60">
        <f ca="1">BH$5-AE269</f>
        <v>-18.045407769632433</v>
      </c>
      <c r="BI269" s="60">
        <f ca="1">BI$5-AF269</f>
        <v>-23.391494488745195</v>
      </c>
      <c r="BJ269" s="60">
        <f ca="1">BJ$5-AG269</f>
        <v>2.43955105767877</v>
      </c>
      <c r="BK269" s="60" t="e">
        <f>BK$5-AH269</f>
        <v>#N/A</v>
      </c>
      <c r="BL269" s="60" t="e">
        <f>BL$5-AI269</f>
        <v>#N/A</v>
      </c>
      <c r="BM269" s="60" t="e">
        <f>BM$5-AJ269</f>
        <v>#N/A</v>
      </c>
      <c r="BN269" s="60" t="e">
        <f>BN$5-AK269</f>
        <v>#N/A</v>
      </c>
      <c r="BO269" s="60" t="e">
        <f>BO$5-AL269</f>
        <v>#N/A</v>
      </c>
      <c r="BP269" s="60" t="e">
        <f>BP$5-AM269</f>
        <v>#N/A</v>
      </c>
      <c r="BQ269" s="60" t="e">
        <f>BQ$5-AN269</f>
        <v>#N/A</v>
      </c>
      <c r="BR269" s="60" t="e">
        <f>BR$5-AO269</f>
        <v>#N/A</v>
      </c>
      <c r="BS269" s="60" t="e">
        <f>BS$5-AP269</f>
        <v>#N/A</v>
      </c>
      <c r="BT269" s="60" t="e">
        <f>BT$5-AQ269</f>
        <v>#N/A</v>
      </c>
      <c r="BV269" s="60" cm="1">
        <f t="array" aca="1" ref="BV269" ca="1">SQRT(SUMSQ(_xlfn._xlws.FILTER(AV269:BT269,ISNUMBER(AV269:BT269)))/COUNT(_xlfn._xlws.FILTER(AV269:BT269,ISNUMBER(AV269:BT269))))</f>
        <v>15.116436917311894</v>
      </c>
    </row>
    <row r="270" spans="3:74" x14ac:dyDescent="0.2">
      <c r="C270" s="60" t="s">
        <v>291</v>
      </c>
      <c r="D270" s="60">
        <v>0</v>
      </c>
      <c r="E270" s="60">
        <v>2</v>
      </c>
      <c r="F270" s="60">
        <v>4</v>
      </c>
      <c r="G270" s="60">
        <v>-16</v>
      </c>
      <c r="H270" s="60">
        <v>-14</v>
      </c>
      <c r="I270" s="60">
        <v>-12</v>
      </c>
      <c r="J270" s="60">
        <v>-10</v>
      </c>
      <c r="K270" s="60">
        <v>12</v>
      </c>
      <c r="L270" s="60">
        <v>14</v>
      </c>
      <c r="M270" s="60">
        <v>16</v>
      </c>
      <c r="N270" s="60">
        <v>-4</v>
      </c>
      <c r="O270" s="60">
        <v>-2</v>
      </c>
      <c r="P270" s="60">
        <v>0</v>
      </c>
      <c r="R270" s="61">
        <f>(ROW(R270)-ROW($C$6))</f>
        <v>264</v>
      </c>
      <c r="S270" s="60">
        <f ca="1">100+HLOOKUP(S$4,$D$7:$P$336,$R270,FALSE)-HLOOKUP(S$3,$D$7:$P$336,$R270,FALSE)</f>
        <v>70</v>
      </c>
      <c r="T270" s="60">
        <f ca="1">100+HLOOKUP(T$4,$D$7:$P$336,$R270,FALSE)-HLOOKUP(T$3,$D$7:$P$336,$R270,FALSE)</f>
        <v>92</v>
      </c>
      <c r="U270" s="60">
        <f ca="1">100+HLOOKUP(U$4,$D$7:$P$336,$R270,FALSE)-HLOOKUP(U$3,$D$7:$P$336,$R270,FALSE)</f>
        <v>112</v>
      </c>
      <c r="V270" s="60">
        <f ca="1">100+HLOOKUP(V$4,$D$7:$P$336,$R270,FALSE)-HLOOKUP(V$3,$D$7:$P$336,$R270,FALSE)</f>
        <v>92</v>
      </c>
      <c r="W270" s="60">
        <f ca="1">100+HLOOKUP(W$4,$D$7:$P$336,$R270,FALSE)-HLOOKUP(W$3,$D$7:$P$336,$R270,FALSE)</f>
        <v>112</v>
      </c>
      <c r="X270" s="60">
        <f ca="1">100+HLOOKUP(X$4,$D$7:$P$336,$R270,FALSE)-HLOOKUP(X$3,$D$7:$P$336,$R270,FALSE)</f>
        <v>70</v>
      </c>
      <c r="Y270" s="60">
        <f ca="1">100+HLOOKUP(Y$4,$D$7:$P$336,$R270,FALSE)-HLOOKUP(Y$3,$D$7:$P$336,$R270,FALSE)</f>
        <v>92</v>
      </c>
      <c r="Z270" s="60">
        <f ca="1">100+HLOOKUP(Z$4,$D$7:$P$336,$R270,FALSE)-HLOOKUP(Z$3,$D$7:$P$336,$R270,FALSE)</f>
        <v>112</v>
      </c>
      <c r="AA270" s="60">
        <f ca="1">100+HLOOKUP(AA$4,$D$7:$P$336,$R270,FALSE)-HLOOKUP(AA$3,$D$7:$P$336,$R270,FALSE)</f>
        <v>92</v>
      </c>
      <c r="AB270" s="60">
        <f ca="1">100+HLOOKUP(AB$4,$D$7:$P$336,$R270,FALSE)-HLOOKUP(AB$3,$D$7:$P$336,$R270,FALSE)</f>
        <v>112</v>
      </c>
      <c r="AC270" s="60">
        <f ca="1">100+HLOOKUP(AC$4,$D$7:$P$336,$R270,FALSE)-HLOOKUP(AC$3,$D$7:$P$336,$R270,FALSE)</f>
        <v>112</v>
      </c>
      <c r="AD270" s="60">
        <f ca="1">100+HLOOKUP(AD$4,$D$7:$P$336,$R270,FALSE)-HLOOKUP(AD$3,$D$7:$P$336,$R270,FALSE)</f>
        <v>112</v>
      </c>
      <c r="AE270" s="60">
        <f ca="1">100+HLOOKUP(AE$4,$D$7:$P$336,$R270,FALSE)-HLOOKUP(AE$3,$D$7:$P$336,$R270,FALSE)</f>
        <v>112</v>
      </c>
      <c r="AF270" s="60">
        <f ca="1">100+HLOOKUP(AF$4,$D$7:$P$336,$R270,FALSE)-HLOOKUP(AF$3,$D$7:$P$336,$R270,FALSE)</f>
        <v>70</v>
      </c>
      <c r="AG270" s="60">
        <f ca="1">100+HLOOKUP(AG$4,$D$7:$P$336,$R270,FALSE)-HLOOKUP(AG$3,$D$7:$P$336,$R270,FALSE)</f>
        <v>92</v>
      </c>
      <c r="AH270" s="60" t="e">
        <f>100+HLOOKUP(AH$4,$D$7:$P$336,$R270,FALSE)-HLOOKUP(AH$3,$D$7:$P$336,$R270,FALSE)</f>
        <v>#N/A</v>
      </c>
      <c r="AI270" s="60" t="e">
        <f>100+HLOOKUP(AI$4,$D$7:$P$336,$R270,FALSE)-HLOOKUP(AI$3,$D$7:$P$336,$R270,FALSE)</f>
        <v>#N/A</v>
      </c>
      <c r="AJ270" s="60" t="e">
        <f>100+HLOOKUP(AJ$4,$D$7:$P$336,$R270,FALSE)-HLOOKUP(AJ$3,$D$7:$P$336,$R270,FALSE)</f>
        <v>#N/A</v>
      </c>
      <c r="AK270" s="60" t="e">
        <f>100+HLOOKUP(AK$4,$D$7:$P$336,$R270,FALSE)-HLOOKUP(AK$3,$D$7:$P$336,$R270,FALSE)</f>
        <v>#N/A</v>
      </c>
      <c r="AL270" s="60" t="e">
        <f>100+HLOOKUP(AL$4,$D$7:$P$336,$R270,FALSE)-HLOOKUP(AL$3,$D$7:$P$336,$R270,FALSE)</f>
        <v>#N/A</v>
      </c>
      <c r="AM270" s="60" t="e">
        <f>100+HLOOKUP(AM$4,$D$7:$P$336,$R270,FALSE)-HLOOKUP(AM$3,$D$7:$P$336,$R270,FALSE)</f>
        <v>#N/A</v>
      </c>
      <c r="AN270" s="60" t="e">
        <f>100+HLOOKUP(AN$4,$D$7:$P$336,$R270,FALSE)-HLOOKUP(AN$3,$D$7:$P$336,$R270,FALSE)</f>
        <v>#N/A</v>
      </c>
      <c r="AO270" s="60" t="e">
        <f>100+HLOOKUP(AO$4,$D$7:$P$336,$R270,FALSE)-HLOOKUP(AO$3,$D$7:$P$336,$R270,FALSE)</f>
        <v>#N/A</v>
      </c>
      <c r="AP270" s="60" t="e">
        <f>100+HLOOKUP(AP$4,$D$7:$P$336,$R270,FALSE)-HLOOKUP(AP$3,$D$7:$P$336,$R270,FALSE)</f>
        <v>#N/A</v>
      </c>
      <c r="AQ270" s="60" t="e">
        <f>100+HLOOKUP(AQ$4,$D$7:$P$336,$R270,FALSE)-HLOOKUP(AQ$3,$D$7:$P$336,$R270,FALSE)</f>
        <v>#N/A</v>
      </c>
      <c r="AV270" s="60">
        <f ca="1">AV$5-S270</f>
        <v>33.190399426796432</v>
      </c>
      <c r="AW270" s="60">
        <f ca="1">AW$5-T270</f>
        <v>2.2206505297577479</v>
      </c>
      <c r="AX270" s="60">
        <f ca="1">AX$5-U270</f>
        <v>-10.224084596331949</v>
      </c>
      <c r="AY270" s="60">
        <f ca="1">AY$5-V270</f>
        <v>1.6030144015278012</v>
      </c>
      <c r="AZ270" s="60">
        <f ca="1">AZ$5-W270</f>
        <v>-14.54551782740397</v>
      </c>
      <c r="BA270" s="60">
        <f ca="1">BA$5-X270</f>
        <v>28.465059058982703</v>
      </c>
      <c r="BB270" s="60">
        <f ca="1">BB$5-Y270</f>
        <v>1.3505927273811267</v>
      </c>
      <c r="BC270" s="60">
        <f ca="1">BC$5-Z270</f>
        <v>-4.5625340901178362</v>
      </c>
      <c r="BD270" s="60">
        <f ca="1">BD$5-AA270</f>
        <v>5.936518664382362</v>
      </c>
      <c r="BE270" s="60">
        <f ca="1">BE$5-AB270</f>
        <v>-20.170609408007806</v>
      </c>
      <c r="BF270" s="60">
        <f ca="1">BF$5-AC270</f>
        <v>-10.98269568352292</v>
      </c>
      <c r="BG270" s="60">
        <f ca="1">BG$5-AD270</f>
        <v>-8.0147412949814907</v>
      </c>
      <c r="BH270" s="60">
        <f ca="1">BH$5-AE270</f>
        <v>-13.045407769632433</v>
      </c>
      <c r="BI270" s="60">
        <f ca="1">BI$5-AF270</f>
        <v>20.608505511254805</v>
      </c>
      <c r="BJ270" s="60">
        <f ca="1">BJ$5-AG270</f>
        <v>-0.56044894232122999</v>
      </c>
      <c r="BK270" s="60" t="e">
        <f>BK$5-AH270</f>
        <v>#N/A</v>
      </c>
      <c r="BL270" s="60" t="e">
        <f>BL$5-AI270</f>
        <v>#N/A</v>
      </c>
      <c r="BM270" s="60" t="e">
        <f>BM$5-AJ270</f>
        <v>#N/A</v>
      </c>
      <c r="BN270" s="60" t="e">
        <f>BN$5-AK270</f>
        <v>#N/A</v>
      </c>
      <c r="BO270" s="60" t="e">
        <f>BO$5-AL270</f>
        <v>#N/A</v>
      </c>
      <c r="BP270" s="60" t="e">
        <f>BP$5-AM270</f>
        <v>#N/A</v>
      </c>
      <c r="BQ270" s="60" t="e">
        <f>BQ$5-AN270</f>
        <v>#N/A</v>
      </c>
      <c r="BR270" s="60" t="e">
        <f>BR$5-AO270</f>
        <v>#N/A</v>
      </c>
      <c r="BS270" s="60" t="e">
        <f>BS$5-AP270</f>
        <v>#N/A</v>
      </c>
      <c r="BT270" s="60" t="e">
        <f>BT$5-AQ270</f>
        <v>#N/A</v>
      </c>
      <c r="BV270" s="60" cm="1">
        <f t="array" aca="1" ref="BV270" ca="1">SQRT(SUMSQ(_xlfn._xlws.FILTER(AV270:BT270,ISNUMBER(AV270:BT270)))/COUNT(_xlfn._xlws.FILTER(AV270:BT270,ISNUMBER(AV270:BT270))))</f>
        <v>15.232129736346096</v>
      </c>
    </row>
    <row r="271" spans="3:74" x14ac:dyDescent="0.2">
      <c r="C271" s="60" t="s">
        <v>307</v>
      </c>
      <c r="D271" s="60">
        <v>0</v>
      </c>
      <c r="E271" s="60">
        <v>1.9550000000000001</v>
      </c>
      <c r="F271" s="60">
        <v>3.91</v>
      </c>
      <c r="G271" s="60">
        <v>5.8650000000000002</v>
      </c>
      <c r="H271" s="60">
        <v>7.82</v>
      </c>
      <c r="I271" s="60">
        <v>9.7750000000000004</v>
      </c>
      <c r="J271" s="60">
        <v>11.73</v>
      </c>
      <c r="K271" s="60">
        <v>13.685</v>
      </c>
      <c r="L271" s="60">
        <v>15.64</v>
      </c>
      <c r="M271" s="60">
        <v>-5.8650000000000002</v>
      </c>
      <c r="N271" s="60">
        <v>-3.91</v>
      </c>
      <c r="O271" s="60">
        <v>-1.9550000000000001</v>
      </c>
      <c r="P271" s="60">
        <v>0</v>
      </c>
      <c r="R271" s="61">
        <f>(ROW(R271)-ROW($C$6))</f>
        <v>265</v>
      </c>
      <c r="S271" s="60">
        <f ca="1">100+HLOOKUP(S$4,$D$7:$P$336,$R271,FALSE)-HLOOKUP(S$3,$D$7:$P$336,$R271,FALSE)</f>
        <v>113.68499999999999</v>
      </c>
      <c r="T271" s="60">
        <f ca="1">100+HLOOKUP(T$4,$D$7:$P$336,$R271,FALSE)-HLOOKUP(T$3,$D$7:$P$336,$R271,FALSE)</f>
        <v>113.685</v>
      </c>
      <c r="U271" s="60">
        <f ca="1">100+HLOOKUP(U$4,$D$7:$P$336,$R271,FALSE)-HLOOKUP(U$3,$D$7:$P$336,$R271,FALSE)</f>
        <v>113.685</v>
      </c>
      <c r="V271" s="60">
        <f ca="1">100+HLOOKUP(V$4,$D$7:$P$336,$R271,FALSE)-HLOOKUP(V$3,$D$7:$P$336,$R271,FALSE)</f>
        <v>113.685</v>
      </c>
      <c r="W271" s="60">
        <f ca="1">100+HLOOKUP(W$4,$D$7:$P$336,$R271,FALSE)-HLOOKUP(W$3,$D$7:$P$336,$R271,FALSE)</f>
        <v>113.685</v>
      </c>
      <c r="X271" s="60">
        <f ca="1">100+HLOOKUP(X$4,$D$7:$P$336,$R271,FALSE)-HLOOKUP(X$3,$D$7:$P$336,$R271,FALSE)</f>
        <v>113.68499999999999</v>
      </c>
      <c r="Y271" s="60">
        <f ca="1">100+HLOOKUP(Y$4,$D$7:$P$336,$R271,FALSE)-HLOOKUP(Y$3,$D$7:$P$336,$R271,FALSE)</f>
        <v>113.685</v>
      </c>
      <c r="Z271" s="60">
        <f ca="1">100+HLOOKUP(Z$4,$D$7:$P$336,$R271,FALSE)-HLOOKUP(Z$3,$D$7:$P$336,$R271,FALSE)</f>
        <v>113.685</v>
      </c>
      <c r="AA271" s="60">
        <f ca="1">100+HLOOKUP(AA$4,$D$7:$P$336,$R271,FALSE)-HLOOKUP(AA$3,$D$7:$P$336,$R271,FALSE)</f>
        <v>113.685</v>
      </c>
      <c r="AB271" s="60">
        <f ca="1">100+HLOOKUP(AB$4,$D$7:$P$336,$R271,FALSE)-HLOOKUP(AB$3,$D$7:$P$336,$R271,FALSE)</f>
        <v>113.685</v>
      </c>
      <c r="AC271" s="60">
        <f ca="1">100+HLOOKUP(AC$4,$D$7:$P$336,$R271,FALSE)-HLOOKUP(AC$3,$D$7:$P$336,$R271,FALSE)</f>
        <v>90.225000000000009</v>
      </c>
      <c r="AD271" s="60">
        <f ca="1">100+HLOOKUP(AD$4,$D$7:$P$336,$R271,FALSE)-HLOOKUP(AD$3,$D$7:$P$336,$R271,FALSE)</f>
        <v>90.224999999999994</v>
      </c>
      <c r="AE271" s="60">
        <f ca="1">100+HLOOKUP(AE$4,$D$7:$P$336,$R271,FALSE)-HLOOKUP(AE$3,$D$7:$P$336,$R271,FALSE)</f>
        <v>90.224999999999994</v>
      </c>
      <c r="AF271" s="60">
        <f ca="1">100+HLOOKUP(AF$4,$D$7:$P$336,$R271,FALSE)-HLOOKUP(AF$3,$D$7:$P$336,$R271,FALSE)</f>
        <v>90.224999999999994</v>
      </c>
      <c r="AG271" s="60">
        <f ca="1">100+HLOOKUP(AG$4,$D$7:$P$336,$R271,FALSE)-HLOOKUP(AG$3,$D$7:$P$336,$R271,FALSE)</f>
        <v>113.685</v>
      </c>
      <c r="AH271" s="60" t="e">
        <f>100+HLOOKUP(AH$4,$D$7:$P$336,$R271,FALSE)-HLOOKUP(AH$3,$D$7:$P$336,$R271,FALSE)</f>
        <v>#N/A</v>
      </c>
      <c r="AI271" s="60" t="e">
        <f>100+HLOOKUP(AI$4,$D$7:$P$336,$R271,FALSE)-HLOOKUP(AI$3,$D$7:$P$336,$R271,FALSE)</f>
        <v>#N/A</v>
      </c>
      <c r="AJ271" s="60" t="e">
        <f>100+HLOOKUP(AJ$4,$D$7:$P$336,$R271,FALSE)-HLOOKUP(AJ$3,$D$7:$P$336,$R271,FALSE)</f>
        <v>#N/A</v>
      </c>
      <c r="AK271" s="60" t="e">
        <f>100+HLOOKUP(AK$4,$D$7:$P$336,$R271,FALSE)-HLOOKUP(AK$3,$D$7:$P$336,$R271,FALSE)</f>
        <v>#N/A</v>
      </c>
      <c r="AL271" s="60" t="e">
        <f>100+HLOOKUP(AL$4,$D$7:$P$336,$R271,FALSE)-HLOOKUP(AL$3,$D$7:$P$336,$R271,FALSE)</f>
        <v>#N/A</v>
      </c>
      <c r="AM271" s="60" t="e">
        <f>100+HLOOKUP(AM$4,$D$7:$P$336,$R271,FALSE)-HLOOKUP(AM$3,$D$7:$P$336,$R271,FALSE)</f>
        <v>#N/A</v>
      </c>
      <c r="AN271" s="60" t="e">
        <f>100+HLOOKUP(AN$4,$D$7:$P$336,$R271,FALSE)-HLOOKUP(AN$3,$D$7:$P$336,$R271,FALSE)</f>
        <v>#N/A</v>
      </c>
      <c r="AO271" s="60" t="e">
        <f>100+HLOOKUP(AO$4,$D$7:$P$336,$R271,FALSE)-HLOOKUP(AO$3,$D$7:$P$336,$R271,FALSE)</f>
        <v>#N/A</v>
      </c>
      <c r="AP271" s="60" t="e">
        <f>100+HLOOKUP(AP$4,$D$7:$P$336,$R271,FALSE)-HLOOKUP(AP$3,$D$7:$P$336,$R271,FALSE)</f>
        <v>#N/A</v>
      </c>
      <c r="AQ271" s="60" t="e">
        <f>100+HLOOKUP(AQ$4,$D$7:$P$336,$R271,FALSE)-HLOOKUP(AQ$3,$D$7:$P$336,$R271,FALSE)</f>
        <v>#N/A</v>
      </c>
      <c r="AV271" s="60">
        <f ca="1">AV$5-S271</f>
        <v>-10.494600573203556</v>
      </c>
      <c r="AW271" s="60">
        <f ca="1">AW$5-T271</f>
        <v>-19.464349470242254</v>
      </c>
      <c r="AX271" s="60">
        <f ca="1">AX$5-U271</f>
        <v>-11.909084596331951</v>
      </c>
      <c r="AY271" s="60">
        <f ca="1">AY$5-V271</f>
        <v>-20.081985598472201</v>
      </c>
      <c r="AZ271" s="60">
        <f ca="1">AZ$5-W271</f>
        <v>-16.230517827403972</v>
      </c>
      <c r="BA271" s="60">
        <f ca="1">BA$5-X271</f>
        <v>-15.219940941017285</v>
      </c>
      <c r="BB271" s="60">
        <f ca="1">BB$5-Y271</f>
        <v>-20.334407272618876</v>
      </c>
      <c r="BC271" s="60">
        <f ca="1">BC$5-Z271</f>
        <v>-6.2475340901178384</v>
      </c>
      <c r="BD271" s="60">
        <f ca="1">BD$5-AA271</f>
        <v>-15.74848133561764</v>
      </c>
      <c r="BE271" s="60">
        <f ca="1">BE$5-AB271</f>
        <v>-21.855609408007808</v>
      </c>
      <c r="BF271" s="60">
        <f ca="1">BF$5-AC271</f>
        <v>10.792304316477072</v>
      </c>
      <c r="BG271" s="60">
        <f ca="1">BG$5-AD271</f>
        <v>13.760258705018515</v>
      </c>
      <c r="BH271" s="60">
        <f ca="1">BH$5-AE271</f>
        <v>8.7295922303675724</v>
      </c>
      <c r="BI271" s="60">
        <f ca="1">BI$5-AF271</f>
        <v>0.38350551125481047</v>
      </c>
      <c r="BJ271" s="60">
        <f ca="1">BJ$5-AG271</f>
        <v>-22.245448942321232</v>
      </c>
      <c r="BK271" s="60" t="e">
        <f>BK$5-AH271</f>
        <v>#N/A</v>
      </c>
      <c r="BL271" s="60" t="e">
        <f>BL$5-AI271</f>
        <v>#N/A</v>
      </c>
      <c r="BM271" s="60" t="e">
        <f>BM$5-AJ271</f>
        <v>#N/A</v>
      </c>
      <c r="BN271" s="60" t="e">
        <f>BN$5-AK271</f>
        <v>#N/A</v>
      </c>
      <c r="BO271" s="60" t="e">
        <f>BO$5-AL271</f>
        <v>#N/A</v>
      </c>
      <c r="BP271" s="60" t="e">
        <f>BP$5-AM271</f>
        <v>#N/A</v>
      </c>
      <c r="BQ271" s="60" t="e">
        <f>BQ$5-AN271</f>
        <v>#N/A</v>
      </c>
      <c r="BR271" s="60" t="e">
        <f>BR$5-AO271</f>
        <v>#N/A</v>
      </c>
      <c r="BS271" s="60" t="e">
        <f>BS$5-AP271</f>
        <v>#N/A</v>
      </c>
      <c r="BT271" s="60" t="e">
        <f>BT$5-AQ271</f>
        <v>#N/A</v>
      </c>
      <c r="BV271" s="60" cm="1">
        <f t="array" aca="1" ref="BV271" ca="1">SQRT(SUMSQ(_xlfn._xlws.FILTER(AV271:BT271,ISNUMBER(AV271:BT271)))/COUNT(_xlfn._xlws.FILTER(AV271:BT271,ISNUMBER(AV271:BT271))))</f>
        <v>15.458373847667062</v>
      </c>
    </row>
    <row r="272" spans="3:74" x14ac:dyDescent="0.2">
      <c r="C272" s="60" t="s">
        <v>306</v>
      </c>
      <c r="D272" s="60">
        <v>0</v>
      </c>
      <c r="E272" s="60">
        <v>2</v>
      </c>
      <c r="F272" s="60">
        <v>4</v>
      </c>
      <c r="G272" s="60">
        <v>6</v>
      </c>
      <c r="H272" s="60">
        <v>8</v>
      </c>
      <c r="I272" s="60">
        <v>10</v>
      </c>
      <c r="J272" s="60">
        <v>12</v>
      </c>
      <c r="K272" s="60">
        <v>14</v>
      </c>
      <c r="L272" s="60">
        <v>16</v>
      </c>
      <c r="M272" s="60">
        <v>-6</v>
      </c>
      <c r="N272" s="60">
        <v>-4</v>
      </c>
      <c r="O272" s="60">
        <v>-2</v>
      </c>
      <c r="P272" s="60">
        <v>0</v>
      </c>
      <c r="R272" s="61">
        <f>(ROW(R272)-ROW($C$6))</f>
        <v>266</v>
      </c>
      <c r="S272" s="60">
        <f ca="1">100+HLOOKUP(S$4,$D$7:$P$336,$R272,FALSE)-HLOOKUP(S$3,$D$7:$P$336,$R272,FALSE)</f>
        <v>114</v>
      </c>
      <c r="T272" s="60">
        <f ca="1">100+HLOOKUP(T$4,$D$7:$P$336,$R272,FALSE)-HLOOKUP(T$3,$D$7:$P$336,$R272,FALSE)</f>
        <v>114</v>
      </c>
      <c r="U272" s="60">
        <f ca="1">100+HLOOKUP(U$4,$D$7:$P$336,$R272,FALSE)-HLOOKUP(U$3,$D$7:$P$336,$R272,FALSE)</f>
        <v>114</v>
      </c>
      <c r="V272" s="60">
        <f ca="1">100+HLOOKUP(V$4,$D$7:$P$336,$R272,FALSE)-HLOOKUP(V$3,$D$7:$P$336,$R272,FALSE)</f>
        <v>114</v>
      </c>
      <c r="W272" s="60">
        <f ca="1">100+HLOOKUP(W$4,$D$7:$P$336,$R272,FALSE)-HLOOKUP(W$3,$D$7:$P$336,$R272,FALSE)</f>
        <v>114</v>
      </c>
      <c r="X272" s="60">
        <f ca="1">100+HLOOKUP(X$4,$D$7:$P$336,$R272,FALSE)-HLOOKUP(X$3,$D$7:$P$336,$R272,FALSE)</f>
        <v>114</v>
      </c>
      <c r="Y272" s="60">
        <f ca="1">100+HLOOKUP(Y$4,$D$7:$P$336,$R272,FALSE)-HLOOKUP(Y$3,$D$7:$P$336,$R272,FALSE)</f>
        <v>114</v>
      </c>
      <c r="Z272" s="60">
        <f ca="1">100+HLOOKUP(Z$4,$D$7:$P$336,$R272,FALSE)-HLOOKUP(Z$3,$D$7:$P$336,$R272,FALSE)</f>
        <v>114</v>
      </c>
      <c r="AA272" s="60">
        <f ca="1">100+HLOOKUP(AA$4,$D$7:$P$336,$R272,FALSE)-HLOOKUP(AA$3,$D$7:$P$336,$R272,FALSE)</f>
        <v>114</v>
      </c>
      <c r="AB272" s="60">
        <f ca="1">100+HLOOKUP(AB$4,$D$7:$P$336,$R272,FALSE)-HLOOKUP(AB$3,$D$7:$P$336,$R272,FALSE)</f>
        <v>114</v>
      </c>
      <c r="AC272" s="60">
        <f ca="1">100+HLOOKUP(AC$4,$D$7:$P$336,$R272,FALSE)-HLOOKUP(AC$3,$D$7:$P$336,$R272,FALSE)</f>
        <v>90</v>
      </c>
      <c r="AD272" s="60">
        <f ca="1">100+HLOOKUP(AD$4,$D$7:$P$336,$R272,FALSE)-HLOOKUP(AD$3,$D$7:$P$336,$R272,FALSE)</f>
        <v>90</v>
      </c>
      <c r="AE272" s="60">
        <f ca="1">100+HLOOKUP(AE$4,$D$7:$P$336,$R272,FALSE)-HLOOKUP(AE$3,$D$7:$P$336,$R272,FALSE)</f>
        <v>90</v>
      </c>
      <c r="AF272" s="60">
        <f ca="1">100+HLOOKUP(AF$4,$D$7:$P$336,$R272,FALSE)-HLOOKUP(AF$3,$D$7:$P$336,$R272,FALSE)</f>
        <v>90</v>
      </c>
      <c r="AG272" s="60">
        <f ca="1">100+HLOOKUP(AG$4,$D$7:$P$336,$R272,FALSE)-HLOOKUP(AG$3,$D$7:$P$336,$R272,FALSE)</f>
        <v>114</v>
      </c>
      <c r="AH272" s="60" t="e">
        <f>100+HLOOKUP(AH$4,$D$7:$P$336,$R272,FALSE)-HLOOKUP(AH$3,$D$7:$P$336,$R272,FALSE)</f>
        <v>#N/A</v>
      </c>
      <c r="AI272" s="60" t="e">
        <f>100+HLOOKUP(AI$4,$D$7:$P$336,$R272,FALSE)-HLOOKUP(AI$3,$D$7:$P$336,$R272,FALSE)</f>
        <v>#N/A</v>
      </c>
      <c r="AJ272" s="60" t="e">
        <f>100+HLOOKUP(AJ$4,$D$7:$P$336,$R272,FALSE)-HLOOKUP(AJ$3,$D$7:$P$336,$R272,FALSE)</f>
        <v>#N/A</v>
      </c>
      <c r="AK272" s="60" t="e">
        <f>100+HLOOKUP(AK$4,$D$7:$P$336,$R272,FALSE)-HLOOKUP(AK$3,$D$7:$P$336,$R272,FALSE)</f>
        <v>#N/A</v>
      </c>
      <c r="AL272" s="60" t="e">
        <f>100+HLOOKUP(AL$4,$D$7:$P$336,$R272,FALSE)-HLOOKUP(AL$3,$D$7:$P$336,$R272,FALSE)</f>
        <v>#N/A</v>
      </c>
      <c r="AM272" s="60" t="e">
        <f>100+HLOOKUP(AM$4,$D$7:$P$336,$R272,FALSE)-HLOOKUP(AM$3,$D$7:$P$336,$R272,FALSE)</f>
        <v>#N/A</v>
      </c>
      <c r="AN272" s="60" t="e">
        <f>100+HLOOKUP(AN$4,$D$7:$P$336,$R272,FALSE)-HLOOKUP(AN$3,$D$7:$P$336,$R272,FALSE)</f>
        <v>#N/A</v>
      </c>
      <c r="AO272" s="60" t="e">
        <f>100+HLOOKUP(AO$4,$D$7:$P$336,$R272,FALSE)-HLOOKUP(AO$3,$D$7:$P$336,$R272,FALSE)</f>
        <v>#N/A</v>
      </c>
      <c r="AP272" s="60" t="e">
        <f>100+HLOOKUP(AP$4,$D$7:$P$336,$R272,FALSE)-HLOOKUP(AP$3,$D$7:$P$336,$R272,FALSE)</f>
        <v>#N/A</v>
      </c>
      <c r="AQ272" s="60" t="e">
        <f>100+HLOOKUP(AQ$4,$D$7:$P$336,$R272,FALSE)-HLOOKUP(AQ$3,$D$7:$P$336,$R272,FALSE)</f>
        <v>#N/A</v>
      </c>
      <c r="AV272" s="60">
        <f ca="1">AV$5-S272</f>
        <v>-10.809600573203568</v>
      </c>
      <c r="AW272" s="60">
        <f ca="1">AW$5-T272</f>
        <v>-19.779349470242252</v>
      </c>
      <c r="AX272" s="60">
        <f ca="1">AX$5-U272</f>
        <v>-12.224084596331949</v>
      </c>
      <c r="AY272" s="60">
        <f ca="1">AY$5-V272</f>
        <v>-20.396985598472199</v>
      </c>
      <c r="AZ272" s="60">
        <f ca="1">AZ$5-W272</f>
        <v>-16.54551782740397</v>
      </c>
      <c r="BA272" s="60">
        <f ca="1">BA$5-X272</f>
        <v>-15.534940941017297</v>
      </c>
      <c r="BB272" s="60">
        <f ca="1">BB$5-Y272</f>
        <v>-20.649407272618873</v>
      </c>
      <c r="BC272" s="60">
        <f ca="1">BC$5-Z272</f>
        <v>-6.5625340901178362</v>
      </c>
      <c r="BD272" s="60">
        <f ca="1">BD$5-AA272</f>
        <v>-16.063481335617638</v>
      </c>
      <c r="BE272" s="60">
        <f ca="1">BE$5-AB272</f>
        <v>-22.170609408007806</v>
      </c>
      <c r="BF272" s="60">
        <f ca="1">BF$5-AC272</f>
        <v>11.01730431647708</v>
      </c>
      <c r="BG272" s="60">
        <f ca="1">BG$5-AD272</f>
        <v>13.985258705018509</v>
      </c>
      <c r="BH272" s="60">
        <f ca="1">BH$5-AE272</f>
        <v>8.9545922303675667</v>
      </c>
      <c r="BI272" s="60">
        <f ca="1">BI$5-AF272</f>
        <v>0.60850551125480479</v>
      </c>
      <c r="BJ272" s="60">
        <f ca="1">BJ$5-AG272</f>
        <v>-22.56044894232123</v>
      </c>
      <c r="BK272" s="60" t="e">
        <f>BK$5-AH272</f>
        <v>#N/A</v>
      </c>
      <c r="BL272" s="60" t="e">
        <f>BL$5-AI272</f>
        <v>#N/A</v>
      </c>
      <c r="BM272" s="60" t="e">
        <f>BM$5-AJ272</f>
        <v>#N/A</v>
      </c>
      <c r="BN272" s="60" t="e">
        <f>BN$5-AK272</f>
        <v>#N/A</v>
      </c>
      <c r="BO272" s="60" t="e">
        <f>BO$5-AL272</f>
        <v>#N/A</v>
      </c>
      <c r="BP272" s="60" t="e">
        <f>BP$5-AM272</f>
        <v>#N/A</v>
      </c>
      <c r="BQ272" s="60" t="e">
        <f>BQ$5-AN272</f>
        <v>#N/A</v>
      </c>
      <c r="BR272" s="60" t="e">
        <f>BR$5-AO272</f>
        <v>#N/A</v>
      </c>
      <c r="BS272" s="60" t="e">
        <f>BS$5-AP272</f>
        <v>#N/A</v>
      </c>
      <c r="BT272" s="60" t="e">
        <f>BT$5-AQ272</f>
        <v>#N/A</v>
      </c>
      <c r="BV272" s="60" cm="1">
        <f t="array" aca="1" ref="BV272" ca="1">SQRT(SUMSQ(_xlfn._xlws.FILTER(AV272:BT272,ISNUMBER(AV272:BT272)))/COUNT(_xlfn._xlws.FILTER(AV272:BT272,ISNUMBER(AV272:BT272))))</f>
        <v>15.735644224481417</v>
      </c>
    </row>
    <row r="273" spans="3:74" x14ac:dyDescent="0.2">
      <c r="C273" s="60" t="s">
        <v>364</v>
      </c>
      <c r="D273" s="60">
        <v>0</v>
      </c>
      <c r="E273" s="60">
        <v>-3</v>
      </c>
      <c r="F273" s="60">
        <v>-7</v>
      </c>
      <c r="G273" s="60">
        <v>-10</v>
      </c>
      <c r="H273" s="60">
        <v>-14</v>
      </c>
      <c r="I273" s="60">
        <v>-17</v>
      </c>
      <c r="J273" s="60">
        <v>-20</v>
      </c>
      <c r="K273" s="60">
        <v>-24</v>
      </c>
      <c r="L273" s="60">
        <v>-27</v>
      </c>
      <c r="M273" s="60">
        <v>-19</v>
      </c>
      <c r="N273" s="60">
        <v>-12</v>
      </c>
      <c r="O273" s="60">
        <v>-6</v>
      </c>
      <c r="P273" s="60">
        <v>0</v>
      </c>
      <c r="R273" s="61">
        <f>(ROW(R273)-ROW($C$6))</f>
        <v>267</v>
      </c>
      <c r="S273" s="60">
        <f ca="1">100+HLOOKUP(S$4,$D$7:$P$336,$R273,FALSE)-HLOOKUP(S$3,$D$7:$P$336,$R273,FALSE)</f>
        <v>105</v>
      </c>
      <c r="T273" s="60">
        <f ca="1">100+HLOOKUP(T$4,$D$7:$P$336,$R273,FALSE)-HLOOKUP(T$3,$D$7:$P$336,$R273,FALSE)</f>
        <v>86</v>
      </c>
      <c r="U273" s="60">
        <f ca="1">100+HLOOKUP(U$4,$D$7:$P$336,$R273,FALSE)-HLOOKUP(U$3,$D$7:$P$336,$R273,FALSE)</f>
        <v>76</v>
      </c>
      <c r="V273" s="60">
        <f ca="1">100+HLOOKUP(V$4,$D$7:$P$336,$R273,FALSE)-HLOOKUP(V$3,$D$7:$P$336,$R273,FALSE)</f>
        <v>95</v>
      </c>
      <c r="W273" s="60">
        <f ca="1">100+HLOOKUP(W$4,$D$7:$P$336,$R273,FALSE)-HLOOKUP(W$3,$D$7:$P$336,$R273,FALSE)</f>
        <v>76</v>
      </c>
      <c r="X273" s="60">
        <f ca="1">100+HLOOKUP(X$4,$D$7:$P$336,$R273,FALSE)-HLOOKUP(X$3,$D$7:$P$336,$R273,FALSE)</f>
        <v>105</v>
      </c>
      <c r="Y273" s="60">
        <f ca="1">100+HLOOKUP(Y$4,$D$7:$P$336,$R273,FALSE)-HLOOKUP(Y$3,$D$7:$P$336,$R273,FALSE)</f>
        <v>86</v>
      </c>
      <c r="Z273" s="60">
        <f ca="1">100+HLOOKUP(Z$4,$D$7:$P$336,$R273,FALSE)-HLOOKUP(Z$3,$D$7:$P$336,$R273,FALSE)</f>
        <v>76</v>
      </c>
      <c r="AA273" s="60">
        <f ca="1">100+HLOOKUP(AA$4,$D$7:$P$336,$R273,FALSE)-HLOOKUP(AA$3,$D$7:$P$336,$R273,FALSE)</f>
        <v>95</v>
      </c>
      <c r="AB273" s="60">
        <f ca="1">100+HLOOKUP(AB$4,$D$7:$P$336,$R273,FALSE)-HLOOKUP(AB$3,$D$7:$P$336,$R273,FALSE)</f>
        <v>76</v>
      </c>
      <c r="AC273" s="60">
        <f ca="1">100+HLOOKUP(AC$4,$D$7:$P$336,$R273,FALSE)-HLOOKUP(AC$3,$D$7:$P$336,$R273,FALSE)</f>
        <v>88</v>
      </c>
      <c r="AD273" s="60">
        <f ca="1">100+HLOOKUP(AD$4,$D$7:$P$336,$R273,FALSE)-HLOOKUP(AD$3,$D$7:$P$336,$R273,FALSE)</f>
        <v>108</v>
      </c>
      <c r="AE273" s="60">
        <f ca="1">100+HLOOKUP(AE$4,$D$7:$P$336,$R273,FALSE)-HLOOKUP(AE$3,$D$7:$P$336,$R273,FALSE)</f>
        <v>117</v>
      </c>
      <c r="AF273" s="60">
        <f ca="1">100+HLOOKUP(AF$4,$D$7:$P$336,$R273,FALSE)-HLOOKUP(AF$3,$D$7:$P$336,$R273,FALSE)</f>
        <v>117</v>
      </c>
      <c r="AG273" s="60">
        <f ca="1">100+HLOOKUP(AG$4,$D$7:$P$336,$R273,FALSE)-HLOOKUP(AG$3,$D$7:$P$336,$R273,FALSE)</f>
        <v>95</v>
      </c>
      <c r="AH273" s="60" t="e">
        <f>100+HLOOKUP(AH$4,$D$7:$P$336,$R273,FALSE)-HLOOKUP(AH$3,$D$7:$P$336,$R273,FALSE)</f>
        <v>#N/A</v>
      </c>
      <c r="AI273" s="60" t="e">
        <f>100+HLOOKUP(AI$4,$D$7:$P$336,$R273,FALSE)-HLOOKUP(AI$3,$D$7:$P$336,$R273,FALSE)</f>
        <v>#N/A</v>
      </c>
      <c r="AJ273" s="60" t="e">
        <f>100+HLOOKUP(AJ$4,$D$7:$P$336,$R273,FALSE)-HLOOKUP(AJ$3,$D$7:$P$336,$R273,FALSE)</f>
        <v>#N/A</v>
      </c>
      <c r="AK273" s="60" t="e">
        <f>100+HLOOKUP(AK$4,$D$7:$P$336,$R273,FALSE)-HLOOKUP(AK$3,$D$7:$P$336,$R273,FALSE)</f>
        <v>#N/A</v>
      </c>
      <c r="AL273" s="60" t="e">
        <f>100+HLOOKUP(AL$4,$D$7:$P$336,$R273,FALSE)-HLOOKUP(AL$3,$D$7:$P$336,$R273,FALSE)</f>
        <v>#N/A</v>
      </c>
      <c r="AM273" s="60" t="e">
        <f>100+HLOOKUP(AM$4,$D$7:$P$336,$R273,FALSE)-HLOOKUP(AM$3,$D$7:$P$336,$R273,FALSE)</f>
        <v>#N/A</v>
      </c>
      <c r="AN273" s="60" t="e">
        <f>100+HLOOKUP(AN$4,$D$7:$P$336,$R273,FALSE)-HLOOKUP(AN$3,$D$7:$P$336,$R273,FALSE)</f>
        <v>#N/A</v>
      </c>
      <c r="AO273" s="60" t="e">
        <f>100+HLOOKUP(AO$4,$D$7:$P$336,$R273,FALSE)-HLOOKUP(AO$3,$D$7:$P$336,$R273,FALSE)</f>
        <v>#N/A</v>
      </c>
      <c r="AP273" s="60" t="e">
        <f>100+HLOOKUP(AP$4,$D$7:$P$336,$R273,FALSE)-HLOOKUP(AP$3,$D$7:$P$336,$R273,FALSE)</f>
        <v>#N/A</v>
      </c>
      <c r="AQ273" s="60" t="e">
        <f>100+HLOOKUP(AQ$4,$D$7:$P$336,$R273,FALSE)-HLOOKUP(AQ$3,$D$7:$P$336,$R273,FALSE)</f>
        <v>#N/A</v>
      </c>
      <c r="AV273" s="60">
        <f ca="1">AV$5-S273</f>
        <v>-1.8096005732035678</v>
      </c>
      <c r="AW273" s="60">
        <f ca="1">AW$5-T273</f>
        <v>8.2206505297577479</v>
      </c>
      <c r="AX273" s="60">
        <f ca="1">AX$5-U273</f>
        <v>25.775915403668051</v>
      </c>
      <c r="AY273" s="60">
        <f ca="1">AY$5-V273</f>
        <v>-1.3969855984721988</v>
      </c>
      <c r="AZ273" s="60">
        <f ca="1">AZ$5-W273</f>
        <v>21.45448217259603</v>
      </c>
      <c r="BA273" s="60">
        <f ca="1">BA$5-X273</f>
        <v>-6.5349409410172967</v>
      </c>
      <c r="BB273" s="60">
        <f ca="1">BB$5-Y273</f>
        <v>7.3505927273811267</v>
      </c>
      <c r="BC273" s="60">
        <f ca="1">BC$5-Z273</f>
        <v>31.437465909882164</v>
      </c>
      <c r="BD273" s="60">
        <f ca="1">BD$5-AA273</f>
        <v>2.936518664382362</v>
      </c>
      <c r="BE273" s="60">
        <f ca="1">BE$5-AB273</f>
        <v>15.829390591992194</v>
      </c>
      <c r="BF273" s="60">
        <f ca="1">BF$5-AC273</f>
        <v>13.01730431647708</v>
      </c>
      <c r="BG273" s="60">
        <f ca="1">BG$5-AD273</f>
        <v>-4.0147412949814907</v>
      </c>
      <c r="BH273" s="60">
        <f ca="1">BH$5-AE273</f>
        <v>-18.045407769632433</v>
      </c>
      <c r="BI273" s="60">
        <f ca="1">BI$5-AF273</f>
        <v>-26.391494488745195</v>
      </c>
      <c r="BJ273" s="60">
        <f ca="1">BJ$5-AG273</f>
        <v>-3.56044894232123</v>
      </c>
      <c r="BK273" s="60" t="e">
        <f>BK$5-AH273</f>
        <v>#N/A</v>
      </c>
      <c r="BL273" s="60" t="e">
        <f>BL$5-AI273</f>
        <v>#N/A</v>
      </c>
      <c r="BM273" s="60" t="e">
        <f>BM$5-AJ273</f>
        <v>#N/A</v>
      </c>
      <c r="BN273" s="60" t="e">
        <f>BN$5-AK273</f>
        <v>#N/A</v>
      </c>
      <c r="BO273" s="60" t="e">
        <f>BO$5-AL273</f>
        <v>#N/A</v>
      </c>
      <c r="BP273" s="60" t="e">
        <f>BP$5-AM273</f>
        <v>#N/A</v>
      </c>
      <c r="BQ273" s="60" t="e">
        <f>BQ$5-AN273</f>
        <v>#N/A</v>
      </c>
      <c r="BR273" s="60" t="e">
        <f>BR$5-AO273</f>
        <v>#N/A</v>
      </c>
      <c r="BS273" s="60" t="e">
        <f>BS$5-AP273</f>
        <v>#N/A</v>
      </c>
      <c r="BT273" s="60" t="e">
        <f>BT$5-AQ273</f>
        <v>#N/A</v>
      </c>
      <c r="BV273" s="60" cm="1">
        <f t="array" aca="1" ref="BV273" ca="1">SQRT(SUMSQ(_xlfn._xlws.FILTER(AV273:BT273,ISNUMBER(AV273:BT273)))/COUNT(_xlfn._xlws.FILTER(AV273:BT273,ISNUMBER(AV273:BT273))))</f>
        <v>15.83694940112766</v>
      </c>
    </row>
    <row r="274" spans="3:74" x14ac:dyDescent="0.2">
      <c r="C274" s="60" t="s">
        <v>193</v>
      </c>
      <c r="D274" s="60">
        <v>0</v>
      </c>
      <c r="E274" s="60">
        <v>2</v>
      </c>
      <c r="F274" s="60">
        <v>-1</v>
      </c>
      <c r="G274" s="60">
        <v>-4</v>
      </c>
      <c r="H274" s="60">
        <v>-13</v>
      </c>
      <c r="I274" s="60">
        <v>-14</v>
      </c>
      <c r="J274" s="60">
        <v>-17</v>
      </c>
      <c r="K274" s="60">
        <v>-15</v>
      </c>
      <c r="L274" s="60">
        <v>-19</v>
      </c>
      <c r="M274" s="60">
        <v>6</v>
      </c>
      <c r="N274" s="60">
        <v>-6</v>
      </c>
      <c r="O274" s="60">
        <v>1</v>
      </c>
      <c r="P274" s="60">
        <v>0</v>
      </c>
      <c r="R274" s="61">
        <f>(ROW(R274)-ROW($C$6))</f>
        <v>268</v>
      </c>
      <c r="S274" s="60">
        <f ca="1">100+HLOOKUP(S$4,$D$7:$P$336,$R274,FALSE)-HLOOKUP(S$3,$D$7:$P$336,$R274,FALSE)</f>
        <v>81</v>
      </c>
      <c r="T274" s="60">
        <f ca="1">100+HLOOKUP(T$4,$D$7:$P$336,$R274,FALSE)-HLOOKUP(T$3,$D$7:$P$336,$R274,FALSE)</f>
        <v>82</v>
      </c>
      <c r="U274" s="60">
        <f ca="1">100+HLOOKUP(U$4,$D$7:$P$336,$R274,FALSE)-HLOOKUP(U$3,$D$7:$P$336,$R274,FALSE)</f>
        <v>79</v>
      </c>
      <c r="V274" s="60">
        <f ca="1">100+HLOOKUP(V$4,$D$7:$P$336,$R274,FALSE)-HLOOKUP(V$3,$D$7:$P$336,$R274,FALSE)</f>
        <v>92</v>
      </c>
      <c r="W274" s="60">
        <f ca="1">100+HLOOKUP(W$4,$D$7:$P$336,$R274,FALSE)-HLOOKUP(W$3,$D$7:$P$336,$R274,FALSE)</f>
        <v>85</v>
      </c>
      <c r="X274" s="60">
        <f ca="1">100+HLOOKUP(X$4,$D$7:$P$336,$R274,FALSE)-HLOOKUP(X$3,$D$7:$P$336,$R274,FALSE)</f>
        <v>81</v>
      </c>
      <c r="Y274" s="60">
        <f ca="1">100+HLOOKUP(Y$4,$D$7:$P$336,$R274,FALSE)-HLOOKUP(Y$3,$D$7:$P$336,$R274,FALSE)</f>
        <v>82</v>
      </c>
      <c r="Z274" s="60">
        <f ca="1">100+HLOOKUP(Z$4,$D$7:$P$336,$R274,FALSE)-HLOOKUP(Z$3,$D$7:$P$336,$R274,FALSE)</f>
        <v>79</v>
      </c>
      <c r="AA274" s="60">
        <f ca="1">100+HLOOKUP(AA$4,$D$7:$P$336,$R274,FALSE)-HLOOKUP(AA$3,$D$7:$P$336,$R274,FALSE)</f>
        <v>92</v>
      </c>
      <c r="AB274" s="60">
        <f ca="1">100+HLOOKUP(AB$4,$D$7:$P$336,$R274,FALSE)-HLOOKUP(AB$3,$D$7:$P$336,$R274,FALSE)</f>
        <v>85</v>
      </c>
      <c r="AC274" s="60">
        <f ca="1">100+HLOOKUP(AC$4,$D$7:$P$336,$R274,FALSE)-HLOOKUP(AC$3,$D$7:$P$336,$R274,FALSE)</f>
        <v>107</v>
      </c>
      <c r="AD274" s="60">
        <f ca="1">100+HLOOKUP(AD$4,$D$7:$P$336,$R274,FALSE)-HLOOKUP(AD$3,$D$7:$P$336,$R274,FALSE)</f>
        <v>114</v>
      </c>
      <c r="AE274" s="60">
        <f ca="1">100+HLOOKUP(AE$4,$D$7:$P$336,$R274,FALSE)-HLOOKUP(AE$3,$D$7:$P$336,$R274,FALSE)</f>
        <v>119</v>
      </c>
      <c r="AF274" s="60">
        <f ca="1">100+HLOOKUP(AF$4,$D$7:$P$336,$R274,FALSE)-HLOOKUP(AF$3,$D$7:$P$336,$R274,FALSE)</f>
        <v>115</v>
      </c>
      <c r="AG274" s="60">
        <f ca="1">100+HLOOKUP(AG$4,$D$7:$P$336,$R274,FALSE)-HLOOKUP(AG$3,$D$7:$P$336,$R274,FALSE)</f>
        <v>92</v>
      </c>
      <c r="AH274" s="60" t="e">
        <f>100+HLOOKUP(AH$4,$D$7:$P$336,$R274,FALSE)-HLOOKUP(AH$3,$D$7:$P$336,$R274,FALSE)</f>
        <v>#N/A</v>
      </c>
      <c r="AI274" s="60" t="e">
        <f>100+HLOOKUP(AI$4,$D$7:$P$336,$R274,FALSE)-HLOOKUP(AI$3,$D$7:$P$336,$R274,FALSE)</f>
        <v>#N/A</v>
      </c>
      <c r="AJ274" s="60" t="e">
        <f>100+HLOOKUP(AJ$4,$D$7:$P$336,$R274,FALSE)-HLOOKUP(AJ$3,$D$7:$P$336,$R274,FALSE)</f>
        <v>#N/A</v>
      </c>
      <c r="AK274" s="60" t="e">
        <f>100+HLOOKUP(AK$4,$D$7:$P$336,$R274,FALSE)-HLOOKUP(AK$3,$D$7:$P$336,$R274,FALSE)</f>
        <v>#N/A</v>
      </c>
      <c r="AL274" s="60" t="e">
        <f>100+HLOOKUP(AL$4,$D$7:$P$336,$R274,FALSE)-HLOOKUP(AL$3,$D$7:$P$336,$R274,FALSE)</f>
        <v>#N/A</v>
      </c>
      <c r="AM274" s="60" t="e">
        <f>100+HLOOKUP(AM$4,$D$7:$P$336,$R274,FALSE)-HLOOKUP(AM$3,$D$7:$P$336,$R274,FALSE)</f>
        <v>#N/A</v>
      </c>
      <c r="AN274" s="60" t="e">
        <f>100+HLOOKUP(AN$4,$D$7:$P$336,$R274,FALSE)-HLOOKUP(AN$3,$D$7:$P$336,$R274,FALSE)</f>
        <v>#N/A</v>
      </c>
      <c r="AO274" s="60" t="e">
        <f>100+HLOOKUP(AO$4,$D$7:$P$336,$R274,FALSE)-HLOOKUP(AO$3,$D$7:$P$336,$R274,FALSE)</f>
        <v>#N/A</v>
      </c>
      <c r="AP274" s="60" t="e">
        <f>100+HLOOKUP(AP$4,$D$7:$P$336,$R274,FALSE)-HLOOKUP(AP$3,$D$7:$P$336,$R274,FALSE)</f>
        <v>#N/A</v>
      </c>
      <c r="AQ274" s="60" t="e">
        <f>100+HLOOKUP(AQ$4,$D$7:$P$336,$R274,FALSE)-HLOOKUP(AQ$3,$D$7:$P$336,$R274,FALSE)</f>
        <v>#N/A</v>
      </c>
      <c r="AV274" s="60">
        <f ca="1">AV$5-S274</f>
        <v>22.190399426796432</v>
      </c>
      <c r="AW274" s="60">
        <f ca="1">AW$5-T274</f>
        <v>12.220650529757748</v>
      </c>
      <c r="AX274" s="60">
        <f ca="1">AX$5-U274</f>
        <v>22.775915403668051</v>
      </c>
      <c r="AY274" s="60">
        <f ca="1">AY$5-V274</f>
        <v>1.6030144015278012</v>
      </c>
      <c r="AZ274" s="60">
        <f ca="1">AZ$5-W274</f>
        <v>12.45448217259603</v>
      </c>
      <c r="BA274" s="60">
        <f ca="1">BA$5-X274</f>
        <v>17.465059058982703</v>
      </c>
      <c r="BB274" s="60">
        <f ca="1">BB$5-Y274</f>
        <v>11.350592727381127</v>
      </c>
      <c r="BC274" s="60">
        <f ca="1">BC$5-Z274</f>
        <v>28.437465909882164</v>
      </c>
      <c r="BD274" s="60">
        <f ca="1">BD$5-AA274</f>
        <v>5.936518664382362</v>
      </c>
      <c r="BE274" s="60">
        <f ca="1">BE$5-AB274</f>
        <v>6.829390591992194</v>
      </c>
      <c r="BF274" s="60">
        <f ca="1">BF$5-AC274</f>
        <v>-5.9826956835229197</v>
      </c>
      <c r="BG274" s="60">
        <f ca="1">BG$5-AD274</f>
        <v>-10.014741294981491</v>
      </c>
      <c r="BH274" s="60">
        <f ca="1">BH$5-AE274</f>
        <v>-20.045407769632433</v>
      </c>
      <c r="BI274" s="60">
        <f ca="1">BI$5-AF274</f>
        <v>-24.391494488745195</v>
      </c>
      <c r="BJ274" s="60">
        <f ca="1">BJ$5-AG274</f>
        <v>-0.56044894232122999</v>
      </c>
      <c r="BK274" s="60" t="e">
        <f>BK$5-AH274</f>
        <v>#N/A</v>
      </c>
      <c r="BL274" s="60" t="e">
        <f>BL$5-AI274</f>
        <v>#N/A</v>
      </c>
      <c r="BM274" s="60" t="e">
        <f>BM$5-AJ274</f>
        <v>#N/A</v>
      </c>
      <c r="BN274" s="60" t="e">
        <f>BN$5-AK274</f>
        <v>#N/A</v>
      </c>
      <c r="BO274" s="60" t="e">
        <f>BO$5-AL274</f>
        <v>#N/A</v>
      </c>
      <c r="BP274" s="60" t="e">
        <f>BP$5-AM274</f>
        <v>#N/A</v>
      </c>
      <c r="BQ274" s="60" t="e">
        <f>BQ$5-AN274</f>
        <v>#N/A</v>
      </c>
      <c r="BR274" s="60" t="e">
        <f>BR$5-AO274</f>
        <v>#N/A</v>
      </c>
      <c r="BS274" s="60" t="e">
        <f>BS$5-AP274</f>
        <v>#N/A</v>
      </c>
      <c r="BT274" s="60" t="e">
        <f>BT$5-AQ274</f>
        <v>#N/A</v>
      </c>
      <c r="BV274" s="60" cm="1">
        <f t="array" aca="1" ref="BV274" ca="1">SQRT(SUMSQ(_xlfn._xlws.FILTER(AV274:BT274,ISNUMBER(AV274:BT274)))/COUNT(_xlfn._xlws.FILTER(AV274:BT274,ISNUMBER(AV274:BT274))))</f>
        <v>15.865656704797985</v>
      </c>
    </row>
    <row r="275" spans="3:74" x14ac:dyDescent="0.2">
      <c r="C275" s="60" t="s">
        <v>314</v>
      </c>
      <c r="D275" s="60">
        <v>0</v>
      </c>
      <c r="E275" s="60">
        <v>-3</v>
      </c>
      <c r="F275" s="60">
        <v>-7</v>
      </c>
      <c r="G275" s="60">
        <v>-10</v>
      </c>
      <c r="H275" s="60">
        <v>-14</v>
      </c>
      <c r="I275" s="60">
        <v>-17</v>
      </c>
      <c r="J275" s="60">
        <v>-20</v>
      </c>
      <c r="K275" s="60">
        <v>-24</v>
      </c>
      <c r="L275" s="60">
        <v>-27</v>
      </c>
      <c r="M275" s="60">
        <v>-20</v>
      </c>
      <c r="N275" s="60">
        <v>-14</v>
      </c>
      <c r="O275" s="60">
        <v>-7</v>
      </c>
      <c r="P275" s="60">
        <v>0</v>
      </c>
      <c r="R275" s="61">
        <f>(ROW(R275)-ROW($C$6))</f>
        <v>269</v>
      </c>
      <c r="S275" s="60">
        <f ca="1">100+HLOOKUP(S$4,$D$7:$P$336,$R275,FALSE)-HLOOKUP(S$3,$D$7:$P$336,$R275,FALSE)</f>
        <v>106</v>
      </c>
      <c r="T275" s="60">
        <f ca="1">100+HLOOKUP(T$4,$D$7:$P$336,$R275,FALSE)-HLOOKUP(T$3,$D$7:$P$336,$R275,FALSE)</f>
        <v>87</v>
      </c>
      <c r="U275" s="60">
        <f ca="1">100+HLOOKUP(U$4,$D$7:$P$336,$R275,FALSE)-HLOOKUP(U$3,$D$7:$P$336,$R275,FALSE)</f>
        <v>76</v>
      </c>
      <c r="V275" s="60">
        <f ca="1">100+HLOOKUP(V$4,$D$7:$P$336,$R275,FALSE)-HLOOKUP(V$3,$D$7:$P$336,$R275,FALSE)</f>
        <v>97</v>
      </c>
      <c r="W275" s="60">
        <f ca="1">100+HLOOKUP(W$4,$D$7:$P$336,$R275,FALSE)-HLOOKUP(W$3,$D$7:$P$336,$R275,FALSE)</f>
        <v>76</v>
      </c>
      <c r="X275" s="60">
        <f ca="1">100+HLOOKUP(X$4,$D$7:$P$336,$R275,FALSE)-HLOOKUP(X$3,$D$7:$P$336,$R275,FALSE)</f>
        <v>106</v>
      </c>
      <c r="Y275" s="60">
        <f ca="1">100+HLOOKUP(Y$4,$D$7:$P$336,$R275,FALSE)-HLOOKUP(Y$3,$D$7:$P$336,$R275,FALSE)</f>
        <v>87</v>
      </c>
      <c r="Z275" s="60">
        <f ca="1">100+HLOOKUP(Z$4,$D$7:$P$336,$R275,FALSE)-HLOOKUP(Z$3,$D$7:$P$336,$R275,FALSE)</f>
        <v>76</v>
      </c>
      <c r="AA275" s="60">
        <f ca="1">100+HLOOKUP(AA$4,$D$7:$P$336,$R275,FALSE)-HLOOKUP(AA$3,$D$7:$P$336,$R275,FALSE)</f>
        <v>97</v>
      </c>
      <c r="AB275" s="60">
        <f ca="1">100+HLOOKUP(AB$4,$D$7:$P$336,$R275,FALSE)-HLOOKUP(AB$3,$D$7:$P$336,$R275,FALSE)</f>
        <v>76</v>
      </c>
      <c r="AC275" s="60">
        <f ca="1">100+HLOOKUP(AC$4,$D$7:$P$336,$R275,FALSE)-HLOOKUP(AC$3,$D$7:$P$336,$R275,FALSE)</f>
        <v>87</v>
      </c>
      <c r="AD275" s="60">
        <f ca="1">100+HLOOKUP(AD$4,$D$7:$P$336,$R275,FALSE)-HLOOKUP(AD$3,$D$7:$P$336,$R275,FALSE)</f>
        <v>107</v>
      </c>
      <c r="AE275" s="60">
        <f ca="1">100+HLOOKUP(AE$4,$D$7:$P$336,$R275,FALSE)-HLOOKUP(AE$3,$D$7:$P$336,$R275,FALSE)</f>
        <v>117</v>
      </c>
      <c r="AF275" s="60">
        <f ca="1">100+HLOOKUP(AF$4,$D$7:$P$336,$R275,FALSE)-HLOOKUP(AF$3,$D$7:$P$336,$R275,FALSE)</f>
        <v>117</v>
      </c>
      <c r="AG275" s="60">
        <f ca="1">100+HLOOKUP(AG$4,$D$7:$P$336,$R275,FALSE)-HLOOKUP(AG$3,$D$7:$P$336,$R275,FALSE)</f>
        <v>97</v>
      </c>
      <c r="AH275" s="60" t="e">
        <f>100+HLOOKUP(AH$4,$D$7:$P$336,$R275,FALSE)-HLOOKUP(AH$3,$D$7:$P$336,$R275,FALSE)</f>
        <v>#N/A</v>
      </c>
      <c r="AI275" s="60" t="e">
        <f>100+HLOOKUP(AI$4,$D$7:$P$336,$R275,FALSE)-HLOOKUP(AI$3,$D$7:$P$336,$R275,FALSE)</f>
        <v>#N/A</v>
      </c>
      <c r="AJ275" s="60" t="e">
        <f>100+HLOOKUP(AJ$4,$D$7:$P$336,$R275,FALSE)-HLOOKUP(AJ$3,$D$7:$P$336,$R275,FALSE)</f>
        <v>#N/A</v>
      </c>
      <c r="AK275" s="60" t="e">
        <f>100+HLOOKUP(AK$4,$D$7:$P$336,$R275,FALSE)-HLOOKUP(AK$3,$D$7:$P$336,$R275,FALSE)</f>
        <v>#N/A</v>
      </c>
      <c r="AL275" s="60" t="e">
        <f>100+HLOOKUP(AL$4,$D$7:$P$336,$R275,FALSE)-HLOOKUP(AL$3,$D$7:$P$336,$R275,FALSE)</f>
        <v>#N/A</v>
      </c>
      <c r="AM275" s="60" t="e">
        <f>100+HLOOKUP(AM$4,$D$7:$P$336,$R275,FALSE)-HLOOKUP(AM$3,$D$7:$P$336,$R275,FALSE)</f>
        <v>#N/A</v>
      </c>
      <c r="AN275" s="60" t="e">
        <f>100+HLOOKUP(AN$4,$D$7:$P$336,$R275,FALSE)-HLOOKUP(AN$3,$D$7:$P$336,$R275,FALSE)</f>
        <v>#N/A</v>
      </c>
      <c r="AO275" s="60" t="e">
        <f>100+HLOOKUP(AO$4,$D$7:$P$336,$R275,FALSE)-HLOOKUP(AO$3,$D$7:$P$336,$R275,FALSE)</f>
        <v>#N/A</v>
      </c>
      <c r="AP275" s="60" t="e">
        <f>100+HLOOKUP(AP$4,$D$7:$P$336,$R275,FALSE)-HLOOKUP(AP$3,$D$7:$P$336,$R275,FALSE)</f>
        <v>#N/A</v>
      </c>
      <c r="AQ275" s="60" t="e">
        <f>100+HLOOKUP(AQ$4,$D$7:$P$336,$R275,FALSE)-HLOOKUP(AQ$3,$D$7:$P$336,$R275,FALSE)</f>
        <v>#N/A</v>
      </c>
      <c r="AV275" s="60">
        <f ca="1">AV$5-S275</f>
        <v>-2.8096005732035678</v>
      </c>
      <c r="AW275" s="60">
        <f ca="1">AW$5-T275</f>
        <v>7.2206505297577479</v>
      </c>
      <c r="AX275" s="60">
        <f ca="1">AX$5-U275</f>
        <v>25.775915403668051</v>
      </c>
      <c r="AY275" s="60">
        <f ca="1">AY$5-V275</f>
        <v>-3.3969855984721988</v>
      </c>
      <c r="AZ275" s="60">
        <f ca="1">AZ$5-W275</f>
        <v>21.45448217259603</v>
      </c>
      <c r="BA275" s="60">
        <f ca="1">BA$5-X275</f>
        <v>-7.5349409410172967</v>
      </c>
      <c r="BB275" s="60">
        <f ca="1">BB$5-Y275</f>
        <v>6.3505927273811267</v>
      </c>
      <c r="BC275" s="60">
        <f ca="1">BC$5-Z275</f>
        <v>31.437465909882164</v>
      </c>
      <c r="BD275" s="60">
        <f ca="1">BD$5-AA275</f>
        <v>0.93651866438236198</v>
      </c>
      <c r="BE275" s="60">
        <f ca="1">BE$5-AB275</f>
        <v>15.829390591992194</v>
      </c>
      <c r="BF275" s="60">
        <f ca="1">BF$5-AC275</f>
        <v>14.01730431647708</v>
      </c>
      <c r="BG275" s="60">
        <f ca="1">BG$5-AD275</f>
        <v>-3.0147412949814907</v>
      </c>
      <c r="BH275" s="60">
        <f ca="1">BH$5-AE275</f>
        <v>-18.045407769632433</v>
      </c>
      <c r="BI275" s="60">
        <f ca="1">BI$5-AF275</f>
        <v>-26.391494488745195</v>
      </c>
      <c r="BJ275" s="60">
        <f ca="1">BJ$5-AG275</f>
        <v>-5.56044894232123</v>
      </c>
      <c r="BK275" s="60" t="e">
        <f>BK$5-AH275</f>
        <v>#N/A</v>
      </c>
      <c r="BL275" s="60" t="e">
        <f>BL$5-AI275</f>
        <v>#N/A</v>
      </c>
      <c r="BM275" s="60" t="e">
        <f>BM$5-AJ275</f>
        <v>#N/A</v>
      </c>
      <c r="BN275" s="60" t="e">
        <f>BN$5-AK275</f>
        <v>#N/A</v>
      </c>
      <c r="BO275" s="60" t="e">
        <f>BO$5-AL275</f>
        <v>#N/A</v>
      </c>
      <c r="BP275" s="60" t="e">
        <f>BP$5-AM275</f>
        <v>#N/A</v>
      </c>
      <c r="BQ275" s="60" t="e">
        <f>BQ$5-AN275</f>
        <v>#N/A</v>
      </c>
      <c r="BR275" s="60" t="e">
        <f>BR$5-AO275</f>
        <v>#N/A</v>
      </c>
      <c r="BS275" s="60" t="e">
        <f>BS$5-AP275</f>
        <v>#N/A</v>
      </c>
      <c r="BT275" s="60" t="e">
        <f>BT$5-AQ275</f>
        <v>#N/A</v>
      </c>
      <c r="BV275" s="60" cm="1">
        <f t="array" aca="1" ref="BV275" ca="1">SQRT(SUMSQ(_xlfn._xlws.FILTER(AV275:BT275,ISNUMBER(AV275:BT275)))/COUNT(_xlfn._xlws.FILTER(AV275:BT275,ISNUMBER(AV275:BT275))))</f>
        <v>15.899203084999714</v>
      </c>
    </row>
    <row r="276" spans="3:74" x14ac:dyDescent="0.2">
      <c r="C276" s="60" t="s">
        <v>184</v>
      </c>
      <c r="D276" s="60">
        <v>0</v>
      </c>
      <c r="E276" s="60">
        <v>6</v>
      </c>
      <c r="F276" s="60">
        <v>3</v>
      </c>
      <c r="G276" s="60">
        <v>-1</v>
      </c>
      <c r="H276" s="60">
        <v>-4</v>
      </c>
      <c r="I276" s="60">
        <v>-7</v>
      </c>
      <c r="J276" s="60">
        <v>-10</v>
      </c>
      <c r="K276" s="60">
        <v>-13</v>
      </c>
      <c r="L276" s="60">
        <v>-16</v>
      </c>
      <c r="M276" s="60">
        <v>-19</v>
      </c>
      <c r="N276" s="60">
        <v>-12</v>
      </c>
      <c r="O276" s="60">
        <v>-6</v>
      </c>
      <c r="P276" s="60">
        <v>0</v>
      </c>
      <c r="R276" s="61">
        <f>(ROW(R276)-ROW($C$6))</f>
        <v>270</v>
      </c>
      <c r="S276" s="60">
        <f ca="1">100+HLOOKUP(S$4,$D$7:$P$336,$R276,FALSE)-HLOOKUP(S$3,$D$7:$P$336,$R276,FALSE)</f>
        <v>115</v>
      </c>
      <c r="T276" s="60">
        <f ca="1">100+HLOOKUP(T$4,$D$7:$P$336,$R276,FALSE)-HLOOKUP(T$3,$D$7:$P$336,$R276,FALSE)</f>
        <v>96</v>
      </c>
      <c r="U276" s="60">
        <f ca="1">100+HLOOKUP(U$4,$D$7:$P$336,$R276,FALSE)-HLOOKUP(U$3,$D$7:$P$336,$R276,FALSE)</f>
        <v>78</v>
      </c>
      <c r="V276" s="60">
        <f ca="1">100+HLOOKUP(V$4,$D$7:$P$336,$R276,FALSE)-HLOOKUP(V$3,$D$7:$P$336,$R276,FALSE)</f>
        <v>105</v>
      </c>
      <c r="W276" s="60">
        <f ca="1">100+HLOOKUP(W$4,$D$7:$P$336,$R276,FALSE)-HLOOKUP(W$3,$D$7:$P$336,$R276,FALSE)</f>
        <v>87</v>
      </c>
      <c r="X276" s="60">
        <f ca="1">100+HLOOKUP(X$4,$D$7:$P$336,$R276,FALSE)-HLOOKUP(X$3,$D$7:$P$336,$R276,FALSE)</f>
        <v>115</v>
      </c>
      <c r="Y276" s="60">
        <f ca="1">100+HLOOKUP(Y$4,$D$7:$P$336,$R276,FALSE)-HLOOKUP(Y$3,$D$7:$P$336,$R276,FALSE)</f>
        <v>96</v>
      </c>
      <c r="Z276" s="60">
        <f ca="1">100+HLOOKUP(Z$4,$D$7:$P$336,$R276,FALSE)-HLOOKUP(Z$3,$D$7:$P$336,$R276,FALSE)</f>
        <v>78</v>
      </c>
      <c r="AA276" s="60">
        <f ca="1">100+HLOOKUP(AA$4,$D$7:$P$336,$R276,FALSE)-HLOOKUP(AA$3,$D$7:$P$336,$R276,FALSE)</f>
        <v>105</v>
      </c>
      <c r="AB276" s="60">
        <f ca="1">100+HLOOKUP(AB$4,$D$7:$P$336,$R276,FALSE)-HLOOKUP(AB$3,$D$7:$P$336,$R276,FALSE)</f>
        <v>87</v>
      </c>
      <c r="AC276" s="60">
        <f ca="1">100+HLOOKUP(AC$4,$D$7:$P$336,$R276,FALSE)-HLOOKUP(AC$3,$D$7:$P$336,$R276,FALSE)</f>
        <v>78</v>
      </c>
      <c r="AD276" s="60">
        <f ca="1">100+HLOOKUP(AD$4,$D$7:$P$336,$R276,FALSE)-HLOOKUP(AD$3,$D$7:$P$336,$R276,FALSE)</f>
        <v>98</v>
      </c>
      <c r="AE276" s="60">
        <f ca="1">100+HLOOKUP(AE$4,$D$7:$P$336,$R276,FALSE)-HLOOKUP(AE$3,$D$7:$P$336,$R276,FALSE)</f>
        <v>116</v>
      </c>
      <c r="AF276" s="60">
        <f ca="1">100+HLOOKUP(AF$4,$D$7:$P$336,$R276,FALSE)-HLOOKUP(AF$3,$D$7:$P$336,$R276,FALSE)</f>
        <v>115</v>
      </c>
      <c r="AG276" s="60">
        <f ca="1">100+HLOOKUP(AG$4,$D$7:$P$336,$R276,FALSE)-HLOOKUP(AG$3,$D$7:$P$336,$R276,FALSE)</f>
        <v>105</v>
      </c>
      <c r="AH276" s="60" t="e">
        <f>100+HLOOKUP(AH$4,$D$7:$P$336,$R276,FALSE)-HLOOKUP(AH$3,$D$7:$P$336,$R276,FALSE)</f>
        <v>#N/A</v>
      </c>
      <c r="AI276" s="60" t="e">
        <f>100+HLOOKUP(AI$4,$D$7:$P$336,$R276,FALSE)-HLOOKUP(AI$3,$D$7:$P$336,$R276,FALSE)</f>
        <v>#N/A</v>
      </c>
      <c r="AJ276" s="60" t="e">
        <f>100+HLOOKUP(AJ$4,$D$7:$P$336,$R276,FALSE)-HLOOKUP(AJ$3,$D$7:$P$336,$R276,FALSE)</f>
        <v>#N/A</v>
      </c>
      <c r="AK276" s="60" t="e">
        <f>100+HLOOKUP(AK$4,$D$7:$P$336,$R276,FALSE)-HLOOKUP(AK$3,$D$7:$P$336,$R276,FALSE)</f>
        <v>#N/A</v>
      </c>
      <c r="AL276" s="60" t="e">
        <f>100+HLOOKUP(AL$4,$D$7:$P$336,$R276,FALSE)-HLOOKUP(AL$3,$D$7:$P$336,$R276,FALSE)</f>
        <v>#N/A</v>
      </c>
      <c r="AM276" s="60" t="e">
        <f>100+HLOOKUP(AM$4,$D$7:$P$336,$R276,FALSE)-HLOOKUP(AM$3,$D$7:$P$336,$R276,FALSE)</f>
        <v>#N/A</v>
      </c>
      <c r="AN276" s="60" t="e">
        <f>100+HLOOKUP(AN$4,$D$7:$P$336,$R276,FALSE)-HLOOKUP(AN$3,$D$7:$P$336,$R276,FALSE)</f>
        <v>#N/A</v>
      </c>
      <c r="AO276" s="60" t="e">
        <f>100+HLOOKUP(AO$4,$D$7:$P$336,$R276,FALSE)-HLOOKUP(AO$3,$D$7:$P$336,$R276,FALSE)</f>
        <v>#N/A</v>
      </c>
      <c r="AP276" s="60" t="e">
        <f>100+HLOOKUP(AP$4,$D$7:$P$336,$R276,FALSE)-HLOOKUP(AP$3,$D$7:$P$336,$R276,FALSE)</f>
        <v>#N/A</v>
      </c>
      <c r="AQ276" s="60" t="e">
        <f>100+HLOOKUP(AQ$4,$D$7:$P$336,$R276,FALSE)-HLOOKUP(AQ$3,$D$7:$P$336,$R276,FALSE)</f>
        <v>#N/A</v>
      </c>
      <c r="AV276" s="60">
        <f ca="1">AV$5-S276</f>
        <v>-11.809600573203568</v>
      </c>
      <c r="AW276" s="60">
        <f ca="1">AW$5-T276</f>
        <v>-1.7793494702422521</v>
      </c>
      <c r="AX276" s="60">
        <f ca="1">AX$5-U276</f>
        <v>23.775915403668051</v>
      </c>
      <c r="AY276" s="60">
        <f ca="1">AY$5-V276</f>
        <v>-11.396985598472199</v>
      </c>
      <c r="AZ276" s="60">
        <f ca="1">AZ$5-W276</f>
        <v>10.45448217259603</v>
      </c>
      <c r="BA276" s="60">
        <f ca="1">BA$5-X276</f>
        <v>-16.534940941017297</v>
      </c>
      <c r="BB276" s="60">
        <f ca="1">BB$5-Y276</f>
        <v>-2.6494072726188733</v>
      </c>
      <c r="BC276" s="60">
        <f ca="1">BC$5-Z276</f>
        <v>29.437465909882164</v>
      </c>
      <c r="BD276" s="60">
        <f ca="1">BD$5-AA276</f>
        <v>-7.063481335617638</v>
      </c>
      <c r="BE276" s="60">
        <f ca="1">BE$5-AB276</f>
        <v>4.829390591992194</v>
      </c>
      <c r="BF276" s="60">
        <f ca="1">BF$5-AC276</f>
        <v>23.01730431647708</v>
      </c>
      <c r="BG276" s="60">
        <f ca="1">BG$5-AD276</f>
        <v>5.9852587050185093</v>
      </c>
      <c r="BH276" s="60">
        <f ca="1">BH$5-AE276</f>
        <v>-17.045407769632433</v>
      </c>
      <c r="BI276" s="60">
        <f ca="1">BI$5-AF276</f>
        <v>-24.391494488745195</v>
      </c>
      <c r="BJ276" s="60">
        <f ca="1">BJ$5-AG276</f>
        <v>-13.56044894232123</v>
      </c>
      <c r="BK276" s="60" t="e">
        <f>BK$5-AH276</f>
        <v>#N/A</v>
      </c>
      <c r="BL276" s="60" t="e">
        <f>BL$5-AI276</f>
        <v>#N/A</v>
      </c>
      <c r="BM276" s="60" t="e">
        <f>BM$5-AJ276</f>
        <v>#N/A</v>
      </c>
      <c r="BN276" s="60" t="e">
        <f>BN$5-AK276</f>
        <v>#N/A</v>
      </c>
      <c r="BO276" s="60" t="e">
        <f>BO$5-AL276</f>
        <v>#N/A</v>
      </c>
      <c r="BP276" s="60" t="e">
        <f>BP$5-AM276</f>
        <v>#N/A</v>
      </c>
      <c r="BQ276" s="60" t="e">
        <f>BQ$5-AN276</f>
        <v>#N/A</v>
      </c>
      <c r="BR276" s="60" t="e">
        <f>BR$5-AO276</f>
        <v>#N/A</v>
      </c>
      <c r="BS276" s="60" t="e">
        <f>BS$5-AP276</f>
        <v>#N/A</v>
      </c>
      <c r="BT276" s="60" t="e">
        <f>BT$5-AQ276</f>
        <v>#N/A</v>
      </c>
      <c r="BV276" s="60" cm="1">
        <f t="array" aca="1" ref="BV276" ca="1">SQRT(SUMSQ(_xlfn._xlws.FILTER(AV276:BT276,ISNUMBER(AV276:BT276)))/COUNT(_xlfn._xlws.FILTER(AV276:BT276,ISNUMBER(AV276:BT276))))</f>
        <v>15.921295002895866</v>
      </c>
    </row>
    <row r="277" spans="3:74" x14ac:dyDescent="0.2">
      <c r="C277" s="60" t="s">
        <v>223</v>
      </c>
      <c r="D277" s="60">
        <v>0</v>
      </c>
      <c r="E277" s="60">
        <v>-3</v>
      </c>
      <c r="F277" s="60">
        <v>-7</v>
      </c>
      <c r="G277" s="60">
        <v>-10</v>
      </c>
      <c r="H277" s="60">
        <v>-14</v>
      </c>
      <c r="I277" s="60">
        <v>-17</v>
      </c>
      <c r="J277" s="60">
        <v>-21</v>
      </c>
      <c r="K277" s="60">
        <v>-21</v>
      </c>
      <c r="L277" s="60">
        <v>-19</v>
      </c>
      <c r="M277" s="60">
        <v>-6</v>
      </c>
      <c r="N277" s="60">
        <v>4</v>
      </c>
      <c r="O277" s="60">
        <v>4</v>
      </c>
      <c r="P277" s="60">
        <v>0</v>
      </c>
      <c r="R277" s="61">
        <f>(ROW(R277)-ROW($C$6))</f>
        <v>271</v>
      </c>
      <c r="S277" s="60">
        <f ca="1">100+HLOOKUP(S$4,$D$7:$P$336,$R277,FALSE)-HLOOKUP(S$3,$D$7:$P$336,$R277,FALSE)</f>
        <v>92</v>
      </c>
      <c r="T277" s="60">
        <f ca="1">100+HLOOKUP(T$4,$D$7:$P$336,$R277,FALSE)-HLOOKUP(T$3,$D$7:$P$336,$R277,FALSE)</f>
        <v>75</v>
      </c>
      <c r="U277" s="60">
        <f ca="1">100+HLOOKUP(U$4,$D$7:$P$336,$R277,FALSE)-HLOOKUP(U$3,$D$7:$P$336,$R277,FALSE)</f>
        <v>84</v>
      </c>
      <c r="V277" s="60">
        <f ca="1">100+HLOOKUP(V$4,$D$7:$P$336,$R277,FALSE)-HLOOKUP(V$3,$D$7:$P$336,$R277,FALSE)</f>
        <v>79</v>
      </c>
      <c r="W277" s="60">
        <f ca="1">100+HLOOKUP(W$4,$D$7:$P$336,$R277,FALSE)-HLOOKUP(W$3,$D$7:$P$336,$R277,FALSE)</f>
        <v>79</v>
      </c>
      <c r="X277" s="60">
        <f ca="1">100+HLOOKUP(X$4,$D$7:$P$336,$R277,FALSE)-HLOOKUP(X$3,$D$7:$P$336,$R277,FALSE)</f>
        <v>92</v>
      </c>
      <c r="Y277" s="60">
        <f ca="1">100+HLOOKUP(Y$4,$D$7:$P$336,$R277,FALSE)-HLOOKUP(Y$3,$D$7:$P$336,$R277,FALSE)</f>
        <v>75</v>
      </c>
      <c r="Z277" s="60">
        <f ca="1">100+HLOOKUP(Z$4,$D$7:$P$336,$R277,FALSE)-HLOOKUP(Z$3,$D$7:$P$336,$R277,FALSE)</f>
        <v>84</v>
      </c>
      <c r="AA277" s="60">
        <f ca="1">100+HLOOKUP(AA$4,$D$7:$P$336,$R277,FALSE)-HLOOKUP(AA$3,$D$7:$P$336,$R277,FALSE)</f>
        <v>79</v>
      </c>
      <c r="AB277" s="60">
        <f ca="1">100+HLOOKUP(AB$4,$D$7:$P$336,$R277,FALSE)-HLOOKUP(AB$3,$D$7:$P$336,$R277,FALSE)</f>
        <v>79</v>
      </c>
      <c r="AC277" s="60">
        <f ca="1">100+HLOOKUP(AC$4,$D$7:$P$336,$R277,FALSE)-HLOOKUP(AC$3,$D$7:$P$336,$R277,FALSE)</f>
        <v>101</v>
      </c>
      <c r="AD277" s="60">
        <f ca="1">100+HLOOKUP(AD$4,$D$7:$P$336,$R277,FALSE)-HLOOKUP(AD$3,$D$7:$P$336,$R277,FALSE)</f>
        <v>118</v>
      </c>
      <c r="AE277" s="60">
        <f ca="1">100+HLOOKUP(AE$4,$D$7:$P$336,$R277,FALSE)-HLOOKUP(AE$3,$D$7:$P$336,$R277,FALSE)</f>
        <v>118</v>
      </c>
      <c r="AF277" s="60">
        <f ca="1">100+HLOOKUP(AF$4,$D$7:$P$336,$R277,FALSE)-HLOOKUP(AF$3,$D$7:$P$336,$R277,FALSE)</f>
        <v>109</v>
      </c>
      <c r="AG277" s="60">
        <f ca="1">100+HLOOKUP(AG$4,$D$7:$P$336,$R277,FALSE)-HLOOKUP(AG$3,$D$7:$P$336,$R277,FALSE)</f>
        <v>79</v>
      </c>
      <c r="AH277" s="60" t="e">
        <f>100+HLOOKUP(AH$4,$D$7:$P$336,$R277,FALSE)-HLOOKUP(AH$3,$D$7:$P$336,$R277,FALSE)</f>
        <v>#N/A</v>
      </c>
      <c r="AI277" s="60" t="e">
        <f>100+HLOOKUP(AI$4,$D$7:$P$336,$R277,FALSE)-HLOOKUP(AI$3,$D$7:$P$336,$R277,FALSE)</f>
        <v>#N/A</v>
      </c>
      <c r="AJ277" s="60" t="e">
        <f>100+HLOOKUP(AJ$4,$D$7:$P$336,$R277,FALSE)-HLOOKUP(AJ$3,$D$7:$P$336,$R277,FALSE)</f>
        <v>#N/A</v>
      </c>
      <c r="AK277" s="60" t="e">
        <f>100+HLOOKUP(AK$4,$D$7:$P$336,$R277,FALSE)-HLOOKUP(AK$3,$D$7:$P$336,$R277,FALSE)</f>
        <v>#N/A</v>
      </c>
      <c r="AL277" s="60" t="e">
        <f>100+HLOOKUP(AL$4,$D$7:$P$336,$R277,FALSE)-HLOOKUP(AL$3,$D$7:$P$336,$R277,FALSE)</f>
        <v>#N/A</v>
      </c>
      <c r="AM277" s="60" t="e">
        <f>100+HLOOKUP(AM$4,$D$7:$P$336,$R277,FALSE)-HLOOKUP(AM$3,$D$7:$P$336,$R277,FALSE)</f>
        <v>#N/A</v>
      </c>
      <c r="AN277" s="60" t="e">
        <f>100+HLOOKUP(AN$4,$D$7:$P$336,$R277,FALSE)-HLOOKUP(AN$3,$D$7:$P$336,$R277,FALSE)</f>
        <v>#N/A</v>
      </c>
      <c r="AO277" s="60" t="e">
        <f>100+HLOOKUP(AO$4,$D$7:$P$336,$R277,FALSE)-HLOOKUP(AO$3,$D$7:$P$336,$R277,FALSE)</f>
        <v>#N/A</v>
      </c>
      <c r="AP277" s="60" t="e">
        <f>100+HLOOKUP(AP$4,$D$7:$P$336,$R277,FALSE)-HLOOKUP(AP$3,$D$7:$P$336,$R277,FALSE)</f>
        <v>#N/A</v>
      </c>
      <c r="AQ277" s="60" t="e">
        <f>100+HLOOKUP(AQ$4,$D$7:$P$336,$R277,FALSE)-HLOOKUP(AQ$3,$D$7:$P$336,$R277,FALSE)</f>
        <v>#N/A</v>
      </c>
      <c r="AV277" s="60">
        <f ca="1">AV$5-S277</f>
        <v>11.190399426796432</v>
      </c>
      <c r="AW277" s="60">
        <f ca="1">AW$5-T277</f>
        <v>19.220650529757748</v>
      </c>
      <c r="AX277" s="60">
        <f ca="1">AX$5-U277</f>
        <v>17.775915403668051</v>
      </c>
      <c r="AY277" s="60">
        <f ca="1">AY$5-V277</f>
        <v>14.603014401527801</v>
      </c>
      <c r="AZ277" s="60">
        <f ca="1">AZ$5-W277</f>
        <v>18.45448217259603</v>
      </c>
      <c r="BA277" s="60">
        <f ca="1">BA$5-X277</f>
        <v>6.4650590589827033</v>
      </c>
      <c r="BB277" s="60">
        <f ca="1">BB$5-Y277</f>
        <v>18.350592727381127</v>
      </c>
      <c r="BC277" s="60">
        <f ca="1">BC$5-Z277</f>
        <v>23.437465909882164</v>
      </c>
      <c r="BD277" s="60">
        <f ca="1">BD$5-AA277</f>
        <v>18.936518664382362</v>
      </c>
      <c r="BE277" s="60">
        <f ca="1">BE$5-AB277</f>
        <v>12.829390591992194</v>
      </c>
      <c r="BF277" s="60">
        <f ca="1">BF$5-AC277</f>
        <v>1.7304316477080306E-2</v>
      </c>
      <c r="BG277" s="60">
        <f ca="1">BG$5-AD277</f>
        <v>-14.014741294981491</v>
      </c>
      <c r="BH277" s="60">
        <f ca="1">BH$5-AE277</f>
        <v>-19.045407769632433</v>
      </c>
      <c r="BI277" s="60">
        <f ca="1">BI$5-AF277</f>
        <v>-18.391494488745195</v>
      </c>
      <c r="BJ277" s="60">
        <f ca="1">BJ$5-AG277</f>
        <v>12.43955105767877</v>
      </c>
      <c r="BK277" s="60" t="e">
        <f>BK$5-AH277</f>
        <v>#N/A</v>
      </c>
      <c r="BL277" s="60" t="e">
        <f>BL$5-AI277</f>
        <v>#N/A</v>
      </c>
      <c r="BM277" s="60" t="e">
        <f>BM$5-AJ277</f>
        <v>#N/A</v>
      </c>
      <c r="BN277" s="60" t="e">
        <f>BN$5-AK277</f>
        <v>#N/A</v>
      </c>
      <c r="BO277" s="60" t="e">
        <f>BO$5-AL277</f>
        <v>#N/A</v>
      </c>
      <c r="BP277" s="60" t="e">
        <f>BP$5-AM277</f>
        <v>#N/A</v>
      </c>
      <c r="BQ277" s="60" t="e">
        <f>BQ$5-AN277</f>
        <v>#N/A</v>
      </c>
      <c r="BR277" s="60" t="e">
        <f>BR$5-AO277</f>
        <v>#N/A</v>
      </c>
      <c r="BS277" s="60" t="e">
        <f>BS$5-AP277</f>
        <v>#N/A</v>
      </c>
      <c r="BT277" s="60" t="e">
        <f>BT$5-AQ277</f>
        <v>#N/A</v>
      </c>
      <c r="BV277" s="60" cm="1">
        <f t="array" aca="1" ref="BV277" ca="1">SQRT(SUMSQ(_xlfn._xlws.FILTER(AV277:BT277,ISNUMBER(AV277:BT277)))/COUNT(_xlfn._xlws.FILTER(AV277:BT277,ISNUMBER(AV277:BT277))))</f>
        <v>16.057457123377414</v>
      </c>
    </row>
    <row r="278" spans="3:74" x14ac:dyDescent="0.2">
      <c r="C278" s="60" t="s">
        <v>312</v>
      </c>
      <c r="D278" s="60">
        <v>0</v>
      </c>
      <c r="E278" s="60">
        <v>-3</v>
      </c>
      <c r="F278" s="60">
        <v>-7</v>
      </c>
      <c r="G278" s="60">
        <v>-10</v>
      </c>
      <c r="H278" s="60">
        <v>-14</v>
      </c>
      <c r="I278" s="60">
        <v>-17</v>
      </c>
      <c r="J278" s="60">
        <v>-20</v>
      </c>
      <c r="K278" s="60">
        <v>-24</v>
      </c>
      <c r="L278" s="60">
        <v>-25</v>
      </c>
      <c r="M278" s="60">
        <v>-9</v>
      </c>
      <c r="N278" s="60">
        <v>-2</v>
      </c>
      <c r="O278" s="60">
        <v>0</v>
      </c>
      <c r="P278" s="60">
        <v>0</v>
      </c>
      <c r="R278" s="61">
        <f>(ROW(R278)-ROW($C$6))</f>
        <v>272</v>
      </c>
      <c r="S278" s="60">
        <f ca="1">100+HLOOKUP(S$4,$D$7:$P$336,$R278,FALSE)-HLOOKUP(S$3,$D$7:$P$336,$R278,FALSE)</f>
        <v>95</v>
      </c>
      <c r="T278" s="60">
        <f ca="1">100+HLOOKUP(T$4,$D$7:$P$336,$R278,FALSE)-HLOOKUP(T$3,$D$7:$P$336,$R278,FALSE)</f>
        <v>80</v>
      </c>
      <c r="U278" s="60">
        <f ca="1">100+HLOOKUP(U$4,$D$7:$P$336,$R278,FALSE)-HLOOKUP(U$3,$D$7:$P$336,$R278,FALSE)</f>
        <v>78</v>
      </c>
      <c r="V278" s="60">
        <f ca="1">100+HLOOKUP(V$4,$D$7:$P$336,$R278,FALSE)-HLOOKUP(V$3,$D$7:$P$336,$R278,FALSE)</f>
        <v>85</v>
      </c>
      <c r="W278" s="60">
        <f ca="1">100+HLOOKUP(W$4,$D$7:$P$336,$R278,FALSE)-HLOOKUP(W$3,$D$7:$P$336,$R278,FALSE)</f>
        <v>76</v>
      </c>
      <c r="X278" s="60">
        <f ca="1">100+HLOOKUP(X$4,$D$7:$P$336,$R278,FALSE)-HLOOKUP(X$3,$D$7:$P$336,$R278,FALSE)</f>
        <v>95</v>
      </c>
      <c r="Y278" s="60">
        <f ca="1">100+HLOOKUP(Y$4,$D$7:$P$336,$R278,FALSE)-HLOOKUP(Y$3,$D$7:$P$336,$R278,FALSE)</f>
        <v>80</v>
      </c>
      <c r="Z278" s="60">
        <f ca="1">100+HLOOKUP(Z$4,$D$7:$P$336,$R278,FALSE)-HLOOKUP(Z$3,$D$7:$P$336,$R278,FALSE)</f>
        <v>78</v>
      </c>
      <c r="AA278" s="60">
        <f ca="1">100+HLOOKUP(AA$4,$D$7:$P$336,$R278,FALSE)-HLOOKUP(AA$3,$D$7:$P$336,$R278,FALSE)</f>
        <v>85</v>
      </c>
      <c r="AB278" s="60">
        <f ca="1">100+HLOOKUP(AB$4,$D$7:$P$336,$R278,FALSE)-HLOOKUP(AB$3,$D$7:$P$336,$R278,FALSE)</f>
        <v>76</v>
      </c>
      <c r="AC278" s="60">
        <f ca="1">100+HLOOKUP(AC$4,$D$7:$P$336,$R278,FALSE)-HLOOKUP(AC$3,$D$7:$P$336,$R278,FALSE)</f>
        <v>98</v>
      </c>
      <c r="AD278" s="60">
        <f ca="1">100+HLOOKUP(AD$4,$D$7:$P$336,$R278,FALSE)-HLOOKUP(AD$3,$D$7:$P$336,$R278,FALSE)</f>
        <v>114</v>
      </c>
      <c r="AE278" s="60">
        <f ca="1">100+HLOOKUP(AE$4,$D$7:$P$336,$R278,FALSE)-HLOOKUP(AE$3,$D$7:$P$336,$R278,FALSE)</f>
        <v>117</v>
      </c>
      <c r="AF278" s="60">
        <f ca="1">100+HLOOKUP(AF$4,$D$7:$P$336,$R278,FALSE)-HLOOKUP(AF$3,$D$7:$P$336,$R278,FALSE)</f>
        <v>115</v>
      </c>
      <c r="AG278" s="60">
        <f ca="1">100+HLOOKUP(AG$4,$D$7:$P$336,$R278,FALSE)-HLOOKUP(AG$3,$D$7:$P$336,$R278,FALSE)</f>
        <v>85</v>
      </c>
      <c r="AH278" s="60" t="e">
        <f>100+HLOOKUP(AH$4,$D$7:$P$336,$R278,FALSE)-HLOOKUP(AH$3,$D$7:$P$336,$R278,FALSE)</f>
        <v>#N/A</v>
      </c>
      <c r="AI278" s="60" t="e">
        <f>100+HLOOKUP(AI$4,$D$7:$P$336,$R278,FALSE)-HLOOKUP(AI$3,$D$7:$P$336,$R278,FALSE)</f>
        <v>#N/A</v>
      </c>
      <c r="AJ278" s="60" t="e">
        <f>100+HLOOKUP(AJ$4,$D$7:$P$336,$R278,FALSE)-HLOOKUP(AJ$3,$D$7:$P$336,$R278,FALSE)</f>
        <v>#N/A</v>
      </c>
      <c r="AK278" s="60" t="e">
        <f>100+HLOOKUP(AK$4,$D$7:$P$336,$R278,FALSE)-HLOOKUP(AK$3,$D$7:$P$336,$R278,FALSE)</f>
        <v>#N/A</v>
      </c>
      <c r="AL278" s="60" t="e">
        <f>100+HLOOKUP(AL$4,$D$7:$P$336,$R278,FALSE)-HLOOKUP(AL$3,$D$7:$P$336,$R278,FALSE)</f>
        <v>#N/A</v>
      </c>
      <c r="AM278" s="60" t="e">
        <f>100+HLOOKUP(AM$4,$D$7:$P$336,$R278,FALSE)-HLOOKUP(AM$3,$D$7:$P$336,$R278,FALSE)</f>
        <v>#N/A</v>
      </c>
      <c r="AN278" s="60" t="e">
        <f>100+HLOOKUP(AN$4,$D$7:$P$336,$R278,FALSE)-HLOOKUP(AN$3,$D$7:$P$336,$R278,FALSE)</f>
        <v>#N/A</v>
      </c>
      <c r="AO278" s="60" t="e">
        <f>100+HLOOKUP(AO$4,$D$7:$P$336,$R278,FALSE)-HLOOKUP(AO$3,$D$7:$P$336,$R278,FALSE)</f>
        <v>#N/A</v>
      </c>
      <c r="AP278" s="60" t="e">
        <f>100+HLOOKUP(AP$4,$D$7:$P$336,$R278,FALSE)-HLOOKUP(AP$3,$D$7:$P$336,$R278,FALSE)</f>
        <v>#N/A</v>
      </c>
      <c r="AQ278" s="60" t="e">
        <f>100+HLOOKUP(AQ$4,$D$7:$P$336,$R278,FALSE)-HLOOKUP(AQ$3,$D$7:$P$336,$R278,FALSE)</f>
        <v>#N/A</v>
      </c>
      <c r="AV278" s="60">
        <f ca="1">AV$5-S278</f>
        <v>8.1903994267964322</v>
      </c>
      <c r="AW278" s="60">
        <f ca="1">AW$5-T278</f>
        <v>14.220650529757748</v>
      </c>
      <c r="AX278" s="60">
        <f ca="1">AX$5-U278</f>
        <v>23.775915403668051</v>
      </c>
      <c r="AY278" s="60">
        <f ca="1">AY$5-V278</f>
        <v>8.6030144015278012</v>
      </c>
      <c r="AZ278" s="60">
        <f ca="1">AZ$5-W278</f>
        <v>21.45448217259603</v>
      </c>
      <c r="BA278" s="60">
        <f ca="1">BA$5-X278</f>
        <v>3.4650590589827033</v>
      </c>
      <c r="BB278" s="60">
        <f ca="1">BB$5-Y278</f>
        <v>13.350592727381127</v>
      </c>
      <c r="BC278" s="60">
        <f ca="1">BC$5-Z278</f>
        <v>29.437465909882164</v>
      </c>
      <c r="BD278" s="60">
        <f ca="1">BD$5-AA278</f>
        <v>12.936518664382362</v>
      </c>
      <c r="BE278" s="60">
        <f ca="1">BE$5-AB278</f>
        <v>15.829390591992194</v>
      </c>
      <c r="BF278" s="60">
        <f ca="1">BF$5-AC278</f>
        <v>3.0173043164770803</v>
      </c>
      <c r="BG278" s="60">
        <f ca="1">BG$5-AD278</f>
        <v>-10.014741294981491</v>
      </c>
      <c r="BH278" s="60">
        <f ca="1">BH$5-AE278</f>
        <v>-18.045407769632433</v>
      </c>
      <c r="BI278" s="60">
        <f ca="1">BI$5-AF278</f>
        <v>-24.391494488745195</v>
      </c>
      <c r="BJ278" s="60">
        <f ca="1">BJ$5-AG278</f>
        <v>6.43955105767877</v>
      </c>
      <c r="BK278" s="60" t="e">
        <f>BK$5-AH278</f>
        <v>#N/A</v>
      </c>
      <c r="BL278" s="60" t="e">
        <f>BL$5-AI278</f>
        <v>#N/A</v>
      </c>
      <c r="BM278" s="60" t="e">
        <f>BM$5-AJ278</f>
        <v>#N/A</v>
      </c>
      <c r="BN278" s="60" t="e">
        <f>BN$5-AK278</f>
        <v>#N/A</v>
      </c>
      <c r="BO278" s="60" t="e">
        <f>BO$5-AL278</f>
        <v>#N/A</v>
      </c>
      <c r="BP278" s="60" t="e">
        <f>BP$5-AM278</f>
        <v>#N/A</v>
      </c>
      <c r="BQ278" s="60" t="e">
        <f>BQ$5-AN278</f>
        <v>#N/A</v>
      </c>
      <c r="BR278" s="60" t="e">
        <f>BR$5-AO278</f>
        <v>#N/A</v>
      </c>
      <c r="BS278" s="60" t="e">
        <f>BS$5-AP278</f>
        <v>#N/A</v>
      </c>
      <c r="BT278" s="60" t="e">
        <f>BT$5-AQ278</f>
        <v>#N/A</v>
      </c>
      <c r="BV278" s="60" cm="1">
        <f t="array" aca="1" ref="BV278" ca="1">SQRT(SUMSQ(_xlfn._xlws.FILTER(AV278:BT278,ISNUMBER(AV278:BT278)))/COUNT(_xlfn._xlws.FILTER(AV278:BT278,ISNUMBER(AV278:BT278))))</f>
        <v>16.155683359697807</v>
      </c>
    </row>
    <row r="279" spans="3:74" x14ac:dyDescent="0.2">
      <c r="C279" s="60" t="s">
        <v>323</v>
      </c>
      <c r="D279" s="60">
        <v>0</v>
      </c>
      <c r="E279" s="60">
        <v>-3</v>
      </c>
      <c r="F279" s="60">
        <v>-5</v>
      </c>
      <c r="G279" s="60">
        <v>-8</v>
      </c>
      <c r="H279" s="60">
        <v>-11</v>
      </c>
      <c r="I279" s="60">
        <v>-13</v>
      </c>
      <c r="J279" s="60">
        <v>-16</v>
      </c>
      <c r="K279" s="60">
        <v>-18</v>
      </c>
      <c r="L279" s="60">
        <v>-21</v>
      </c>
      <c r="M279" s="60">
        <v>8</v>
      </c>
      <c r="N279" s="60">
        <v>5</v>
      </c>
      <c r="O279" s="60">
        <v>3</v>
      </c>
      <c r="P279" s="60">
        <v>0</v>
      </c>
      <c r="R279" s="61">
        <f>(ROW(R279)-ROW($C$6))</f>
        <v>273</v>
      </c>
      <c r="S279" s="60">
        <f ca="1">100+HLOOKUP(S$4,$D$7:$P$336,$R279,FALSE)-HLOOKUP(S$3,$D$7:$P$336,$R279,FALSE)</f>
        <v>81</v>
      </c>
      <c r="T279" s="60">
        <f ca="1">100+HLOOKUP(T$4,$D$7:$P$336,$R279,FALSE)-HLOOKUP(T$3,$D$7:$P$336,$R279,FALSE)</f>
        <v>81</v>
      </c>
      <c r="U279" s="60">
        <f ca="1">100+HLOOKUP(U$4,$D$7:$P$336,$R279,FALSE)-HLOOKUP(U$3,$D$7:$P$336,$R279,FALSE)</f>
        <v>82</v>
      </c>
      <c r="V279" s="60">
        <f ca="1">100+HLOOKUP(V$4,$D$7:$P$336,$R279,FALSE)-HLOOKUP(V$3,$D$7:$P$336,$R279,FALSE)</f>
        <v>82</v>
      </c>
      <c r="W279" s="60">
        <f ca="1">100+HLOOKUP(W$4,$D$7:$P$336,$R279,FALSE)-HLOOKUP(W$3,$D$7:$P$336,$R279,FALSE)</f>
        <v>82</v>
      </c>
      <c r="X279" s="60">
        <f ca="1">100+HLOOKUP(X$4,$D$7:$P$336,$R279,FALSE)-HLOOKUP(X$3,$D$7:$P$336,$R279,FALSE)</f>
        <v>81</v>
      </c>
      <c r="Y279" s="60">
        <f ca="1">100+HLOOKUP(Y$4,$D$7:$P$336,$R279,FALSE)-HLOOKUP(Y$3,$D$7:$P$336,$R279,FALSE)</f>
        <v>81</v>
      </c>
      <c r="Z279" s="60">
        <f ca="1">100+HLOOKUP(Z$4,$D$7:$P$336,$R279,FALSE)-HLOOKUP(Z$3,$D$7:$P$336,$R279,FALSE)</f>
        <v>82</v>
      </c>
      <c r="AA279" s="60">
        <f ca="1">100+HLOOKUP(AA$4,$D$7:$P$336,$R279,FALSE)-HLOOKUP(AA$3,$D$7:$P$336,$R279,FALSE)</f>
        <v>82</v>
      </c>
      <c r="AB279" s="60">
        <f ca="1">100+HLOOKUP(AB$4,$D$7:$P$336,$R279,FALSE)-HLOOKUP(AB$3,$D$7:$P$336,$R279,FALSE)</f>
        <v>82</v>
      </c>
      <c r="AC279" s="60">
        <f ca="1">100+HLOOKUP(AC$4,$D$7:$P$336,$R279,FALSE)-HLOOKUP(AC$3,$D$7:$P$336,$R279,FALSE)</f>
        <v>113</v>
      </c>
      <c r="AD279" s="60">
        <f ca="1">100+HLOOKUP(AD$4,$D$7:$P$336,$R279,FALSE)-HLOOKUP(AD$3,$D$7:$P$336,$R279,FALSE)</f>
        <v>114</v>
      </c>
      <c r="AE279" s="60">
        <f ca="1">100+HLOOKUP(AE$4,$D$7:$P$336,$R279,FALSE)-HLOOKUP(AE$3,$D$7:$P$336,$R279,FALSE)</f>
        <v>113</v>
      </c>
      <c r="AF279" s="60">
        <f ca="1">100+HLOOKUP(AF$4,$D$7:$P$336,$R279,FALSE)-HLOOKUP(AF$3,$D$7:$P$336,$R279,FALSE)</f>
        <v>113</v>
      </c>
      <c r="AG279" s="60">
        <f ca="1">100+HLOOKUP(AG$4,$D$7:$P$336,$R279,FALSE)-HLOOKUP(AG$3,$D$7:$P$336,$R279,FALSE)</f>
        <v>82</v>
      </c>
      <c r="AH279" s="60" t="e">
        <f>100+HLOOKUP(AH$4,$D$7:$P$336,$R279,FALSE)-HLOOKUP(AH$3,$D$7:$P$336,$R279,FALSE)</f>
        <v>#N/A</v>
      </c>
      <c r="AI279" s="60" t="e">
        <f>100+HLOOKUP(AI$4,$D$7:$P$336,$R279,FALSE)-HLOOKUP(AI$3,$D$7:$P$336,$R279,FALSE)</f>
        <v>#N/A</v>
      </c>
      <c r="AJ279" s="60" t="e">
        <f>100+HLOOKUP(AJ$4,$D$7:$P$336,$R279,FALSE)-HLOOKUP(AJ$3,$D$7:$P$336,$R279,FALSE)</f>
        <v>#N/A</v>
      </c>
      <c r="AK279" s="60" t="e">
        <f>100+HLOOKUP(AK$4,$D$7:$P$336,$R279,FALSE)-HLOOKUP(AK$3,$D$7:$P$336,$R279,FALSE)</f>
        <v>#N/A</v>
      </c>
      <c r="AL279" s="60" t="e">
        <f>100+HLOOKUP(AL$4,$D$7:$P$336,$R279,FALSE)-HLOOKUP(AL$3,$D$7:$P$336,$R279,FALSE)</f>
        <v>#N/A</v>
      </c>
      <c r="AM279" s="60" t="e">
        <f>100+HLOOKUP(AM$4,$D$7:$P$336,$R279,FALSE)-HLOOKUP(AM$3,$D$7:$P$336,$R279,FALSE)</f>
        <v>#N/A</v>
      </c>
      <c r="AN279" s="60" t="e">
        <f>100+HLOOKUP(AN$4,$D$7:$P$336,$R279,FALSE)-HLOOKUP(AN$3,$D$7:$P$336,$R279,FALSE)</f>
        <v>#N/A</v>
      </c>
      <c r="AO279" s="60" t="e">
        <f>100+HLOOKUP(AO$4,$D$7:$P$336,$R279,FALSE)-HLOOKUP(AO$3,$D$7:$P$336,$R279,FALSE)</f>
        <v>#N/A</v>
      </c>
      <c r="AP279" s="60" t="e">
        <f>100+HLOOKUP(AP$4,$D$7:$P$336,$R279,FALSE)-HLOOKUP(AP$3,$D$7:$P$336,$R279,FALSE)</f>
        <v>#N/A</v>
      </c>
      <c r="AQ279" s="60" t="e">
        <f>100+HLOOKUP(AQ$4,$D$7:$P$336,$R279,FALSE)-HLOOKUP(AQ$3,$D$7:$P$336,$R279,FALSE)</f>
        <v>#N/A</v>
      </c>
      <c r="AV279" s="60">
        <f ca="1">AV$5-S279</f>
        <v>22.190399426796432</v>
      </c>
      <c r="AW279" s="60">
        <f ca="1">AW$5-T279</f>
        <v>13.220650529757748</v>
      </c>
      <c r="AX279" s="60">
        <f ca="1">AX$5-U279</f>
        <v>19.775915403668051</v>
      </c>
      <c r="AY279" s="60">
        <f ca="1">AY$5-V279</f>
        <v>11.603014401527801</v>
      </c>
      <c r="AZ279" s="60">
        <f ca="1">AZ$5-W279</f>
        <v>15.45448217259603</v>
      </c>
      <c r="BA279" s="60">
        <f ca="1">BA$5-X279</f>
        <v>17.465059058982703</v>
      </c>
      <c r="BB279" s="60">
        <f ca="1">BB$5-Y279</f>
        <v>12.350592727381127</v>
      </c>
      <c r="BC279" s="60">
        <f ca="1">BC$5-Z279</f>
        <v>25.437465909882164</v>
      </c>
      <c r="BD279" s="60">
        <f ca="1">BD$5-AA279</f>
        <v>15.936518664382362</v>
      </c>
      <c r="BE279" s="60">
        <f ca="1">BE$5-AB279</f>
        <v>9.829390591992194</v>
      </c>
      <c r="BF279" s="60">
        <f ca="1">BF$5-AC279</f>
        <v>-11.98269568352292</v>
      </c>
      <c r="BG279" s="60">
        <f ca="1">BG$5-AD279</f>
        <v>-10.014741294981491</v>
      </c>
      <c r="BH279" s="60">
        <f ca="1">BH$5-AE279</f>
        <v>-14.045407769632433</v>
      </c>
      <c r="BI279" s="60">
        <f ca="1">BI$5-AF279</f>
        <v>-22.391494488745195</v>
      </c>
      <c r="BJ279" s="60">
        <f ca="1">BJ$5-AG279</f>
        <v>9.43955105767877</v>
      </c>
      <c r="BK279" s="60" t="e">
        <f>BK$5-AH279</f>
        <v>#N/A</v>
      </c>
      <c r="BL279" s="60" t="e">
        <f>BL$5-AI279</f>
        <v>#N/A</v>
      </c>
      <c r="BM279" s="60" t="e">
        <f>BM$5-AJ279</f>
        <v>#N/A</v>
      </c>
      <c r="BN279" s="60" t="e">
        <f>BN$5-AK279</f>
        <v>#N/A</v>
      </c>
      <c r="BO279" s="60" t="e">
        <f>BO$5-AL279</f>
        <v>#N/A</v>
      </c>
      <c r="BP279" s="60" t="e">
        <f>BP$5-AM279</f>
        <v>#N/A</v>
      </c>
      <c r="BQ279" s="60" t="e">
        <f>BQ$5-AN279</f>
        <v>#N/A</v>
      </c>
      <c r="BR279" s="60" t="e">
        <f>BR$5-AO279</f>
        <v>#N/A</v>
      </c>
      <c r="BS279" s="60" t="e">
        <f>BS$5-AP279</f>
        <v>#N/A</v>
      </c>
      <c r="BT279" s="60" t="e">
        <f>BT$5-AQ279</f>
        <v>#N/A</v>
      </c>
      <c r="BV279" s="60" cm="1">
        <f t="array" aca="1" ref="BV279" ca="1">SQRT(SUMSQ(_xlfn._xlws.FILTER(AV279:BT279,ISNUMBER(AV279:BT279)))/COUNT(_xlfn._xlws.FILTER(AV279:BT279,ISNUMBER(AV279:BT279))))</f>
        <v>16.162950503794178</v>
      </c>
    </row>
    <row r="280" spans="3:74" x14ac:dyDescent="0.2">
      <c r="C280" s="60" t="s">
        <v>324</v>
      </c>
      <c r="D280" s="60">
        <v>0</v>
      </c>
      <c r="E280" s="60">
        <v>-2.653</v>
      </c>
      <c r="F280" s="60">
        <v>-5.3070000000000004</v>
      </c>
      <c r="G280" s="60">
        <v>-7.96</v>
      </c>
      <c r="H280" s="60">
        <v>-10.614000000000001</v>
      </c>
      <c r="I280" s="60">
        <v>-13.266999999999999</v>
      </c>
      <c r="J280" s="60">
        <v>-15.920999999999999</v>
      </c>
      <c r="K280" s="60">
        <v>-18.574000000000002</v>
      </c>
      <c r="L280" s="60">
        <v>-21.228000000000002</v>
      </c>
      <c r="M280" s="60">
        <v>7.96</v>
      </c>
      <c r="N280" s="60">
        <v>5.3070000000000004</v>
      </c>
      <c r="O280" s="60">
        <v>2.653</v>
      </c>
      <c r="P280" s="60">
        <v>0</v>
      </c>
      <c r="R280" s="61">
        <f>(ROW(R280)-ROW($C$6))</f>
        <v>274</v>
      </c>
      <c r="S280" s="60">
        <f ca="1">100+HLOOKUP(S$4,$D$7:$P$336,$R280,FALSE)-HLOOKUP(S$3,$D$7:$P$336,$R280,FALSE)</f>
        <v>81.426000000000002</v>
      </c>
      <c r="T280" s="60">
        <f ca="1">100+HLOOKUP(T$4,$D$7:$P$336,$R280,FALSE)-HLOOKUP(T$3,$D$7:$P$336,$R280,FALSE)</f>
        <v>81.426000000000002</v>
      </c>
      <c r="U280" s="60">
        <f ca="1">100+HLOOKUP(U$4,$D$7:$P$336,$R280,FALSE)-HLOOKUP(U$3,$D$7:$P$336,$R280,FALSE)</f>
        <v>81.424999999999997</v>
      </c>
      <c r="V280" s="60">
        <f ca="1">100+HLOOKUP(V$4,$D$7:$P$336,$R280,FALSE)-HLOOKUP(V$3,$D$7:$P$336,$R280,FALSE)</f>
        <v>81.426000000000002</v>
      </c>
      <c r="W280" s="60">
        <f ca="1">100+HLOOKUP(W$4,$D$7:$P$336,$R280,FALSE)-HLOOKUP(W$3,$D$7:$P$336,$R280,FALSE)</f>
        <v>81.426000000000002</v>
      </c>
      <c r="X280" s="60">
        <f ca="1">100+HLOOKUP(X$4,$D$7:$P$336,$R280,FALSE)-HLOOKUP(X$3,$D$7:$P$336,$R280,FALSE)</f>
        <v>81.426000000000002</v>
      </c>
      <c r="Y280" s="60">
        <f ca="1">100+HLOOKUP(Y$4,$D$7:$P$336,$R280,FALSE)-HLOOKUP(Y$3,$D$7:$P$336,$R280,FALSE)</f>
        <v>81.426000000000002</v>
      </c>
      <c r="Z280" s="60">
        <f ca="1">100+HLOOKUP(Z$4,$D$7:$P$336,$R280,FALSE)-HLOOKUP(Z$3,$D$7:$P$336,$R280,FALSE)</f>
        <v>81.424999999999997</v>
      </c>
      <c r="AA280" s="60">
        <f ca="1">100+HLOOKUP(AA$4,$D$7:$P$336,$R280,FALSE)-HLOOKUP(AA$3,$D$7:$P$336,$R280,FALSE)</f>
        <v>81.426000000000002</v>
      </c>
      <c r="AB280" s="60">
        <f ca="1">100+HLOOKUP(AB$4,$D$7:$P$336,$R280,FALSE)-HLOOKUP(AB$3,$D$7:$P$336,$R280,FALSE)</f>
        <v>81.426000000000002</v>
      </c>
      <c r="AC280" s="60">
        <f ca="1">100+HLOOKUP(AC$4,$D$7:$P$336,$R280,FALSE)-HLOOKUP(AC$3,$D$7:$P$336,$R280,FALSE)</f>
        <v>113.267</v>
      </c>
      <c r="AD280" s="60">
        <f ca="1">100+HLOOKUP(AD$4,$D$7:$P$336,$R280,FALSE)-HLOOKUP(AD$3,$D$7:$P$336,$R280,FALSE)</f>
        <v>113.26700000000001</v>
      </c>
      <c r="AE280" s="60">
        <f ca="1">100+HLOOKUP(AE$4,$D$7:$P$336,$R280,FALSE)-HLOOKUP(AE$3,$D$7:$P$336,$R280,FALSE)</f>
        <v>113.268</v>
      </c>
      <c r="AF280" s="60">
        <f ca="1">100+HLOOKUP(AF$4,$D$7:$P$336,$R280,FALSE)-HLOOKUP(AF$3,$D$7:$P$336,$R280,FALSE)</f>
        <v>113.268</v>
      </c>
      <c r="AG280" s="60">
        <f ca="1">100+HLOOKUP(AG$4,$D$7:$P$336,$R280,FALSE)-HLOOKUP(AG$3,$D$7:$P$336,$R280,FALSE)</f>
        <v>81.426000000000002</v>
      </c>
      <c r="AH280" s="60" t="e">
        <f>100+HLOOKUP(AH$4,$D$7:$P$336,$R280,FALSE)-HLOOKUP(AH$3,$D$7:$P$336,$R280,FALSE)</f>
        <v>#N/A</v>
      </c>
      <c r="AI280" s="60" t="e">
        <f>100+HLOOKUP(AI$4,$D$7:$P$336,$R280,FALSE)-HLOOKUP(AI$3,$D$7:$P$336,$R280,FALSE)</f>
        <v>#N/A</v>
      </c>
      <c r="AJ280" s="60" t="e">
        <f>100+HLOOKUP(AJ$4,$D$7:$P$336,$R280,FALSE)-HLOOKUP(AJ$3,$D$7:$P$336,$R280,FALSE)</f>
        <v>#N/A</v>
      </c>
      <c r="AK280" s="60" t="e">
        <f>100+HLOOKUP(AK$4,$D$7:$P$336,$R280,FALSE)-HLOOKUP(AK$3,$D$7:$P$336,$R280,FALSE)</f>
        <v>#N/A</v>
      </c>
      <c r="AL280" s="60" t="e">
        <f>100+HLOOKUP(AL$4,$D$7:$P$336,$R280,FALSE)-HLOOKUP(AL$3,$D$7:$P$336,$R280,FALSE)</f>
        <v>#N/A</v>
      </c>
      <c r="AM280" s="60" t="e">
        <f>100+HLOOKUP(AM$4,$D$7:$P$336,$R280,FALSE)-HLOOKUP(AM$3,$D$7:$P$336,$R280,FALSE)</f>
        <v>#N/A</v>
      </c>
      <c r="AN280" s="60" t="e">
        <f>100+HLOOKUP(AN$4,$D$7:$P$336,$R280,FALSE)-HLOOKUP(AN$3,$D$7:$P$336,$R280,FALSE)</f>
        <v>#N/A</v>
      </c>
      <c r="AO280" s="60" t="e">
        <f>100+HLOOKUP(AO$4,$D$7:$P$336,$R280,FALSE)-HLOOKUP(AO$3,$D$7:$P$336,$R280,FALSE)</f>
        <v>#N/A</v>
      </c>
      <c r="AP280" s="60" t="e">
        <f>100+HLOOKUP(AP$4,$D$7:$P$336,$R280,FALSE)-HLOOKUP(AP$3,$D$7:$P$336,$R280,FALSE)</f>
        <v>#N/A</v>
      </c>
      <c r="AQ280" s="60" t="e">
        <f>100+HLOOKUP(AQ$4,$D$7:$P$336,$R280,FALSE)-HLOOKUP(AQ$3,$D$7:$P$336,$R280,FALSE)</f>
        <v>#N/A</v>
      </c>
      <c r="AV280" s="60">
        <f ca="1">AV$5-S280</f>
        <v>21.76439942679643</v>
      </c>
      <c r="AW280" s="60">
        <f ca="1">AW$5-T280</f>
        <v>12.794650529757746</v>
      </c>
      <c r="AX280" s="60">
        <f ca="1">AX$5-U280</f>
        <v>20.350915403668054</v>
      </c>
      <c r="AY280" s="60">
        <f ca="1">AY$5-V280</f>
        <v>12.177014401527799</v>
      </c>
      <c r="AZ280" s="60">
        <f ca="1">AZ$5-W280</f>
        <v>16.028482172596028</v>
      </c>
      <c r="BA280" s="60">
        <f ca="1">BA$5-X280</f>
        <v>17.039059058982701</v>
      </c>
      <c r="BB280" s="60">
        <f ca="1">BB$5-Y280</f>
        <v>11.924592727381125</v>
      </c>
      <c r="BC280" s="60">
        <f ca="1">BC$5-Z280</f>
        <v>26.012465909882167</v>
      </c>
      <c r="BD280" s="60">
        <f ca="1">BD$5-AA280</f>
        <v>16.51051866438236</v>
      </c>
      <c r="BE280" s="60">
        <f ca="1">BE$5-AB280</f>
        <v>10.403390591992192</v>
      </c>
      <c r="BF280" s="60">
        <f ca="1">BF$5-AC280</f>
        <v>-12.249695683522916</v>
      </c>
      <c r="BG280" s="60">
        <f ca="1">BG$5-AD280</f>
        <v>-9.2817412949815008</v>
      </c>
      <c r="BH280" s="60">
        <f ca="1">BH$5-AE280</f>
        <v>-14.313407769632434</v>
      </c>
      <c r="BI280" s="60">
        <f ca="1">BI$5-AF280</f>
        <v>-22.659494488745196</v>
      </c>
      <c r="BJ280" s="60">
        <f ca="1">BJ$5-AG280</f>
        <v>10.013551057678768</v>
      </c>
      <c r="BK280" s="60" t="e">
        <f>BK$5-AH280</f>
        <v>#N/A</v>
      </c>
      <c r="BL280" s="60" t="e">
        <f>BL$5-AI280</f>
        <v>#N/A</v>
      </c>
      <c r="BM280" s="60" t="e">
        <f>BM$5-AJ280</f>
        <v>#N/A</v>
      </c>
      <c r="BN280" s="60" t="e">
        <f>BN$5-AK280</f>
        <v>#N/A</v>
      </c>
      <c r="BO280" s="60" t="e">
        <f>BO$5-AL280</f>
        <v>#N/A</v>
      </c>
      <c r="BP280" s="60" t="e">
        <f>BP$5-AM280</f>
        <v>#N/A</v>
      </c>
      <c r="BQ280" s="60" t="e">
        <f>BQ$5-AN280</f>
        <v>#N/A</v>
      </c>
      <c r="BR280" s="60" t="e">
        <f>BR$5-AO280</f>
        <v>#N/A</v>
      </c>
      <c r="BS280" s="60" t="e">
        <f>BS$5-AP280</f>
        <v>#N/A</v>
      </c>
      <c r="BT280" s="60" t="e">
        <f>BT$5-AQ280</f>
        <v>#N/A</v>
      </c>
      <c r="BV280" s="60" cm="1">
        <f t="array" aca="1" ref="BV280" ca="1">SQRT(SUMSQ(_xlfn._xlws.FILTER(AV280:BT280,ISNUMBER(AV280:BT280)))/COUNT(_xlfn._xlws.FILTER(AV280:BT280,ISNUMBER(AV280:BT280))))</f>
        <v>16.333092657386924</v>
      </c>
    </row>
    <row r="281" spans="3:74" x14ac:dyDescent="0.2">
      <c r="C281" s="60" t="s">
        <v>494</v>
      </c>
      <c r="D281" s="60">
        <v>0</v>
      </c>
      <c r="E281" s="60">
        <v>-3</v>
      </c>
      <c r="F281" s="60">
        <v>-6</v>
      </c>
      <c r="G281" s="60">
        <v>-9</v>
      </c>
      <c r="H281" s="60">
        <v>-12</v>
      </c>
      <c r="I281" s="60">
        <v>-15</v>
      </c>
      <c r="J281" s="60">
        <v>-17</v>
      </c>
      <c r="K281" s="60">
        <v>-19</v>
      </c>
      <c r="L281" s="60">
        <v>-20</v>
      </c>
      <c r="M281" s="60">
        <v>7</v>
      </c>
      <c r="N281" s="60">
        <v>5</v>
      </c>
      <c r="O281" s="60">
        <v>3</v>
      </c>
      <c r="P281" s="60">
        <v>0</v>
      </c>
      <c r="R281" s="61">
        <f>(ROW(R281)-ROW($C$6))</f>
        <v>275</v>
      </c>
      <c r="S281" s="60">
        <f ca="1">100+HLOOKUP(S$4,$D$7:$P$336,$R281,FALSE)-HLOOKUP(S$3,$D$7:$P$336,$R281,FALSE)</f>
        <v>81</v>
      </c>
      <c r="T281" s="60">
        <f ca="1">100+HLOOKUP(T$4,$D$7:$P$336,$R281,FALSE)-HLOOKUP(T$3,$D$7:$P$336,$R281,FALSE)</f>
        <v>80</v>
      </c>
      <c r="U281" s="60">
        <f ca="1">100+HLOOKUP(U$4,$D$7:$P$336,$R281,FALSE)-HLOOKUP(U$3,$D$7:$P$336,$R281,FALSE)</f>
        <v>83</v>
      </c>
      <c r="V281" s="60">
        <f ca="1">100+HLOOKUP(V$4,$D$7:$P$336,$R281,FALSE)-HLOOKUP(V$3,$D$7:$P$336,$R281,FALSE)</f>
        <v>80</v>
      </c>
      <c r="W281" s="60">
        <f ca="1">100+HLOOKUP(W$4,$D$7:$P$336,$R281,FALSE)-HLOOKUP(W$3,$D$7:$P$336,$R281,FALSE)</f>
        <v>81</v>
      </c>
      <c r="X281" s="60">
        <f ca="1">100+HLOOKUP(X$4,$D$7:$P$336,$R281,FALSE)-HLOOKUP(X$3,$D$7:$P$336,$R281,FALSE)</f>
        <v>81</v>
      </c>
      <c r="Y281" s="60">
        <f ca="1">100+HLOOKUP(Y$4,$D$7:$P$336,$R281,FALSE)-HLOOKUP(Y$3,$D$7:$P$336,$R281,FALSE)</f>
        <v>80</v>
      </c>
      <c r="Z281" s="60">
        <f ca="1">100+HLOOKUP(Z$4,$D$7:$P$336,$R281,FALSE)-HLOOKUP(Z$3,$D$7:$P$336,$R281,FALSE)</f>
        <v>83</v>
      </c>
      <c r="AA281" s="60">
        <f ca="1">100+HLOOKUP(AA$4,$D$7:$P$336,$R281,FALSE)-HLOOKUP(AA$3,$D$7:$P$336,$R281,FALSE)</f>
        <v>80</v>
      </c>
      <c r="AB281" s="60">
        <f ca="1">100+HLOOKUP(AB$4,$D$7:$P$336,$R281,FALSE)-HLOOKUP(AB$3,$D$7:$P$336,$R281,FALSE)</f>
        <v>81</v>
      </c>
      <c r="AC281" s="60">
        <f ca="1">100+HLOOKUP(AC$4,$D$7:$P$336,$R281,FALSE)-HLOOKUP(AC$3,$D$7:$P$336,$R281,FALSE)</f>
        <v>113</v>
      </c>
      <c r="AD281" s="60">
        <f ca="1">100+HLOOKUP(AD$4,$D$7:$P$336,$R281,FALSE)-HLOOKUP(AD$3,$D$7:$P$336,$R281,FALSE)</f>
        <v>115</v>
      </c>
      <c r="AE281" s="60">
        <f ca="1">100+HLOOKUP(AE$4,$D$7:$P$336,$R281,FALSE)-HLOOKUP(AE$3,$D$7:$P$336,$R281,FALSE)</f>
        <v>114</v>
      </c>
      <c r="AF281" s="60">
        <f ca="1">100+HLOOKUP(AF$4,$D$7:$P$336,$R281,FALSE)-HLOOKUP(AF$3,$D$7:$P$336,$R281,FALSE)</f>
        <v>111</v>
      </c>
      <c r="AG281" s="60">
        <f ca="1">100+HLOOKUP(AG$4,$D$7:$P$336,$R281,FALSE)-HLOOKUP(AG$3,$D$7:$P$336,$R281,FALSE)</f>
        <v>80</v>
      </c>
      <c r="AH281" s="60" t="e">
        <f>100+HLOOKUP(AH$4,$D$7:$P$336,$R281,FALSE)-HLOOKUP(AH$3,$D$7:$P$336,$R281,FALSE)</f>
        <v>#N/A</v>
      </c>
      <c r="AI281" s="60" t="e">
        <f>100+HLOOKUP(AI$4,$D$7:$P$336,$R281,FALSE)-HLOOKUP(AI$3,$D$7:$P$336,$R281,FALSE)</f>
        <v>#N/A</v>
      </c>
      <c r="AJ281" s="60" t="e">
        <f>100+HLOOKUP(AJ$4,$D$7:$P$336,$R281,FALSE)-HLOOKUP(AJ$3,$D$7:$P$336,$R281,FALSE)</f>
        <v>#N/A</v>
      </c>
      <c r="AK281" s="60" t="e">
        <f>100+HLOOKUP(AK$4,$D$7:$P$336,$R281,FALSE)-HLOOKUP(AK$3,$D$7:$P$336,$R281,FALSE)</f>
        <v>#N/A</v>
      </c>
      <c r="AL281" s="60" t="e">
        <f>100+HLOOKUP(AL$4,$D$7:$P$336,$R281,FALSE)-HLOOKUP(AL$3,$D$7:$P$336,$R281,FALSE)</f>
        <v>#N/A</v>
      </c>
      <c r="AM281" s="60" t="e">
        <f>100+HLOOKUP(AM$4,$D$7:$P$336,$R281,FALSE)-HLOOKUP(AM$3,$D$7:$P$336,$R281,FALSE)</f>
        <v>#N/A</v>
      </c>
      <c r="AN281" s="60" t="e">
        <f>100+HLOOKUP(AN$4,$D$7:$P$336,$R281,FALSE)-HLOOKUP(AN$3,$D$7:$P$336,$R281,FALSE)</f>
        <v>#N/A</v>
      </c>
      <c r="AO281" s="60" t="e">
        <f>100+HLOOKUP(AO$4,$D$7:$P$336,$R281,FALSE)-HLOOKUP(AO$3,$D$7:$P$336,$R281,FALSE)</f>
        <v>#N/A</v>
      </c>
      <c r="AP281" s="60" t="e">
        <f>100+HLOOKUP(AP$4,$D$7:$P$336,$R281,FALSE)-HLOOKUP(AP$3,$D$7:$P$336,$R281,FALSE)</f>
        <v>#N/A</v>
      </c>
      <c r="AQ281" s="60" t="e">
        <f>100+HLOOKUP(AQ$4,$D$7:$P$336,$R281,FALSE)-HLOOKUP(AQ$3,$D$7:$P$336,$R281,FALSE)</f>
        <v>#N/A</v>
      </c>
      <c r="AV281" s="60">
        <f ca="1">AV$5-S281</f>
        <v>22.190399426796432</v>
      </c>
      <c r="AW281" s="60">
        <f ca="1">AW$5-T281</f>
        <v>14.220650529757748</v>
      </c>
      <c r="AX281" s="60">
        <f ca="1">AX$5-U281</f>
        <v>18.775915403668051</v>
      </c>
      <c r="AY281" s="60">
        <f ca="1">AY$5-V281</f>
        <v>13.603014401527801</v>
      </c>
      <c r="AZ281" s="60">
        <f ca="1">AZ$5-W281</f>
        <v>16.45448217259603</v>
      </c>
      <c r="BA281" s="60">
        <f ca="1">BA$5-X281</f>
        <v>17.465059058982703</v>
      </c>
      <c r="BB281" s="60">
        <f ca="1">BB$5-Y281</f>
        <v>13.350592727381127</v>
      </c>
      <c r="BC281" s="60">
        <f ca="1">BC$5-Z281</f>
        <v>24.437465909882164</v>
      </c>
      <c r="BD281" s="60">
        <f ca="1">BD$5-AA281</f>
        <v>17.936518664382362</v>
      </c>
      <c r="BE281" s="60">
        <f ca="1">BE$5-AB281</f>
        <v>10.829390591992194</v>
      </c>
      <c r="BF281" s="60">
        <f ca="1">BF$5-AC281</f>
        <v>-11.98269568352292</v>
      </c>
      <c r="BG281" s="60">
        <f ca="1">BG$5-AD281</f>
        <v>-11.014741294981491</v>
      </c>
      <c r="BH281" s="60">
        <f ca="1">BH$5-AE281</f>
        <v>-15.045407769632433</v>
      </c>
      <c r="BI281" s="60">
        <f ca="1">BI$5-AF281</f>
        <v>-20.391494488745195</v>
      </c>
      <c r="BJ281" s="60">
        <f ca="1">BJ$5-AG281</f>
        <v>11.43955105767877</v>
      </c>
      <c r="BK281" s="60" t="e">
        <f>BK$5-AH281</f>
        <v>#N/A</v>
      </c>
      <c r="BL281" s="60" t="e">
        <f>BL$5-AI281</f>
        <v>#N/A</v>
      </c>
      <c r="BM281" s="60" t="e">
        <f>BM$5-AJ281</f>
        <v>#N/A</v>
      </c>
      <c r="BN281" s="60" t="e">
        <f>BN$5-AK281</f>
        <v>#N/A</v>
      </c>
      <c r="BO281" s="60" t="e">
        <f>BO$5-AL281</f>
        <v>#N/A</v>
      </c>
      <c r="BP281" s="60" t="e">
        <f>BP$5-AM281</f>
        <v>#N/A</v>
      </c>
      <c r="BQ281" s="60" t="e">
        <f>BQ$5-AN281</f>
        <v>#N/A</v>
      </c>
      <c r="BR281" s="60" t="e">
        <f>BR$5-AO281</f>
        <v>#N/A</v>
      </c>
      <c r="BS281" s="60" t="e">
        <f>BS$5-AP281</f>
        <v>#N/A</v>
      </c>
      <c r="BT281" s="60" t="e">
        <f>BT$5-AQ281</f>
        <v>#N/A</v>
      </c>
      <c r="BV281" s="60" cm="1">
        <f t="array" aca="1" ref="BV281" ca="1">SQRT(SUMSQ(_xlfn._xlws.FILTER(AV281:BT281,ISNUMBER(AV281:BT281)))/COUNT(_xlfn._xlws.FILTER(AV281:BT281,ISNUMBER(AV281:BT281))))</f>
        <v>16.452697166739284</v>
      </c>
    </row>
    <row r="282" spans="3:74" x14ac:dyDescent="0.2">
      <c r="C282" s="60" t="s">
        <v>296</v>
      </c>
      <c r="D282" s="60">
        <v>0</v>
      </c>
      <c r="E282" s="60">
        <v>-1</v>
      </c>
      <c r="F282" s="60">
        <v>-5</v>
      </c>
      <c r="G282" s="60">
        <v>-9</v>
      </c>
      <c r="H282" s="60">
        <v>-12</v>
      </c>
      <c r="I282" s="60">
        <v>-15</v>
      </c>
      <c r="J282" s="60">
        <v>-18</v>
      </c>
      <c r="K282" s="60">
        <v>-20</v>
      </c>
      <c r="L282" s="60">
        <v>-21</v>
      </c>
      <c r="M282" s="60">
        <v>6</v>
      </c>
      <c r="N282" s="60">
        <v>1</v>
      </c>
      <c r="O282" s="60">
        <v>2</v>
      </c>
      <c r="P282" s="60">
        <v>0</v>
      </c>
      <c r="R282" s="61">
        <f>(ROW(R282)-ROW($C$6))</f>
        <v>276</v>
      </c>
      <c r="S282" s="60">
        <f ca="1">100+HLOOKUP(S$4,$D$7:$P$336,$R282,FALSE)-HLOOKUP(S$3,$D$7:$P$336,$R282,FALSE)</f>
        <v>82</v>
      </c>
      <c r="T282" s="60">
        <f ca="1">100+HLOOKUP(T$4,$D$7:$P$336,$R282,FALSE)-HLOOKUP(T$3,$D$7:$P$336,$R282,FALSE)</f>
        <v>80</v>
      </c>
      <c r="U282" s="60">
        <f ca="1">100+HLOOKUP(U$4,$D$7:$P$336,$R282,FALSE)-HLOOKUP(U$3,$D$7:$P$336,$R282,FALSE)</f>
        <v>80</v>
      </c>
      <c r="V282" s="60">
        <f ca="1">100+HLOOKUP(V$4,$D$7:$P$336,$R282,FALSE)-HLOOKUP(V$3,$D$7:$P$336,$R282,FALSE)</f>
        <v>84</v>
      </c>
      <c r="W282" s="60">
        <f ca="1">100+HLOOKUP(W$4,$D$7:$P$336,$R282,FALSE)-HLOOKUP(W$3,$D$7:$P$336,$R282,FALSE)</f>
        <v>80</v>
      </c>
      <c r="X282" s="60">
        <f ca="1">100+HLOOKUP(X$4,$D$7:$P$336,$R282,FALSE)-HLOOKUP(X$3,$D$7:$P$336,$R282,FALSE)</f>
        <v>82</v>
      </c>
      <c r="Y282" s="60">
        <f ca="1">100+HLOOKUP(Y$4,$D$7:$P$336,$R282,FALSE)-HLOOKUP(Y$3,$D$7:$P$336,$R282,FALSE)</f>
        <v>80</v>
      </c>
      <c r="Z282" s="60">
        <f ca="1">100+HLOOKUP(Z$4,$D$7:$P$336,$R282,FALSE)-HLOOKUP(Z$3,$D$7:$P$336,$R282,FALSE)</f>
        <v>80</v>
      </c>
      <c r="AA282" s="60">
        <f ca="1">100+HLOOKUP(AA$4,$D$7:$P$336,$R282,FALSE)-HLOOKUP(AA$3,$D$7:$P$336,$R282,FALSE)</f>
        <v>84</v>
      </c>
      <c r="AB282" s="60">
        <f ca="1">100+HLOOKUP(AB$4,$D$7:$P$336,$R282,FALSE)-HLOOKUP(AB$3,$D$7:$P$336,$R282,FALSE)</f>
        <v>80</v>
      </c>
      <c r="AC282" s="60">
        <f ca="1">100+HLOOKUP(AC$4,$D$7:$P$336,$R282,FALSE)-HLOOKUP(AC$3,$D$7:$P$336,$R282,FALSE)</f>
        <v>111</v>
      </c>
      <c r="AD282" s="60">
        <f ca="1">100+HLOOKUP(AD$4,$D$7:$P$336,$R282,FALSE)-HLOOKUP(AD$3,$D$7:$P$336,$R282,FALSE)</f>
        <v>114</v>
      </c>
      <c r="AE282" s="60">
        <f ca="1">100+HLOOKUP(AE$4,$D$7:$P$336,$R282,FALSE)-HLOOKUP(AE$3,$D$7:$P$336,$R282,FALSE)</f>
        <v>117</v>
      </c>
      <c r="AF282" s="60">
        <f ca="1">100+HLOOKUP(AF$4,$D$7:$P$336,$R282,FALSE)-HLOOKUP(AF$3,$D$7:$P$336,$R282,FALSE)</f>
        <v>112</v>
      </c>
      <c r="AG282" s="60">
        <f ca="1">100+HLOOKUP(AG$4,$D$7:$P$336,$R282,FALSE)-HLOOKUP(AG$3,$D$7:$P$336,$R282,FALSE)</f>
        <v>84</v>
      </c>
      <c r="AH282" s="60" t="e">
        <f>100+HLOOKUP(AH$4,$D$7:$P$336,$R282,FALSE)-HLOOKUP(AH$3,$D$7:$P$336,$R282,FALSE)</f>
        <v>#N/A</v>
      </c>
      <c r="AI282" s="60" t="e">
        <f>100+HLOOKUP(AI$4,$D$7:$P$336,$R282,FALSE)-HLOOKUP(AI$3,$D$7:$P$336,$R282,FALSE)</f>
        <v>#N/A</v>
      </c>
      <c r="AJ282" s="60" t="e">
        <f>100+HLOOKUP(AJ$4,$D$7:$P$336,$R282,FALSE)-HLOOKUP(AJ$3,$D$7:$P$336,$R282,FALSE)</f>
        <v>#N/A</v>
      </c>
      <c r="AK282" s="60" t="e">
        <f>100+HLOOKUP(AK$4,$D$7:$P$336,$R282,FALSE)-HLOOKUP(AK$3,$D$7:$P$336,$R282,FALSE)</f>
        <v>#N/A</v>
      </c>
      <c r="AL282" s="60" t="e">
        <f>100+HLOOKUP(AL$4,$D$7:$P$336,$R282,FALSE)-HLOOKUP(AL$3,$D$7:$P$336,$R282,FALSE)</f>
        <v>#N/A</v>
      </c>
      <c r="AM282" s="60" t="e">
        <f>100+HLOOKUP(AM$4,$D$7:$P$336,$R282,FALSE)-HLOOKUP(AM$3,$D$7:$P$336,$R282,FALSE)</f>
        <v>#N/A</v>
      </c>
      <c r="AN282" s="60" t="e">
        <f>100+HLOOKUP(AN$4,$D$7:$P$336,$R282,FALSE)-HLOOKUP(AN$3,$D$7:$P$336,$R282,FALSE)</f>
        <v>#N/A</v>
      </c>
      <c r="AO282" s="60" t="e">
        <f>100+HLOOKUP(AO$4,$D$7:$P$336,$R282,FALSE)-HLOOKUP(AO$3,$D$7:$P$336,$R282,FALSE)</f>
        <v>#N/A</v>
      </c>
      <c r="AP282" s="60" t="e">
        <f>100+HLOOKUP(AP$4,$D$7:$P$336,$R282,FALSE)-HLOOKUP(AP$3,$D$7:$P$336,$R282,FALSE)</f>
        <v>#N/A</v>
      </c>
      <c r="AQ282" s="60" t="e">
        <f>100+HLOOKUP(AQ$4,$D$7:$P$336,$R282,FALSE)-HLOOKUP(AQ$3,$D$7:$P$336,$R282,FALSE)</f>
        <v>#N/A</v>
      </c>
      <c r="AV282" s="60">
        <f ca="1">AV$5-S282</f>
        <v>21.190399426796432</v>
      </c>
      <c r="AW282" s="60">
        <f ca="1">AW$5-T282</f>
        <v>14.220650529757748</v>
      </c>
      <c r="AX282" s="60">
        <f ca="1">AX$5-U282</f>
        <v>21.775915403668051</v>
      </c>
      <c r="AY282" s="60">
        <f ca="1">AY$5-V282</f>
        <v>9.6030144015278012</v>
      </c>
      <c r="AZ282" s="60">
        <f ca="1">AZ$5-W282</f>
        <v>17.45448217259603</v>
      </c>
      <c r="BA282" s="60">
        <f ca="1">BA$5-X282</f>
        <v>16.465059058982703</v>
      </c>
      <c r="BB282" s="60">
        <f ca="1">BB$5-Y282</f>
        <v>13.350592727381127</v>
      </c>
      <c r="BC282" s="60">
        <f ca="1">BC$5-Z282</f>
        <v>27.437465909882164</v>
      </c>
      <c r="BD282" s="60">
        <f ca="1">BD$5-AA282</f>
        <v>13.936518664382362</v>
      </c>
      <c r="BE282" s="60">
        <f ca="1">BE$5-AB282</f>
        <v>11.829390591992194</v>
      </c>
      <c r="BF282" s="60">
        <f ca="1">BF$5-AC282</f>
        <v>-9.9826956835229197</v>
      </c>
      <c r="BG282" s="60">
        <f ca="1">BG$5-AD282</f>
        <v>-10.014741294981491</v>
      </c>
      <c r="BH282" s="60">
        <f ca="1">BH$5-AE282</f>
        <v>-18.045407769632433</v>
      </c>
      <c r="BI282" s="60">
        <f ca="1">BI$5-AF282</f>
        <v>-21.391494488745195</v>
      </c>
      <c r="BJ282" s="60">
        <f ca="1">BJ$5-AG282</f>
        <v>7.43955105767877</v>
      </c>
      <c r="BK282" s="60" t="e">
        <f>BK$5-AH282</f>
        <v>#N/A</v>
      </c>
      <c r="BL282" s="60" t="e">
        <f>BL$5-AI282</f>
        <v>#N/A</v>
      </c>
      <c r="BM282" s="60" t="e">
        <f>BM$5-AJ282</f>
        <v>#N/A</v>
      </c>
      <c r="BN282" s="60" t="e">
        <f>BN$5-AK282</f>
        <v>#N/A</v>
      </c>
      <c r="BO282" s="60" t="e">
        <f>BO$5-AL282</f>
        <v>#N/A</v>
      </c>
      <c r="BP282" s="60" t="e">
        <f>BP$5-AM282</f>
        <v>#N/A</v>
      </c>
      <c r="BQ282" s="60" t="e">
        <f>BQ$5-AN282</f>
        <v>#N/A</v>
      </c>
      <c r="BR282" s="60" t="e">
        <f>BR$5-AO282</f>
        <v>#N/A</v>
      </c>
      <c r="BS282" s="60" t="e">
        <f>BS$5-AP282</f>
        <v>#N/A</v>
      </c>
      <c r="BT282" s="60" t="e">
        <f>BT$5-AQ282</f>
        <v>#N/A</v>
      </c>
      <c r="BV282" s="60" cm="1">
        <f t="array" aca="1" ref="BV282" ca="1">SQRT(SUMSQ(_xlfn._xlws.FILTER(AV282:BT282,ISNUMBER(AV282:BT282)))/COUNT(_xlfn._xlws.FILTER(AV282:BT282,ISNUMBER(AV282:BT282))))</f>
        <v>16.527085394644157</v>
      </c>
    </row>
    <row r="283" spans="3:74" x14ac:dyDescent="0.2">
      <c r="C283" s="60" t="s">
        <v>414</v>
      </c>
      <c r="D283" s="60">
        <v>0</v>
      </c>
      <c r="E283" s="60">
        <v>2</v>
      </c>
      <c r="F283" s="60">
        <v>3</v>
      </c>
      <c r="G283" s="60">
        <v>25</v>
      </c>
      <c r="H283" s="60">
        <v>27</v>
      </c>
      <c r="I283" s="60">
        <v>29</v>
      </c>
      <c r="J283" s="60">
        <v>9</v>
      </c>
      <c r="K283" s="60">
        <v>11</v>
      </c>
      <c r="L283" s="60">
        <v>13</v>
      </c>
      <c r="M283" s="60">
        <v>15</v>
      </c>
      <c r="N283" s="60">
        <v>17</v>
      </c>
      <c r="O283" s="60">
        <v>-2</v>
      </c>
      <c r="P283" s="60">
        <v>0</v>
      </c>
      <c r="R283" s="61">
        <f>(ROW(R283)-ROW($C$6))</f>
        <v>277</v>
      </c>
      <c r="S283" s="60">
        <f ca="1">100+HLOOKUP(S$4,$D$7:$P$336,$R283,FALSE)-HLOOKUP(S$3,$D$7:$P$336,$R283,FALSE)</f>
        <v>112</v>
      </c>
      <c r="T283" s="60">
        <f ca="1">100+HLOOKUP(T$4,$D$7:$P$336,$R283,FALSE)-HLOOKUP(T$3,$D$7:$P$336,$R283,FALSE)</f>
        <v>111</v>
      </c>
      <c r="U283" s="60">
        <f ca="1">100+HLOOKUP(U$4,$D$7:$P$336,$R283,FALSE)-HLOOKUP(U$3,$D$7:$P$336,$R283,FALSE)</f>
        <v>111</v>
      </c>
      <c r="V283" s="60">
        <f ca="1">100+HLOOKUP(V$4,$D$7:$P$336,$R283,FALSE)-HLOOKUP(V$3,$D$7:$P$336,$R283,FALSE)</f>
        <v>112</v>
      </c>
      <c r="W283" s="60">
        <f ca="1">100+HLOOKUP(W$4,$D$7:$P$336,$R283,FALSE)-HLOOKUP(W$3,$D$7:$P$336,$R283,FALSE)</f>
        <v>111</v>
      </c>
      <c r="X283" s="60">
        <f ca="1">100+HLOOKUP(X$4,$D$7:$P$336,$R283,FALSE)-HLOOKUP(X$3,$D$7:$P$336,$R283,FALSE)</f>
        <v>112</v>
      </c>
      <c r="Y283" s="60">
        <f ca="1">100+HLOOKUP(Y$4,$D$7:$P$336,$R283,FALSE)-HLOOKUP(Y$3,$D$7:$P$336,$R283,FALSE)</f>
        <v>111</v>
      </c>
      <c r="Z283" s="60">
        <f ca="1">100+HLOOKUP(Z$4,$D$7:$P$336,$R283,FALSE)-HLOOKUP(Z$3,$D$7:$P$336,$R283,FALSE)</f>
        <v>111</v>
      </c>
      <c r="AA283" s="60">
        <f ca="1">100+HLOOKUP(AA$4,$D$7:$P$336,$R283,FALSE)-HLOOKUP(AA$3,$D$7:$P$336,$R283,FALSE)</f>
        <v>112</v>
      </c>
      <c r="AB283" s="60">
        <f ca="1">100+HLOOKUP(AB$4,$D$7:$P$336,$R283,FALSE)-HLOOKUP(AB$3,$D$7:$P$336,$R283,FALSE)</f>
        <v>111</v>
      </c>
      <c r="AC283" s="60">
        <f ca="1">100+HLOOKUP(AC$4,$D$7:$P$336,$R283,FALSE)-HLOOKUP(AC$3,$D$7:$P$336,$R283,FALSE)</f>
        <v>112</v>
      </c>
      <c r="AD283" s="60">
        <f ca="1">100+HLOOKUP(AD$4,$D$7:$P$336,$R283,FALSE)-HLOOKUP(AD$3,$D$7:$P$336,$R283,FALSE)</f>
        <v>71</v>
      </c>
      <c r="AE283" s="60">
        <f ca="1">100+HLOOKUP(AE$4,$D$7:$P$336,$R283,FALSE)-HLOOKUP(AE$3,$D$7:$P$336,$R283,FALSE)</f>
        <v>93</v>
      </c>
      <c r="AF283" s="60">
        <f ca="1">100+HLOOKUP(AF$4,$D$7:$P$336,$R283,FALSE)-HLOOKUP(AF$3,$D$7:$P$336,$R283,FALSE)</f>
        <v>112</v>
      </c>
      <c r="AG283" s="60">
        <f ca="1">100+HLOOKUP(AG$4,$D$7:$P$336,$R283,FALSE)-HLOOKUP(AG$3,$D$7:$P$336,$R283,FALSE)</f>
        <v>112</v>
      </c>
      <c r="AH283" s="60" t="e">
        <f>100+HLOOKUP(AH$4,$D$7:$P$336,$R283,FALSE)-HLOOKUP(AH$3,$D$7:$P$336,$R283,FALSE)</f>
        <v>#N/A</v>
      </c>
      <c r="AI283" s="60" t="e">
        <f>100+HLOOKUP(AI$4,$D$7:$P$336,$R283,FALSE)-HLOOKUP(AI$3,$D$7:$P$336,$R283,FALSE)</f>
        <v>#N/A</v>
      </c>
      <c r="AJ283" s="60" t="e">
        <f>100+HLOOKUP(AJ$4,$D$7:$P$336,$R283,FALSE)-HLOOKUP(AJ$3,$D$7:$P$336,$R283,FALSE)</f>
        <v>#N/A</v>
      </c>
      <c r="AK283" s="60" t="e">
        <f>100+HLOOKUP(AK$4,$D$7:$P$336,$R283,FALSE)-HLOOKUP(AK$3,$D$7:$P$336,$R283,FALSE)</f>
        <v>#N/A</v>
      </c>
      <c r="AL283" s="60" t="e">
        <f>100+HLOOKUP(AL$4,$D$7:$P$336,$R283,FALSE)-HLOOKUP(AL$3,$D$7:$P$336,$R283,FALSE)</f>
        <v>#N/A</v>
      </c>
      <c r="AM283" s="60" t="e">
        <f>100+HLOOKUP(AM$4,$D$7:$P$336,$R283,FALSE)-HLOOKUP(AM$3,$D$7:$P$336,$R283,FALSE)</f>
        <v>#N/A</v>
      </c>
      <c r="AN283" s="60" t="e">
        <f>100+HLOOKUP(AN$4,$D$7:$P$336,$R283,FALSE)-HLOOKUP(AN$3,$D$7:$P$336,$R283,FALSE)</f>
        <v>#N/A</v>
      </c>
      <c r="AO283" s="60" t="e">
        <f>100+HLOOKUP(AO$4,$D$7:$P$336,$R283,FALSE)-HLOOKUP(AO$3,$D$7:$P$336,$R283,FALSE)</f>
        <v>#N/A</v>
      </c>
      <c r="AP283" s="60" t="e">
        <f>100+HLOOKUP(AP$4,$D$7:$P$336,$R283,FALSE)-HLOOKUP(AP$3,$D$7:$P$336,$R283,FALSE)</f>
        <v>#N/A</v>
      </c>
      <c r="AQ283" s="60" t="e">
        <f>100+HLOOKUP(AQ$4,$D$7:$P$336,$R283,FALSE)-HLOOKUP(AQ$3,$D$7:$P$336,$R283,FALSE)</f>
        <v>#N/A</v>
      </c>
      <c r="AV283" s="60">
        <f ca="1">AV$5-S283</f>
        <v>-8.8096005732035678</v>
      </c>
      <c r="AW283" s="60">
        <f ca="1">AW$5-T283</f>
        <v>-16.779349470242252</v>
      </c>
      <c r="AX283" s="60">
        <f ca="1">AX$5-U283</f>
        <v>-9.2240845963319487</v>
      </c>
      <c r="AY283" s="60">
        <f ca="1">AY$5-V283</f>
        <v>-18.396985598472199</v>
      </c>
      <c r="AZ283" s="60">
        <f ca="1">AZ$5-W283</f>
        <v>-13.54551782740397</v>
      </c>
      <c r="BA283" s="60">
        <f ca="1">BA$5-X283</f>
        <v>-13.534940941017297</v>
      </c>
      <c r="BB283" s="60">
        <f ca="1">BB$5-Y283</f>
        <v>-17.649407272618873</v>
      </c>
      <c r="BC283" s="60">
        <f ca="1">BC$5-Z283</f>
        <v>-3.5625340901178362</v>
      </c>
      <c r="BD283" s="60">
        <f ca="1">BD$5-AA283</f>
        <v>-14.063481335617638</v>
      </c>
      <c r="BE283" s="60">
        <f ca="1">BE$5-AB283</f>
        <v>-19.170609408007806</v>
      </c>
      <c r="BF283" s="60">
        <f ca="1">BF$5-AC283</f>
        <v>-10.98269568352292</v>
      </c>
      <c r="BG283" s="60">
        <f ca="1">BG$5-AD283</f>
        <v>32.985258705018509</v>
      </c>
      <c r="BH283" s="60">
        <f ca="1">BH$5-AE283</f>
        <v>5.9545922303675667</v>
      </c>
      <c r="BI283" s="60">
        <f ca="1">BI$5-AF283</f>
        <v>-21.391494488745195</v>
      </c>
      <c r="BJ283" s="60">
        <f ca="1">BJ$5-AG283</f>
        <v>-20.56044894232123</v>
      </c>
      <c r="BK283" s="60" t="e">
        <f>BK$5-AH283</f>
        <v>#N/A</v>
      </c>
      <c r="BL283" s="60" t="e">
        <f>BL$5-AI283</f>
        <v>#N/A</v>
      </c>
      <c r="BM283" s="60" t="e">
        <f>BM$5-AJ283</f>
        <v>#N/A</v>
      </c>
      <c r="BN283" s="60" t="e">
        <f>BN$5-AK283</f>
        <v>#N/A</v>
      </c>
      <c r="BO283" s="60" t="e">
        <f>BO$5-AL283</f>
        <v>#N/A</v>
      </c>
      <c r="BP283" s="60" t="e">
        <f>BP$5-AM283</f>
        <v>#N/A</v>
      </c>
      <c r="BQ283" s="60" t="e">
        <f>BQ$5-AN283</f>
        <v>#N/A</v>
      </c>
      <c r="BR283" s="60" t="e">
        <f>BR$5-AO283</f>
        <v>#N/A</v>
      </c>
      <c r="BS283" s="60" t="e">
        <f>BS$5-AP283</f>
        <v>#N/A</v>
      </c>
      <c r="BT283" s="60" t="e">
        <f>BT$5-AQ283</f>
        <v>#N/A</v>
      </c>
      <c r="BV283" s="60" cm="1">
        <f t="array" aca="1" ref="BV283" ca="1">SQRT(SUMSQ(_xlfn._xlws.FILTER(AV283:BT283,ISNUMBER(AV283:BT283)))/COUNT(_xlfn._xlws.FILTER(AV283:BT283,ISNUMBER(AV283:BT283))))</f>
        <v>16.65989853276276</v>
      </c>
    </row>
    <row r="284" spans="3:74" x14ac:dyDescent="0.2">
      <c r="C284" s="60" t="s">
        <v>341</v>
      </c>
      <c r="D284" s="60">
        <v>0</v>
      </c>
      <c r="E284" s="60">
        <v>-3</v>
      </c>
      <c r="F284" s="60">
        <v>-5</v>
      </c>
      <c r="G284" s="60">
        <v>-8</v>
      </c>
      <c r="H284" s="60">
        <v>-11</v>
      </c>
      <c r="I284" s="60">
        <v>-14</v>
      </c>
      <c r="J284" s="60">
        <v>-16</v>
      </c>
      <c r="K284" s="60">
        <v>-19</v>
      </c>
      <c r="L284" s="60">
        <v>-22</v>
      </c>
      <c r="M284" s="60">
        <v>8</v>
      </c>
      <c r="N284" s="60">
        <v>5</v>
      </c>
      <c r="O284" s="60">
        <v>3</v>
      </c>
      <c r="P284" s="60">
        <v>0</v>
      </c>
      <c r="R284" s="61">
        <f>(ROW(R284)-ROW($C$6))</f>
        <v>278</v>
      </c>
      <c r="S284" s="60">
        <f ca="1">100+HLOOKUP(S$4,$D$7:$P$336,$R284,FALSE)-HLOOKUP(S$3,$D$7:$P$336,$R284,FALSE)</f>
        <v>81</v>
      </c>
      <c r="T284" s="60">
        <f ca="1">100+HLOOKUP(T$4,$D$7:$P$336,$R284,FALSE)-HLOOKUP(T$3,$D$7:$P$336,$R284,FALSE)</f>
        <v>81</v>
      </c>
      <c r="U284" s="60">
        <f ca="1">100+HLOOKUP(U$4,$D$7:$P$336,$R284,FALSE)-HLOOKUP(U$3,$D$7:$P$336,$R284,FALSE)</f>
        <v>81</v>
      </c>
      <c r="V284" s="60">
        <f ca="1">100+HLOOKUP(V$4,$D$7:$P$336,$R284,FALSE)-HLOOKUP(V$3,$D$7:$P$336,$R284,FALSE)</f>
        <v>81</v>
      </c>
      <c r="W284" s="60">
        <f ca="1">100+HLOOKUP(W$4,$D$7:$P$336,$R284,FALSE)-HLOOKUP(W$3,$D$7:$P$336,$R284,FALSE)</f>
        <v>81</v>
      </c>
      <c r="X284" s="60">
        <f ca="1">100+HLOOKUP(X$4,$D$7:$P$336,$R284,FALSE)-HLOOKUP(X$3,$D$7:$P$336,$R284,FALSE)</f>
        <v>81</v>
      </c>
      <c r="Y284" s="60">
        <f ca="1">100+HLOOKUP(Y$4,$D$7:$P$336,$R284,FALSE)-HLOOKUP(Y$3,$D$7:$P$336,$R284,FALSE)</f>
        <v>81</v>
      </c>
      <c r="Z284" s="60">
        <f ca="1">100+HLOOKUP(Z$4,$D$7:$P$336,$R284,FALSE)-HLOOKUP(Z$3,$D$7:$P$336,$R284,FALSE)</f>
        <v>81</v>
      </c>
      <c r="AA284" s="60">
        <f ca="1">100+HLOOKUP(AA$4,$D$7:$P$336,$R284,FALSE)-HLOOKUP(AA$3,$D$7:$P$336,$R284,FALSE)</f>
        <v>81</v>
      </c>
      <c r="AB284" s="60">
        <f ca="1">100+HLOOKUP(AB$4,$D$7:$P$336,$R284,FALSE)-HLOOKUP(AB$3,$D$7:$P$336,$R284,FALSE)</f>
        <v>81</v>
      </c>
      <c r="AC284" s="60">
        <f ca="1">100+HLOOKUP(AC$4,$D$7:$P$336,$R284,FALSE)-HLOOKUP(AC$3,$D$7:$P$336,$R284,FALSE)</f>
        <v>113</v>
      </c>
      <c r="AD284" s="60">
        <f ca="1">100+HLOOKUP(AD$4,$D$7:$P$336,$R284,FALSE)-HLOOKUP(AD$3,$D$7:$P$336,$R284,FALSE)</f>
        <v>114</v>
      </c>
      <c r="AE284" s="60">
        <f ca="1">100+HLOOKUP(AE$4,$D$7:$P$336,$R284,FALSE)-HLOOKUP(AE$3,$D$7:$P$336,$R284,FALSE)</f>
        <v>113</v>
      </c>
      <c r="AF284" s="60">
        <f ca="1">100+HLOOKUP(AF$4,$D$7:$P$336,$R284,FALSE)-HLOOKUP(AF$3,$D$7:$P$336,$R284,FALSE)</f>
        <v>114</v>
      </c>
      <c r="AG284" s="60">
        <f ca="1">100+HLOOKUP(AG$4,$D$7:$P$336,$R284,FALSE)-HLOOKUP(AG$3,$D$7:$P$336,$R284,FALSE)</f>
        <v>81</v>
      </c>
      <c r="AH284" s="60" t="e">
        <f>100+HLOOKUP(AH$4,$D$7:$P$336,$R284,FALSE)-HLOOKUP(AH$3,$D$7:$P$336,$R284,FALSE)</f>
        <v>#N/A</v>
      </c>
      <c r="AI284" s="60" t="e">
        <f>100+HLOOKUP(AI$4,$D$7:$P$336,$R284,FALSE)-HLOOKUP(AI$3,$D$7:$P$336,$R284,FALSE)</f>
        <v>#N/A</v>
      </c>
      <c r="AJ284" s="60" t="e">
        <f>100+HLOOKUP(AJ$4,$D$7:$P$336,$R284,FALSE)-HLOOKUP(AJ$3,$D$7:$P$336,$R284,FALSE)</f>
        <v>#N/A</v>
      </c>
      <c r="AK284" s="60" t="e">
        <f>100+HLOOKUP(AK$4,$D$7:$P$336,$R284,FALSE)-HLOOKUP(AK$3,$D$7:$P$336,$R284,FALSE)</f>
        <v>#N/A</v>
      </c>
      <c r="AL284" s="60" t="e">
        <f>100+HLOOKUP(AL$4,$D$7:$P$336,$R284,FALSE)-HLOOKUP(AL$3,$D$7:$P$336,$R284,FALSE)</f>
        <v>#N/A</v>
      </c>
      <c r="AM284" s="60" t="e">
        <f>100+HLOOKUP(AM$4,$D$7:$P$336,$R284,FALSE)-HLOOKUP(AM$3,$D$7:$P$336,$R284,FALSE)</f>
        <v>#N/A</v>
      </c>
      <c r="AN284" s="60" t="e">
        <f>100+HLOOKUP(AN$4,$D$7:$P$336,$R284,FALSE)-HLOOKUP(AN$3,$D$7:$P$336,$R284,FALSE)</f>
        <v>#N/A</v>
      </c>
      <c r="AO284" s="60" t="e">
        <f>100+HLOOKUP(AO$4,$D$7:$P$336,$R284,FALSE)-HLOOKUP(AO$3,$D$7:$P$336,$R284,FALSE)</f>
        <v>#N/A</v>
      </c>
      <c r="AP284" s="60" t="e">
        <f>100+HLOOKUP(AP$4,$D$7:$P$336,$R284,FALSE)-HLOOKUP(AP$3,$D$7:$P$336,$R284,FALSE)</f>
        <v>#N/A</v>
      </c>
      <c r="AQ284" s="60" t="e">
        <f>100+HLOOKUP(AQ$4,$D$7:$P$336,$R284,FALSE)-HLOOKUP(AQ$3,$D$7:$P$336,$R284,FALSE)</f>
        <v>#N/A</v>
      </c>
      <c r="AV284" s="60">
        <f ca="1">AV$5-S284</f>
        <v>22.190399426796432</v>
      </c>
      <c r="AW284" s="60">
        <f ca="1">AW$5-T284</f>
        <v>13.220650529757748</v>
      </c>
      <c r="AX284" s="60">
        <f ca="1">AX$5-U284</f>
        <v>20.775915403668051</v>
      </c>
      <c r="AY284" s="60">
        <f ca="1">AY$5-V284</f>
        <v>12.603014401527801</v>
      </c>
      <c r="AZ284" s="60">
        <f ca="1">AZ$5-W284</f>
        <v>16.45448217259603</v>
      </c>
      <c r="BA284" s="60">
        <f ca="1">BA$5-X284</f>
        <v>17.465059058982703</v>
      </c>
      <c r="BB284" s="60">
        <f ca="1">BB$5-Y284</f>
        <v>12.350592727381127</v>
      </c>
      <c r="BC284" s="60">
        <f ca="1">BC$5-Z284</f>
        <v>26.437465909882164</v>
      </c>
      <c r="BD284" s="60">
        <f ca="1">BD$5-AA284</f>
        <v>16.936518664382362</v>
      </c>
      <c r="BE284" s="60">
        <f ca="1">BE$5-AB284</f>
        <v>10.829390591992194</v>
      </c>
      <c r="BF284" s="60">
        <f ca="1">BF$5-AC284</f>
        <v>-11.98269568352292</v>
      </c>
      <c r="BG284" s="60">
        <f ca="1">BG$5-AD284</f>
        <v>-10.014741294981491</v>
      </c>
      <c r="BH284" s="60">
        <f ca="1">BH$5-AE284</f>
        <v>-14.045407769632433</v>
      </c>
      <c r="BI284" s="60">
        <f ca="1">BI$5-AF284</f>
        <v>-23.391494488745195</v>
      </c>
      <c r="BJ284" s="60">
        <f ca="1">BJ$5-AG284</f>
        <v>10.43955105767877</v>
      </c>
      <c r="BK284" s="60" t="e">
        <f>BK$5-AH284</f>
        <v>#N/A</v>
      </c>
      <c r="BL284" s="60" t="e">
        <f>BL$5-AI284</f>
        <v>#N/A</v>
      </c>
      <c r="BM284" s="60" t="e">
        <f>BM$5-AJ284</f>
        <v>#N/A</v>
      </c>
      <c r="BN284" s="60" t="e">
        <f>BN$5-AK284</f>
        <v>#N/A</v>
      </c>
      <c r="BO284" s="60" t="e">
        <f>BO$5-AL284</f>
        <v>#N/A</v>
      </c>
      <c r="BP284" s="60" t="e">
        <f>BP$5-AM284</f>
        <v>#N/A</v>
      </c>
      <c r="BQ284" s="60" t="e">
        <f>BQ$5-AN284</f>
        <v>#N/A</v>
      </c>
      <c r="BR284" s="60" t="e">
        <f>BR$5-AO284</f>
        <v>#N/A</v>
      </c>
      <c r="BS284" s="60" t="e">
        <f>BS$5-AP284</f>
        <v>#N/A</v>
      </c>
      <c r="BT284" s="60" t="e">
        <f>BT$5-AQ284</f>
        <v>#N/A</v>
      </c>
      <c r="BV284" s="60" cm="1">
        <f t="array" aca="1" ref="BV284" ca="1">SQRT(SUMSQ(_xlfn._xlws.FILTER(AV284:BT284,ISNUMBER(AV284:BT284)))/COUNT(_xlfn._xlws.FILTER(AV284:BT284,ISNUMBER(AV284:BT284))))</f>
        <v>16.705987350253505</v>
      </c>
    </row>
    <row r="285" spans="3:74" x14ac:dyDescent="0.2">
      <c r="C285" s="60" t="s">
        <v>398</v>
      </c>
      <c r="D285" s="60">
        <v>0</v>
      </c>
      <c r="E285" s="60">
        <v>-3</v>
      </c>
      <c r="F285" s="60">
        <v>-5</v>
      </c>
      <c r="G285" s="60">
        <v>-8</v>
      </c>
      <c r="H285" s="60">
        <v>-11</v>
      </c>
      <c r="I285" s="60">
        <v>-14</v>
      </c>
      <c r="J285" s="60">
        <v>-16</v>
      </c>
      <c r="K285" s="60">
        <v>-19</v>
      </c>
      <c r="L285" s="60">
        <v>-22</v>
      </c>
      <c r="M285" s="60">
        <v>8</v>
      </c>
      <c r="N285" s="60">
        <v>5</v>
      </c>
      <c r="O285" s="60">
        <v>3</v>
      </c>
      <c r="P285" s="60">
        <v>0</v>
      </c>
      <c r="R285" s="61">
        <f>(ROW(R285)-ROW($C$6))</f>
        <v>279</v>
      </c>
      <c r="S285" s="60">
        <f ca="1">100+HLOOKUP(S$4,$D$7:$P$336,$R285,FALSE)-HLOOKUP(S$3,$D$7:$P$336,$R285,FALSE)</f>
        <v>81</v>
      </c>
      <c r="T285" s="60">
        <f ca="1">100+HLOOKUP(T$4,$D$7:$P$336,$R285,FALSE)-HLOOKUP(T$3,$D$7:$P$336,$R285,FALSE)</f>
        <v>81</v>
      </c>
      <c r="U285" s="60">
        <f ca="1">100+HLOOKUP(U$4,$D$7:$P$336,$R285,FALSE)-HLOOKUP(U$3,$D$7:$P$336,$R285,FALSE)</f>
        <v>81</v>
      </c>
      <c r="V285" s="60">
        <f ca="1">100+HLOOKUP(V$4,$D$7:$P$336,$R285,FALSE)-HLOOKUP(V$3,$D$7:$P$336,$R285,FALSE)</f>
        <v>81</v>
      </c>
      <c r="W285" s="60">
        <f ca="1">100+HLOOKUP(W$4,$D$7:$P$336,$R285,FALSE)-HLOOKUP(W$3,$D$7:$P$336,$R285,FALSE)</f>
        <v>81</v>
      </c>
      <c r="X285" s="60">
        <f ca="1">100+HLOOKUP(X$4,$D$7:$P$336,$R285,FALSE)-HLOOKUP(X$3,$D$7:$P$336,$R285,FALSE)</f>
        <v>81</v>
      </c>
      <c r="Y285" s="60">
        <f ca="1">100+HLOOKUP(Y$4,$D$7:$P$336,$R285,FALSE)-HLOOKUP(Y$3,$D$7:$P$336,$R285,FALSE)</f>
        <v>81</v>
      </c>
      <c r="Z285" s="60">
        <f ca="1">100+HLOOKUP(Z$4,$D$7:$P$336,$R285,FALSE)-HLOOKUP(Z$3,$D$7:$P$336,$R285,FALSE)</f>
        <v>81</v>
      </c>
      <c r="AA285" s="60">
        <f ca="1">100+HLOOKUP(AA$4,$D$7:$P$336,$R285,FALSE)-HLOOKUP(AA$3,$D$7:$P$336,$R285,FALSE)</f>
        <v>81</v>
      </c>
      <c r="AB285" s="60">
        <f ca="1">100+HLOOKUP(AB$4,$D$7:$P$336,$R285,FALSE)-HLOOKUP(AB$3,$D$7:$P$336,$R285,FALSE)</f>
        <v>81</v>
      </c>
      <c r="AC285" s="60">
        <f ca="1">100+HLOOKUP(AC$4,$D$7:$P$336,$R285,FALSE)-HLOOKUP(AC$3,$D$7:$P$336,$R285,FALSE)</f>
        <v>113</v>
      </c>
      <c r="AD285" s="60">
        <f ca="1">100+HLOOKUP(AD$4,$D$7:$P$336,$R285,FALSE)-HLOOKUP(AD$3,$D$7:$P$336,$R285,FALSE)</f>
        <v>114</v>
      </c>
      <c r="AE285" s="60">
        <f ca="1">100+HLOOKUP(AE$4,$D$7:$P$336,$R285,FALSE)-HLOOKUP(AE$3,$D$7:$P$336,$R285,FALSE)</f>
        <v>113</v>
      </c>
      <c r="AF285" s="60">
        <f ca="1">100+HLOOKUP(AF$4,$D$7:$P$336,$R285,FALSE)-HLOOKUP(AF$3,$D$7:$P$336,$R285,FALSE)</f>
        <v>114</v>
      </c>
      <c r="AG285" s="60">
        <f ca="1">100+HLOOKUP(AG$4,$D$7:$P$336,$R285,FALSE)-HLOOKUP(AG$3,$D$7:$P$336,$R285,FALSE)</f>
        <v>81</v>
      </c>
      <c r="AH285" s="60" t="e">
        <f>100+HLOOKUP(AH$4,$D$7:$P$336,$R285,FALSE)-HLOOKUP(AH$3,$D$7:$P$336,$R285,FALSE)</f>
        <v>#N/A</v>
      </c>
      <c r="AI285" s="60" t="e">
        <f>100+HLOOKUP(AI$4,$D$7:$P$336,$R285,FALSE)-HLOOKUP(AI$3,$D$7:$P$336,$R285,FALSE)</f>
        <v>#N/A</v>
      </c>
      <c r="AJ285" s="60" t="e">
        <f>100+HLOOKUP(AJ$4,$D$7:$P$336,$R285,FALSE)-HLOOKUP(AJ$3,$D$7:$P$336,$R285,FALSE)</f>
        <v>#N/A</v>
      </c>
      <c r="AK285" s="60" t="e">
        <f>100+HLOOKUP(AK$4,$D$7:$P$336,$R285,FALSE)-HLOOKUP(AK$3,$D$7:$P$336,$R285,FALSE)</f>
        <v>#N/A</v>
      </c>
      <c r="AL285" s="60" t="e">
        <f>100+HLOOKUP(AL$4,$D$7:$P$336,$R285,FALSE)-HLOOKUP(AL$3,$D$7:$P$336,$R285,FALSE)</f>
        <v>#N/A</v>
      </c>
      <c r="AM285" s="60" t="e">
        <f>100+HLOOKUP(AM$4,$D$7:$P$336,$R285,FALSE)-HLOOKUP(AM$3,$D$7:$P$336,$R285,FALSE)</f>
        <v>#N/A</v>
      </c>
      <c r="AN285" s="60" t="e">
        <f>100+HLOOKUP(AN$4,$D$7:$P$336,$R285,FALSE)-HLOOKUP(AN$3,$D$7:$P$336,$R285,FALSE)</f>
        <v>#N/A</v>
      </c>
      <c r="AO285" s="60" t="e">
        <f>100+HLOOKUP(AO$4,$D$7:$P$336,$R285,FALSE)-HLOOKUP(AO$3,$D$7:$P$336,$R285,FALSE)</f>
        <v>#N/A</v>
      </c>
      <c r="AP285" s="60" t="e">
        <f>100+HLOOKUP(AP$4,$D$7:$P$336,$R285,FALSE)-HLOOKUP(AP$3,$D$7:$P$336,$R285,FALSE)</f>
        <v>#N/A</v>
      </c>
      <c r="AQ285" s="60" t="e">
        <f>100+HLOOKUP(AQ$4,$D$7:$P$336,$R285,FALSE)-HLOOKUP(AQ$3,$D$7:$P$336,$R285,FALSE)</f>
        <v>#N/A</v>
      </c>
      <c r="AV285" s="60">
        <f ca="1">AV$5-S285</f>
        <v>22.190399426796432</v>
      </c>
      <c r="AW285" s="60">
        <f ca="1">AW$5-T285</f>
        <v>13.220650529757748</v>
      </c>
      <c r="AX285" s="60">
        <f ca="1">AX$5-U285</f>
        <v>20.775915403668051</v>
      </c>
      <c r="AY285" s="60">
        <f ca="1">AY$5-V285</f>
        <v>12.603014401527801</v>
      </c>
      <c r="AZ285" s="60">
        <f ca="1">AZ$5-W285</f>
        <v>16.45448217259603</v>
      </c>
      <c r="BA285" s="60">
        <f ca="1">BA$5-X285</f>
        <v>17.465059058982703</v>
      </c>
      <c r="BB285" s="60">
        <f ca="1">BB$5-Y285</f>
        <v>12.350592727381127</v>
      </c>
      <c r="BC285" s="60">
        <f ca="1">BC$5-Z285</f>
        <v>26.437465909882164</v>
      </c>
      <c r="BD285" s="60">
        <f ca="1">BD$5-AA285</f>
        <v>16.936518664382362</v>
      </c>
      <c r="BE285" s="60">
        <f ca="1">BE$5-AB285</f>
        <v>10.829390591992194</v>
      </c>
      <c r="BF285" s="60">
        <f ca="1">BF$5-AC285</f>
        <v>-11.98269568352292</v>
      </c>
      <c r="BG285" s="60">
        <f ca="1">BG$5-AD285</f>
        <v>-10.014741294981491</v>
      </c>
      <c r="BH285" s="60">
        <f ca="1">BH$5-AE285</f>
        <v>-14.045407769632433</v>
      </c>
      <c r="BI285" s="60">
        <f ca="1">BI$5-AF285</f>
        <v>-23.391494488745195</v>
      </c>
      <c r="BJ285" s="60">
        <f ca="1">BJ$5-AG285</f>
        <v>10.43955105767877</v>
      </c>
      <c r="BK285" s="60" t="e">
        <f>BK$5-AH285</f>
        <v>#N/A</v>
      </c>
      <c r="BL285" s="60" t="e">
        <f>BL$5-AI285</f>
        <v>#N/A</v>
      </c>
      <c r="BM285" s="60" t="e">
        <f>BM$5-AJ285</f>
        <v>#N/A</v>
      </c>
      <c r="BN285" s="60" t="e">
        <f>BN$5-AK285</f>
        <v>#N/A</v>
      </c>
      <c r="BO285" s="60" t="e">
        <f>BO$5-AL285</f>
        <v>#N/A</v>
      </c>
      <c r="BP285" s="60" t="e">
        <f>BP$5-AM285</f>
        <v>#N/A</v>
      </c>
      <c r="BQ285" s="60" t="e">
        <f>BQ$5-AN285</f>
        <v>#N/A</v>
      </c>
      <c r="BR285" s="60" t="e">
        <f>BR$5-AO285</f>
        <v>#N/A</v>
      </c>
      <c r="BS285" s="60" t="e">
        <f>BS$5-AP285</f>
        <v>#N/A</v>
      </c>
      <c r="BT285" s="60" t="e">
        <f>BT$5-AQ285</f>
        <v>#N/A</v>
      </c>
      <c r="BV285" s="60" cm="1">
        <f t="array" aca="1" ref="BV285" ca="1">SQRT(SUMSQ(_xlfn._xlws.FILTER(AV285:BT285,ISNUMBER(AV285:BT285)))/COUNT(_xlfn._xlws.FILTER(AV285:BT285,ISNUMBER(AV285:BT285))))</f>
        <v>16.705987350253505</v>
      </c>
    </row>
    <row r="286" spans="3:74" x14ac:dyDescent="0.2">
      <c r="C286" s="60" t="s">
        <v>399</v>
      </c>
      <c r="D286" s="60">
        <v>0</v>
      </c>
      <c r="E286" s="60">
        <v>-2.72</v>
      </c>
      <c r="F286" s="60">
        <v>-5.4409999999999998</v>
      </c>
      <c r="G286" s="60">
        <v>-8.1609999999999996</v>
      </c>
      <c r="H286" s="60">
        <v>-10.881</v>
      </c>
      <c r="I286" s="60">
        <v>-13.601000000000001</v>
      </c>
      <c r="J286" s="60">
        <v>-16.321999999999999</v>
      </c>
      <c r="K286" s="60">
        <v>-19.042000000000002</v>
      </c>
      <c r="L286" s="60">
        <v>-21.762</v>
      </c>
      <c r="M286" s="60">
        <v>8.1609999999999996</v>
      </c>
      <c r="N286" s="60">
        <v>5.4409999999999998</v>
      </c>
      <c r="O286" s="60">
        <v>2.72</v>
      </c>
      <c r="P286" s="60">
        <v>0</v>
      </c>
      <c r="R286" s="61">
        <f>(ROW(R286)-ROW($C$6))</f>
        <v>280</v>
      </c>
      <c r="S286" s="60">
        <f ca="1">100+HLOOKUP(S$4,$D$7:$P$336,$R286,FALSE)-HLOOKUP(S$3,$D$7:$P$336,$R286,FALSE)</f>
        <v>80.957999999999998</v>
      </c>
      <c r="T286" s="60">
        <f ca="1">100+HLOOKUP(T$4,$D$7:$P$336,$R286,FALSE)-HLOOKUP(T$3,$D$7:$P$336,$R286,FALSE)</f>
        <v>80.957999999999998</v>
      </c>
      <c r="U286" s="60">
        <f ca="1">100+HLOOKUP(U$4,$D$7:$P$336,$R286,FALSE)-HLOOKUP(U$3,$D$7:$P$336,$R286,FALSE)</f>
        <v>80.957999999999998</v>
      </c>
      <c r="V286" s="60">
        <f ca="1">100+HLOOKUP(V$4,$D$7:$P$336,$R286,FALSE)-HLOOKUP(V$3,$D$7:$P$336,$R286,FALSE)</f>
        <v>80.957999999999998</v>
      </c>
      <c r="W286" s="60">
        <f ca="1">100+HLOOKUP(W$4,$D$7:$P$336,$R286,FALSE)-HLOOKUP(W$3,$D$7:$P$336,$R286,FALSE)</f>
        <v>80.957999999999998</v>
      </c>
      <c r="X286" s="60">
        <f ca="1">100+HLOOKUP(X$4,$D$7:$P$336,$R286,FALSE)-HLOOKUP(X$3,$D$7:$P$336,$R286,FALSE)</f>
        <v>80.957999999999998</v>
      </c>
      <c r="Y286" s="60">
        <f ca="1">100+HLOOKUP(Y$4,$D$7:$P$336,$R286,FALSE)-HLOOKUP(Y$3,$D$7:$P$336,$R286,FALSE)</f>
        <v>80.957999999999998</v>
      </c>
      <c r="Z286" s="60">
        <f ca="1">100+HLOOKUP(Z$4,$D$7:$P$336,$R286,FALSE)-HLOOKUP(Z$3,$D$7:$P$336,$R286,FALSE)</f>
        <v>80.957999999999998</v>
      </c>
      <c r="AA286" s="60">
        <f ca="1">100+HLOOKUP(AA$4,$D$7:$P$336,$R286,FALSE)-HLOOKUP(AA$3,$D$7:$P$336,$R286,FALSE)</f>
        <v>80.957999999999998</v>
      </c>
      <c r="AB286" s="60">
        <f ca="1">100+HLOOKUP(AB$4,$D$7:$P$336,$R286,FALSE)-HLOOKUP(AB$3,$D$7:$P$336,$R286,FALSE)</f>
        <v>80.957999999999998</v>
      </c>
      <c r="AC286" s="60">
        <f ca="1">100+HLOOKUP(AC$4,$D$7:$P$336,$R286,FALSE)-HLOOKUP(AC$3,$D$7:$P$336,$R286,FALSE)</f>
        <v>113.602</v>
      </c>
      <c r="AD286" s="60">
        <f ca="1">100+HLOOKUP(AD$4,$D$7:$P$336,$R286,FALSE)-HLOOKUP(AD$3,$D$7:$P$336,$R286,FALSE)</f>
        <v>113.601</v>
      </c>
      <c r="AE286" s="60">
        <f ca="1">100+HLOOKUP(AE$4,$D$7:$P$336,$R286,FALSE)-HLOOKUP(AE$3,$D$7:$P$336,$R286,FALSE)</f>
        <v>113.602</v>
      </c>
      <c r="AF286" s="60">
        <f ca="1">100+HLOOKUP(AF$4,$D$7:$P$336,$R286,FALSE)-HLOOKUP(AF$3,$D$7:$P$336,$R286,FALSE)</f>
        <v>113.601</v>
      </c>
      <c r="AG286" s="60">
        <f ca="1">100+HLOOKUP(AG$4,$D$7:$P$336,$R286,FALSE)-HLOOKUP(AG$3,$D$7:$P$336,$R286,FALSE)</f>
        <v>80.957999999999998</v>
      </c>
      <c r="AH286" s="60" t="e">
        <f>100+HLOOKUP(AH$4,$D$7:$P$336,$R286,FALSE)-HLOOKUP(AH$3,$D$7:$P$336,$R286,FALSE)</f>
        <v>#N/A</v>
      </c>
      <c r="AI286" s="60" t="e">
        <f>100+HLOOKUP(AI$4,$D$7:$P$336,$R286,FALSE)-HLOOKUP(AI$3,$D$7:$P$336,$R286,FALSE)</f>
        <v>#N/A</v>
      </c>
      <c r="AJ286" s="60" t="e">
        <f>100+HLOOKUP(AJ$4,$D$7:$P$336,$R286,FALSE)-HLOOKUP(AJ$3,$D$7:$P$336,$R286,FALSE)</f>
        <v>#N/A</v>
      </c>
      <c r="AK286" s="60" t="e">
        <f>100+HLOOKUP(AK$4,$D$7:$P$336,$R286,FALSE)-HLOOKUP(AK$3,$D$7:$P$336,$R286,FALSE)</f>
        <v>#N/A</v>
      </c>
      <c r="AL286" s="60" t="e">
        <f>100+HLOOKUP(AL$4,$D$7:$P$336,$R286,FALSE)-HLOOKUP(AL$3,$D$7:$P$336,$R286,FALSE)</f>
        <v>#N/A</v>
      </c>
      <c r="AM286" s="60" t="e">
        <f>100+HLOOKUP(AM$4,$D$7:$P$336,$R286,FALSE)-HLOOKUP(AM$3,$D$7:$P$336,$R286,FALSE)</f>
        <v>#N/A</v>
      </c>
      <c r="AN286" s="60" t="e">
        <f>100+HLOOKUP(AN$4,$D$7:$P$336,$R286,FALSE)-HLOOKUP(AN$3,$D$7:$P$336,$R286,FALSE)</f>
        <v>#N/A</v>
      </c>
      <c r="AO286" s="60" t="e">
        <f>100+HLOOKUP(AO$4,$D$7:$P$336,$R286,FALSE)-HLOOKUP(AO$3,$D$7:$P$336,$R286,FALSE)</f>
        <v>#N/A</v>
      </c>
      <c r="AP286" s="60" t="e">
        <f>100+HLOOKUP(AP$4,$D$7:$P$336,$R286,FALSE)-HLOOKUP(AP$3,$D$7:$P$336,$R286,FALSE)</f>
        <v>#N/A</v>
      </c>
      <c r="AQ286" s="60" t="e">
        <f>100+HLOOKUP(AQ$4,$D$7:$P$336,$R286,FALSE)-HLOOKUP(AQ$3,$D$7:$P$336,$R286,FALSE)</f>
        <v>#N/A</v>
      </c>
      <c r="AV286" s="60">
        <f ca="1">AV$5-S286</f>
        <v>22.232399426796434</v>
      </c>
      <c r="AW286" s="60">
        <f ca="1">AW$5-T286</f>
        <v>13.262650529757749</v>
      </c>
      <c r="AX286" s="60">
        <f ca="1">AX$5-U286</f>
        <v>20.817915403668053</v>
      </c>
      <c r="AY286" s="60">
        <f ca="1">AY$5-V286</f>
        <v>12.645014401527803</v>
      </c>
      <c r="AZ286" s="60">
        <f ca="1">AZ$5-W286</f>
        <v>16.496482172596032</v>
      </c>
      <c r="BA286" s="60">
        <f ca="1">BA$5-X286</f>
        <v>17.507059058982705</v>
      </c>
      <c r="BB286" s="60">
        <f ca="1">BB$5-Y286</f>
        <v>12.392592727381128</v>
      </c>
      <c r="BC286" s="60">
        <f ca="1">BC$5-Z286</f>
        <v>26.479465909882165</v>
      </c>
      <c r="BD286" s="60">
        <f ca="1">BD$5-AA286</f>
        <v>16.978518664382364</v>
      </c>
      <c r="BE286" s="60">
        <f ca="1">BE$5-AB286</f>
        <v>10.871390591992196</v>
      </c>
      <c r="BF286" s="60">
        <f ca="1">BF$5-AC286</f>
        <v>-12.584695683522924</v>
      </c>
      <c r="BG286" s="60">
        <f ca="1">BG$5-AD286</f>
        <v>-9.6157412949814898</v>
      </c>
      <c r="BH286" s="60">
        <f ca="1">BH$5-AE286</f>
        <v>-14.647407769632437</v>
      </c>
      <c r="BI286" s="60">
        <f ca="1">BI$5-AF286</f>
        <v>-22.992494488745194</v>
      </c>
      <c r="BJ286" s="60">
        <f ca="1">BJ$5-AG286</f>
        <v>10.481551057678772</v>
      </c>
      <c r="BK286" s="60" t="e">
        <f>BK$5-AH286</f>
        <v>#N/A</v>
      </c>
      <c r="BL286" s="60" t="e">
        <f>BL$5-AI286</f>
        <v>#N/A</v>
      </c>
      <c r="BM286" s="60" t="e">
        <f>BM$5-AJ286</f>
        <v>#N/A</v>
      </c>
      <c r="BN286" s="60" t="e">
        <f>BN$5-AK286</f>
        <v>#N/A</v>
      </c>
      <c r="BO286" s="60" t="e">
        <f>BO$5-AL286</f>
        <v>#N/A</v>
      </c>
      <c r="BP286" s="60" t="e">
        <f>BP$5-AM286</f>
        <v>#N/A</v>
      </c>
      <c r="BQ286" s="60" t="e">
        <f>BQ$5-AN286</f>
        <v>#N/A</v>
      </c>
      <c r="BR286" s="60" t="e">
        <f>BR$5-AO286</f>
        <v>#N/A</v>
      </c>
      <c r="BS286" s="60" t="e">
        <f>BS$5-AP286</f>
        <v>#N/A</v>
      </c>
      <c r="BT286" s="60" t="e">
        <f>BT$5-AQ286</f>
        <v>#N/A</v>
      </c>
      <c r="BV286" s="60" cm="1">
        <f t="array" aca="1" ref="BV286" ca="1">SQRT(SUMSQ(_xlfn._xlws.FILTER(AV286:BT286,ISNUMBER(AV286:BT286)))/COUNT(_xlfn._xlws.FILTER(AV286:BT286,ISNUMBER(AV286:BT286))))</f>
        <v>16.747512312698838</v>
      </c>
    </row>
    <row r="287" spans="3:74" x14ac:dyDescent="0.2">
      <c r="C287" s="60" t="s">
        <v>342</v>
      </c>
      <c r="D287" s="60">
        <v>0</v>
      </c>
      <c r="E287" s="60">
        <v>-2.7370000000000001</v>
      </c>
      <c r="F287" s="60">
        <v>-5.4740000000000002</v>
      </c>
      <c r="G287" s="60">
        <v>-8.2110000000000003</v>
      </c>
      <c r="H287" s="60">
        <v>-10.948</v>
      </c>
      <c r="I287" s="60">
        <v>-13.685</v>
      </c>
      <c r="J287" s="60">
        <v>-16.422000000000001</v>
      </c>
      <c r="K287" s="60">
        <v>-19.158999999999999</v>
      </c>
      <c r="L287" s="60">
        <v>-21.896000000000001</v>
      </c>
      <c r="M287" s="60">
        <v>8.2110000000000003</v>
      </c>
      <c r="N287" s="60">
        <v>5.4740000000000002</v>
      </c>
      <c r="O287" s="60">
        <v>2.7370000000000001</v>
      </c>
      <c r="P287" s="60">
        <v>0</v>
      </c>
      <c r="R287" s="61">
        <f>(ROW(R287)-ROW($C$6))</f>
        <v>281</v>
      </c>
      <c r="S287" s="60">
        <f ca="1">100+HLOOKUP(S$4,$D$7:$P$336,$R287,FALSE)-HLOOKUP(S$3,$D$7:$P$336,$R287,FALSE)</f>
        <v>80.840999999999994</v>
      </c>
      <c r="T287" s="60">
        <f ca="1">100+HLOOKUP(T$4,$D$7:$P$336,$R287,FALSE)-HLOOKUP(T$3,$D$7:$P$336,$R287,FALSE)</f>
        <v>80.841000000000008</v>
      </c>
      <c r="U287" s="60">
        <f ca="1">100+HLOOKUP(U$4,$D$7:$P$336,$R287,FALSE)-HLOOKUP(U$3,$D$7:$P$336,$R287,FALSE)</f>
        <v>80.840999999999994</v>
      </c>
      <c r="V287" s="60">
        <f ca="1">100+HLOOKUP(V$4,$D$7:$P$336,$R287,FALSE)-HLOOKUP(V$3,$D$7:$P$336,$R287,FALSE)</f>
        <v>80.840999999999994</v>
      </c>
      <c r="W287" s="60">
        <f ca="1">100+HLOOKUP(W$4,$D$7:$P$336,$R287,FALSE)-HLOOKUP(W$3,$D$7:$P$336,$R287,FALSE)</f>
        <v>80.841000000000008</v>
      </c>
      <c r="X287" s="60">
        <f ca="1">100+HLOOKUP(X$4,$D$7:$P$336,$R287,FALSE)-HLOOKUP(X$3,$D$7:$P$336,$R287,FALSE)</f>
        <v>80.840999999999994</v>
      </c>
      <c r="Y287" s="60">
        <f ca="1">100+HLOOKUP(Y$4,$D$7:$P$336,$R287,FALSE)-HLOOKUP(Y$3,$D$7:$P$336,$R287,FALSE)</f>
        <v>80.841000000000008</v>
      </c>
      <c r="Z287" s="60">
        <f ca="1">100+HLOOKUP(Z$4,$D$7:$P$336,$R287,FALSE)-HLOOKUP(Z$3,$D$7:$P$336,$R287,FALSE)</f>
        <v>80.840999999999994</v>
      </c>
      <c r="AA287" s="60">
        <f ca="1">100+HLOOKUP(AA$4,$D$7:$P$336,$R287,FALSE)-HLOOKUP(AA$3,$D$7:$P$336,$R287,FALSE)</f>
        <v>80.840999999999994</v>
      </c>
      <c r="AB287" s="60">
        <f ca="1">100+HLOOKUP(AB$4,$D$7:$P$336,$R287,FALSE)-HLOOKUP(AB$3,$D$7:$P$336,$R287,FALSE)</f>
        <v>80.841000000000008</v>
      </c>
      <c r="AC287" s="60">
        <f ca="1">100+HLOOKUP(AC$4,$D$7:$P$336,$R287,FALSE)-HLOOKUP(AC$3,$D$7:$P$336,$R287,FALSE)</f>
        <v>113.685</v>
      </c>
      <c r="AD287" s="60">
        <f ca="1">100+HLOOKUP(AD$4,$D$7:$P$336,$R287,FALSE)-HLOOKUP(AD$3,$D$7:$P$336,$R287,FALSE)</f>
        <v>113.685</v>
      </c>
      <c r="AE287" s="60">
        <f ca="1">100+HLOOKUP(AE$4,$D$7:$P$336,$R287,FALSE)-HLOOKUP(AE$3,$D$7:$P$336,$R287,FALSE)</f>
        <v>113.685</v>
      </c>
      <c r="AF287" s="60">
        <f ca="1">100+HLOOKUP(AF$4,$D$7:$P$336,$R287,FALSE)-HLOOKUP(AF$3,$D$7:$P$336,$R287,FALSE)</f>
        <v>113.685</v>
      </c>
      <c r="AG287" s="60">
        <f ca="1">100+HLOOKUP(AG$4,$D$7:$P$336,$R287,FALSE)-HLOOKUP(AG$3,$D$7:$P$336,$R287,FALSE)</f>
        <v>80.840999999999994</v>
      </c>
      <c r="AH287" s="60" t="e">
        <f>100+HLOOKUP(AH$4,$D$7:$P$336,$R287,FALSE)-HLOOKUP(AH$3,$D$7:$P$336,$R287,FALSE)</f>
        <v>#N/A</v>
      </c>
      <c r="AI287" s="60" t="e">
        <f>100+HLOOKUP(AI$4,$D$7:$P$336,$R287,FALSE)-HLOOKUP(AI$3,$D$7:$P$336,$R287,FALSE)</f>
        <v>#N/A</v>
      </c>
      <c r="AJ287" s="60" t="e">
        <f>100+HLOOKUP(AJ$4,$D$7:$P$336,$R287,FALSE)-HLOOKUP(AJ$3,$D$7:$P$336,$R287,FALSE)</f>
        <v>#N/A</v>
      </c>
      <c r="AK287" s="60" t="e">
        <f>100+HLOOKUP(AK$4,$D$7:$P$336,$R287,FALSE)-HLOOKUP(AK$3,$D$7:$P$336,$R287,FALSE)</f>
        <v>#N/A</v>
      </c>
      <c r="AL287" s="60" t="e">
        <f>100+HLOOKUP(AL$4,$D$7:$P$336,$R287,FALSE)-HLOOKUP(AL$3,$D$7:$P$336,$R287,FALSE)</f>
        <v>#N/A</v>
      </c>
      <c r="AM287" s="60" t="e">
        <f>100+HLOOKUP(AM$4,$D$7:$P$336,$R287,FALSE)-HLOOKUP(AM$3,$D$7:$P$336,$R287,FALSE)</f>
        <v>#N/A</v>
      </c>
      <c r="AN287" s="60" t="e">
        <f>100+HLOOKUP(AN$4,$D$7:$P$336,$R287,FALSE)-HLOOKUP(AN$3,$D$7:$P$336,$R287,FALSE)</f>
        <v>#N/A</v>
      </c>
      <c r="AO287" s="60" t="e">
        <f>100+HLOOKUP(AO$4,$D$7:$P$336,$R287,FALSE)-HLOOKUP(AO$3,$D$7:$P$336,$R287,FALSE)</f>
        <v>#N/A</v>
      </c>
      <c r="AP287" s="60" t="e">
        <f>100+HLOOKUP(AP$4,$D$7:$P$336,$R287,FALSE)-HLOOKUP(AP$3,$D$7:$P$336,$R287,FALSE)</f>
        <v>#N/A</v>
      </c>
      <c r="AQ287" s="60" t="e">
        <f>100+HLOOKUP(AQ$4,$D$7:$P$336,$R287,FALSE)-HLOOKUP(AQ$3,$D$7:$P$336,$R287,FALSE)</f>
        <v>#N/A</v>
      </c>
      <c r="AV287" s="60">
        <f ca="1">AV$5-S287</f>
        <v>22.349399426796438</v>
      </c>
      <c r="AW287" s="60">
        <f ca="1">AW$5-T287</f>
        <v>13.37965052975774</v>
      </c>
      <c r="AX287" s="60">
        <f ca="1">AX$5-U287</f>
        <v>20.934915403668057</v>
      </c>
      <c r="AY287" s="60">
        <f ca="1">AY$5-V287</f>
        <v>12.762014401527807</v>
      </c>
      <c r="AZ287" s="60">
        <f ca="1">AZ$5-W287</f>
        <v>16.613482172596022</v>
      </c>
      <c r="BA287" s="60">
        <f ca="1">BA$5-X287</f>
        <v>17.624059058982709</v>
      </c>
      <c r="BB287" s="60">
        <f ca="1">BB$5-Y287</f>
        <v>12.509592727381118</v>
      </c>
      <c r="BC287" s="60">
        <f ca="1">BC$5-Z287</f>
        <v>26.59646590988217</v>
      </c>
      <c r="BD287" s="60">
        <f ca="1">BD$5-AA287</f>
        <v>17.095518664382368</v>
      </c>
      <c r="BE287" s="60">
        <f ca="1">BE$5-AB287</f>
        <v>10.988390591992186</v>
      </c>
      <c r="BF287" s="60">
        <f ca="1">BF$5-AC287</f>
        <v>-12.667695683522922</v>
      </c>
      <c r="BG287" s="60">
        <f ca="1">BG$5-AD287</f>
        <v>-9.699741294981493</v>
      </c>
      <c r="BH287" s="60">
        <f ca="1">BH$5-AE287</f>
        <v>-14.730407769632436</v>
      </c>
      <c r="BI287" s="60">
        <f ca="1">BI$5-AF287</f>
        <v>-23.076494488745197</v>
      </c>
      <c r="BJ287" s="60">
        <f ca="1">BJ$5-AG287</f>
        <v>10.598551057678776</v>
      </c>
      <c r="BK287" s="60" t="e">
        <f>BK$5-AH287</f>
        <v>#N/A</v>
      </c>
      <c r="BL287" s="60" t="e">
        <f>BL$5-AI287</f>
        <v>#N/A</v>
      </c>
      <c r="BM287" s="60" t="e">
        <f>BM$5-AJ287</f>
        <v>#N/A</v>
      </c>
      <c r="BN287" s="60" t="e">
        <f>BN$5-AK287</f>
        <v>#N/A</v>
      </c>
      <c r="BO287" s="60" t="e">
        <f>BO$5-AL287</f>
        <v>#N/A</v>
      </c>
      <c r="BP287" s="60" t="e">
        <f>BP$5-AM287</f>
        <v>#N/A</v>
      </c>
      <c r="BQ287" s="60" t="e">
        <f>BQ$5-AN287</f>
        <v>#N/A</v>
      </c>
      <c r="BR287" s="60" t="e">
        <f>BR$5-AO287</f>
        <v>#N/A</v>
      </c>
      <c r="BS287" s="60" t="e">
        <f>BS$5-AP287</f>
        <v>#N/A</v>
      </c>
      <c r="BT287" s="60" t="e">
        <f>BT$5-AQ287</f>
        <v>#N/A</v>
      </c>
      <c r="BV287" s="60" cm="1">
        <f t="array" aca="1" ref="BV287" ca="1">SQRT(SUMSQ(_xlfn._xlws.FILTER(AV287:BT287,ISNUMBER(AV287:BT287)))/COUNT(_xlfn._xlws.FILTER(AV287:BT287,ISNUMBER(AV287:BT287))))</f>
        <v>16.851356683448223</v>
      </c>
    </row>
    <row r="288" spans="3:74" x14ac:dyDescent="0.2">
      <c r="C288" s="60" t="s">
        <v>201</v>
      </c>
      <c r="D288" s="60">
        <v>0</v>
      </c>
      <c r="E288" s="60">
        <v>1.9550000000000001</v>
      </c>
      <c r="F288" s="60">
        <v>3.91</v>
      </c>
      <c r="G288" s="60">
        <v>-4.8879999999999999</v>
      </c>
      <c r="H288" s="60">
        <v>-13.686</v>
      </c>
      <c r="I288" s="60">
        <v>-11.731</v>
      </c>
      <c r="J288" s="60">
        <v>-15.151999999999999</v>
      </c>
      <c r="K288" s="60">
        <v>-13.196999999999999</v>
      </c>
      <c r="L288" s="60">
        <v>-16.619</v>
      </c>
      <c r="M288" s="60">
        <v>10.265000000000001</v>
      </c>
      <c r="N288" s="60">
        <v>6.843</v>
      </c>
      <c r="O288" s="60">
        <v>3.4209999999999998</v>
      </c>
      <c r="P288" s="60">
        <v>0</v>
      </c>
      <c r="R288" s="61">
        <f>(ROW(R288)-ROW($C$6))</f>
        <v>282</v>
      </c>
      <c r="S288" s="60">
        <f ca="1">100+HLOOKUP(S$4,$D$7:$P$336,$R288,FALSE)-HLOOKUP(S$3,$D$7:$P$336,$R288,FALSE)</f>
        <v>76.048999999999992</v>
      </c>
      <c r="T288" s="60">
        <f ca="1">100+HLOOKUP(T$4,$D$7:$P$336,$R288,FALSE)-HLOOKUP(T$3,$D$7:$P$336,$R288,FALSE)</f>
        <v>81.426999999999992</v>
      </c>
      <c r="U288" s="60">
        <f ca="1">100+HLOOKUP(U$4,$D$7:$P$336,$R288,FALSE)-HLOOKUP(U$3,$D$7:$P$336,$R288,FALSE)</f>
        <v>81.426000000000002</v>
      </c>
      <c r="V288" s="60">
        <f ca="1">100+HLOOKUP(V$4,$D$7:$P$336,$R288,FALSE)-HLOOKUP(V$3,$D$7:$P$336,$R288,FALSE)</f>
        <v>81.426000000000002</v>
      </c>
      <c r="W288" s="60">
        <f ca="1">100+HLOOKUP(W$4,$D$7:$P$336,$R288,FALSE)-HLOOKUP(W$3,$D$7:$P$336,$R288,FALSE)</f>
        <v>86.802999999999997</v>
      </c>
      <c r="X288" s="60">
        <f ca="1">100+HLOOKUP(X$4,$D$7:$P$336,$R288,FALSE)-HLOOKUP(X$3,$D$7:$P$336,$R288,FALSE)</f>
        <v>76.048999999999992</v>
      </c>
      <c r="Y288" s="60">
        <f ca="1">100+HLOOKUP(Y$4,$D$7:$P$336,$R288,FALSE)-HLOOKUP(Y$3,$D$7:$P$336,$R288,FALSE)</f>
        <v>81.426999999999992</v>
      </c>
      <c r="Z288" s="60">
        <f ca="1">100+HLOOKUP(Z$4,$D$7:$P$336,$R288,FALSE)-HLOOKUP(Z$3,$D$7:$P$336,$R288,FALSE)</f>
        <v>81.426000000000002</v>
      </c>
      <c r="AA288" s="60">
        <f ca="1">100+HLOOKUP(AA$4,$D$7:$P$336,$R288,FALSE)-HLOOKUP(AA$3,$D$7:$P$336,$R288,FALSE)</f>
        <v>81.426000000000002</v>
      </c>
      <c r="AB288" s="60">
        <f ca="1">100+HLOOKUP(AB$4,$D$7:$P$336,$R288,FALSE)-HLOOKUP(AB$3,$D$7:$P$336,$R288,FALSE)</f>
        <v>86.802999999999997</v>
      </c>
      <c r="AC288" s="60">
        <f ca="1">100+HLOOKUP(AC$4,$D$7:$P$336,$R288,FALSE)-HLOOKUP(AC$3,$D$7:$P$336,$R288,FALSE)</f>
        <v>106.355</v>
      </c>
      <c r="AD288" s="60">
        <f ca="1">100+HLOOKUP(AD$4,$D$7:$P$336,$R288,FALSE)-HLOOKUP(AD$3,$D$7:$P$336,$R288,FALSE)</f>
        <v>117.107</v>
      </c>
      <c r="AE288" s="60">
        <f ca="1">100+HLOOKUP(AE$4,$D$7:$P$336,$R288,FALSE)-HLOOKUP(AE$3,$D$7:$P$336,$R288,FALSE)</f>
        <v>117.107</v>
      </c>
      <c r="AF288" s="60">
        <f ca="1">100+HLOOKUP(AF$4,$D$7:$P$336,$R288,FALSE)-HLOOKUP(AF$3,$D$7:$P$336,$R288,FALSE)</f>
        <v>111.73099999999999</v>
      </c>
      <c r="AG288" s="60">
        <f ca="1">100+HLOOKUP(AG$4,$D$7:$P$336,$R288,FALSE)-HLOOKUP(AG$3,$D$7:$P$336,$R288,FALSE)</f>
        <v>81.426000000000002</v>
      </c>
      <c r="AH288" s="60" t="e">
        <f>100+HLOOKUP(AH$4,$D$7:$P$336,$R288,FALSE)-HLOOKUP(AH$3,$D$7:$P$336,$R288,FALSE)</f>
        <v>#N/A</v>
      </c>
      <c r="AI288" s="60" t="e">
        <f>100+HLOOKUP(AI$4,$D$7:$P$336,$R288,FALSE)-HLOOKUP(AI$3,$D$7:$P$336,$R288,FALSE)</f>
        <v>#N/A</v>
      </c>
      <c r="AJ288" s="60" t="e">
        <f>100+HLOOKUP(AJ$4,$D$7:$P$336,$R288,FALSE)-HLOOKUP(AJ$3,$D$7:$P$336,$R288,FALSE)</f>
        <v>#N/A</v>
      </c>
      <c r="AK288" s="60" t="e">
        <f>100+HLOOKUP(AK$4,$D$7:$P$336,$R288,FALSE)-HLOOKUP(AK$3,$D$7:$P$336,$R288,FALSE)</f>
        <v>#N/A</v>
      </c>
      <c r="AL288" s="60" t="e">
        <f>100+HLOOKUP(AL$4,$D$7:$P$336,$R288,FALSE)-HLOOKUP(AL$3,$D$7:$P$336,$R288,FALSE)</f>
        <v>#N/A</v>
      </c>
      <c r="AM288" s="60" t="e">
        <f>100+HLOOKUP(AM$4,$D$7:$P$336,$R288,FALSE)-HLOOKUP(AM$3,$D$7:$P$336,$R288,FALSE)</f>
        <v>#N/A</v>
      </c>
      <c r="AN288" s="60" t="e">
        <f>100+HLOOKUP(AN$4,$D$7:$P$336,$R288,FALSE)-HLOOKUP(AN$3,$D$7:$P$336,$R288,FALSE)</f>
        <v>#N/A</v>
      </c>
      <c r="AO288" s="60" t="e">
        <f>100+HLOOKUP(AO$4,$D$7:$P$336,$R288,FALSE)-HLOOKUP(AO$3,$D$7:$P$336,$R288,FALSE)</f>
        <v>#N/A</v>
      </c>
      <c r="AP288" s="60" t="e">
        <f>100+HLOOKUP(AP$4,$D$7:$P$336,$R288,FALSE)-HLOOKUP(AP$3,$D$7:$P$336,$R288,FALSE)</f>
        <v>#N/A</v>
      </c>
      <c r="AQ288" s="60" t="e">
        <f>100+HLOOKUP(AQ$4,$D$7:$P$336,$R288,FALSE)-HLOOKUP(AQ$3,$D$7:$P$336,$R288,FALSE)</f>
        <v>#N/A</v>
      </c>
      <c r="AV288" s="60">
        <f ca="1">AV$5-S288</f>
        <v>27.14139942679644</v>
      </c>
      <c r="AW288" s="60">
        <f ca="1">AW$5-T288</f>
        <v>12.793650529757755</v>
      </c>
      <c r="AX288" s="60">
        <f ca="1">AX$5-U288</f>
        <v>20.349915403668049</v>
      </c>
      <c r="AY288" s="60">
        <f ca="1">AY$5-V288</f>
        <v>12.177014401527799</v>
      </c>
      <c r="AZ288" s="60">
        <f ca="1">AZ$5-W288</f>
        <v>10.651482172596033</v>
      </c>
      <c r="BA288" s="60">
        <f ca="1">BA$5-X288</f>
        <v>22.416059058982711</v>
      </c>
      <c r="BB288" s="60">
        <f ca="1">BB$5-Y288</f>
        <v>11.923592727381134</v>
      </c>
      <c r="BC288" s="60">
        <f ca="1">BC$5-Z288</f>
        <v>26.011465909882162</v>
      </c>
      <c r="BD288" s="60">
        <f ca="1">BD$5-AA288</f>
        <v>16.51051866438236</v>
      </c>
      <c r="BE288" s="60">
        <f ca="1">BE$5-AB288</f>
        <v>5.0263905919921967</v>
      </c>
      <c r="BF288" s="60">
        <f ca="1">BF$5-AC288</f>
        <v>-5.3376956835229237</v>
      </c>
      <c r="BG288" s="60">
        <f ca="1">BG$5-AD288</f>
        <v>-13.12174129498149</v>
      </c>
      <c r="BH288" s="60">
        <f ca="1">BH$5-AE288</f>
        <v>-18.152407769632433</v>
      </c>
      <c r="BI288" s="60">
        <f ca="1">BI$5-AF288</f>
        <v>-21.12249448874519</v>
      </c>
      <c r="BJ288" s="60">
        <f ca="1">BJ$5-AG288</f>
        <v>10.013551057678768</v>
      </c>
      <c r="BK288" s="60" t="e">
        <f>BK$5-AH288</f>
        <v>#N/A</v>
      </c>
      <c r="BL288" s="60" t="e">
        <f>BL$5-AI288</f>
        <v>#N/A</v>
      </c>
      <c r="BM288" s="60" t="e">
        <f>BM$5-AJ288</f>
        <v>#N/A</v>
      </c>
      <c r="BN288" s="60" t="e">
        <f>BN$5-AK288</f>
        <v>#N/A</v>
      </c>
      <c r="BO288" s="60" t="e">
        <f>BO$5-AL288</f>
        <v>#N/A</v>
      </c>
      <c r="BP288" s="60" t="e">
        <f>BP$5-AM288</f>
        <v>#N/A</v>
      </c>
      <c r="BQ288" s="60" t="e">
        <f>BQ$5-AN288</f>
        <v>#N/A</v>
      </c>
      <c r="BR288" s="60" t="e">
        <f>BR$5-AO288</f>
        <v>#N/A</v>
      </c>
      <c r="BS288" s="60" t="e">
        <f>BS$5-AP288</f>
        <v>#N/A</v>
      </c>
      <c r="BT288" s="60" t="e">
        <f>BT$5-AQ288</f>
        <v>#N/A</v>
      </c>
      <c r="BV288" s="60" cm="1">
        <f t="array" aca="1" ref="BV288" ca="1">SQRT(SUMSQ(_xlfn._xlws.FILTER(AV288:BT288,ISNUMBER(AV288:BT288)))/COUNT(_xlfn._xlws.FILTER(AV288:BT288,ISNUMBER(AV288:BT288))))</f>
        <v>16.875836367879412</v>
      </c>
    </row>
    <row r="289" spans="3:74" x14ac:dyDescent="0.2">
      <c r="C289" s="60" t="s">
        <v>200</v>
      </c>
      <c r="D289" s="60">
        <v>0</v>
      </c>
      <c r="E289" s="60">
        <v>2</v>
      </c>
      <c r="F289" s="60">
        <v>4</v>
      </c>
      <c r="G289" s="60">
        <v>-5</v>
      </c>
      <c r="H289" s="60">
        <v>-14</v>
      </c>
      <c r="I289" s="60">
        <v>-12</v>
      </c>
      <c r="J289" s="60">
        <v>-15</v>
      </c>
      <c r="K289" s="60">
        <v>-13</v>
      </c>
      <c r="L289" s="60">
        <v>-17</v>
      </c>
      <c r="M289" s="60">
        <v>10</v>
      </c>
      <c r="N289" s="60">
        <v>7</v>
      </c>
      <c r="O289" s="60">
        <v>3</v>
      </c>
      <c r="P289" s="60">
        <v>0</v>
      </c>
      <c r="R289" s="61">
        <f>(ROW(R289)-ROW($C$6))</f>
        <v>283</v>
      </c>
      <c r="S289" s="60">
        <f ca="1">100+HLOOKUP(S$4,$D$7:$P$336,$R289,FALSE)-HLOOKUP(S$3,$D$7:$P$336,$R289,FALSE)</f>
        <v>76</v>
      </c>
      <c r="T289" s="60">
        <f ca="1">100+HLOOKUP(T$4,$D$7:$P$336,$R289,FALSE)-HLOOKUP(T$3,$D$7:$P$336,$R289,FALSE)</f>
        <v>82</v>
      </c>
      <c r="U289" s="60">
        <f ca="1">100+HLOOKUP(U$4,$D$7:$P$336,$R289,FALSE)-HLOOKUP(U$3,$D$7:$P$336,$R289,FALSE)</f>
        <v>81</v>
      </c>
      <c r="V289" s="60">
        <f ca="1">100+HLOOKUP(V$4,$D$7:$P$336,$R289,FALSE)-HLOOKUP(V$3,$D$7:$P$336,$R289,FALSE)</f>
        <v>81</v>
      </c>
      <c r="W289" s="60">
        <f ca="1">100+HLOOKUP(W$4,$D$7:$P$336,$R289,FALSE)-HLOOKUP(W$3,$D$7:$P$336,$R289,FALSE)</f>
        <v>87</v>
      </c>
      <c r="X289" s="60">
        <f ca="1">100+HLOOKUP(X$4,$D$7:$P$336,$R289,FALSE)-HLOOKUP(X$3,$D$7:$P$336,$R289,FALSE)</f>
        <v>76</v>
      </c>
      <c r="Y289" s="60">
        <f ca="1">100+HLOOKUP(Y$4,$D$7:$P$336,$R289,FALSE)-HLOOKUP(Y$3,$D$7:$P$336,$R289,FALSE)</f>
        <v>82</v>
      </c>
      <c r="Z289" s="60">
        <f ca="1">100+HLOOKUP(Z$4,$D$7:$P$336,$R289,FALSE)-HLOOKUP(Z$3,$D$7:$P$336,$R289,FALSE)</f>
        <v>81</v>
      </c>
      <c r="AA289" s="60">
        <f ca="1">100+HLOOKUP(AA$4,$D$7:$P$336,$R289,FALSE)-HLOOKUP(AA$3,$D$7:$P$336,$R289,FALSE)</f>
        <v>81</v>
      </c>
      <c r="AB289" s="60">
        <f ca="1">100+HLOOKUP(AB$4,$D$7:$P$336,$R289,FALSE)-HLOOKUP(AB$3,$D$7:$P$336,$R289,FALSE)</f>
        <v>87</v>
      </c>
      <c r="AC289" s="60">
        <f ca="1">100+HLOOKUP(AC$4,$D$7:$P$336,$R289,FALSE)-HLOOKUP(AC$3,$D$7:$P$336,$R289,FALSE)</f>
        <v>106</v>
      </c>
      <c r="AD289" s="60">
        <f ca="1">100+HLOOKUP(AD$4,$D$7:$P$336,$R289,FALSE)-HLOOKUP(AD$3,$D$7:$P$336,$R289,FALSE)</f>
        <v>117</v>
      </c>
      <c r="AE289" s="60">
        <f ca="1">100+HLOOKUP(AE$4,$D$7:$P$336,$R289,FALSE)-HLOOKUP(AE$3,$D$7:$P$336,$R289,FALSE)</f>
        <v>117</v>
      </c>
      <c r="AF289" s="60">
        <f ca="1">100+HLOOKUP(AF$4,$D$7:$P$336,$R289,FALSE)-HLOOKUP(AF$3,$D$7:$P$336,$R289,FALSE)</f>
        <v>112</v>
      </c>
      <c r="AG289" s="60">
        <f ca="1">100+HLOOKUP(AG$4,$D$7:$P$336,$R289,FALSE)-HLOOKUP(AG$3,$D$7:$P$336,$R289,FALSE)</f>
        <v>81</v>
      </c>
      <c r="AH289" s="60" t="e">
        <f>100+HLOOKUP(AH$4,$D$7:$P$336,$R289,FALSE)-HLOOKUP(AH$3,$D$7:$P$336,$R289,FALSE)</f>
        <v>#N/A</v>
      </c>
      <c r="AI289" s="60" t="e">
        <f>100+HLOOKUP(AI$4,$D$7:$P$336,$R289,FALSE)-HLOOKUP(AI$3,$D$7:$P$336,$R289,FALSE)</f>
        <v>#N/A</v>
      </c>
      <c r="AJ289" s="60" t="e">
        <f>100+HLOOKUP(AJ$4,$D$7:$P$336,$R289,FALSE)-HLOOKUP(AJ$3,$D$7:$P$336,$R289,FALSE)</f>
        <v>#N/A</v>
      </c>
      <c r="AK289" s="60" t="e">
        <f>100+HLOOKUP(AK$4,$D$7:$P$336,$R289,FALSE)-HLOOKUP(AK$3,$D$7:$P$336,$R289,FALSE)</f>
        <v>#N/A</v>
      </c>
      <c r="AL289" s="60" t="e">
        <f>100+HLOOKUP(AL$4,$D$7:$P$336,$R289,FALSE)-HLOOKUP(AL$3,$D$7:$P$336,$R289,FALSE)</f>
        <v>#N/A</v>
      </c>
      <c r="AM289" s="60" t="e">
        <f>100+HLOOKUP(AM$4,$D$7:$P$336,$R289,FALSE)-HLOOKUP(AM$3,$D$7:$P$336,$R289,FALSE)</f>
        <v>#N/A</v>
      </c>
      <c r="AN289" s="60" t="e">
        <f>100+HLOOKUP(AN$4,$D$7:$P$336,$R289,FALSE)-HLOOKUP(AN$3,$D$7:$P$336,$R289,FALSE)</f>
        <v>#N/A</v>
      </c>
      <c r="AO289" s="60" t="e">
        <f>100+HLOOKUP(AO$4,$D$7:$P$336,$R289,FALSE)-HLOOKUP(AO$3,$D$7:$P$336,$R289,FALSE)</f>
        <v>#N/A</v>
      </c>
      <c r="AP289" s="60" t="e">
        <f>100+HLOOKUP(AP$4,$D$7:$P$336,$R289,FALSE)-HLOOKUP(AP$3,$D$7:$P$336,$R289,FALSE)</f>
        <v>#N/A</v>
      </c>
      <c r="AQ289" s="60" t="e">
        <f>100+HLOOKUP(AQ$4,$D$7:$P$336,$R289,FALSE)-HLOOKUP(AQ$3,$D$7:$P$336,$R289,FALSE)</f>
        <v>#N/A</v>
      </c>
      <c r="AV289" s="60">
        <f ca="1">AV$5-S289</f>
        <v>27.190399426796432</v>
      </c>
      <c r="AW289" s="60">
        <f ca="1">AW$5-T289</f>
        <v>12.220650529757748</v>
      </c>
      <c r="AX289" s="60">
        <f ca="1">AX$5-U289</f>
        <v>20.775915403668051</v>
      </c>
      <c r="AY289" s="60">
        <f ca="1">AY$5-V289</f>
        <v>12.603014401527801</v>
      </c>
      <c r="AZ289" s="60">
        <f ca="1">AZ$5-W289</f>
        <v>10.45448217259603</v>
      </c>
      <c r="BA289" s="60">
        <f ca="1">BA$5-X289</f>
        <v>22.465059058982703</v>
      </c>
      <c r="BB289" s="60">
        <f ca="1">BB$5-Y289</f>
        <v>11.350592727381127</v>
      </c>
      <c r="BC289" s="60">
        <f ca="1">BC$5-Z289</f>
        <v>26.437465909882164</v>
      </c>
      <c r="BD289" s="60">
        <f ca="1">BD$5-AA289</f>
        <v>16.936518664382362</v>
      </c>
      <c r="BE289" s="60">
        <f ca="1">BE$5-AB289</f>
        <v>4.829390591992194</v>
      </c>
      <c r="BF289" s="60">
        <f ca="1">BF$5-AC289</f>
        <v>-4.9826956835229197</v>
      </c>
      <c r="BG289" s="60">
        <f ca="1">BG$5-AD289</f>
        <v>-13.014741294981491</v>
      </c>
      <c r="BH289" s="60">
        <f ca="1">BH$5-AE289</f>
        <v>-18.045407769632433</v>
      </c>
      <c r="BI289" s="60">
        <f ca="1">BI$5-AF289</f>
        <v>-21.391494488745195</v>
      </c>
      <c r="BJ289" s="60">
        <f ca="1">BJ$5-AG289</f>
        <v>10.43955105767877</v>
      </c>
      <c r="BK289" s="60" t="e">
        <f>BK$5-AH289</f>
        <v>#N/A</v>
      </c>
      <c r="BL289" s="60" t="e">
        <f>BL$5-AI289</f>
        <v>#N/A</v>
      </c>
      <c r="BM289" s="60" t="e">
        <f>BM$5-AJ289</f>
        <v>#N/A</v>
      </c>
      <c r="BN289" s="60" t="e">
        <f>BN$5-AK289</f>
        <v>#N/A</v>
      </c>
      <c r="BO289" s="60" t="e">
        <f>BO$5-AL289</f>
        <v>#N/A</v>
      </c>
      <c r="BP289" s="60" t="e">
        <f>BP$5-AM289</f>
        <v>#N/A</v>
      </c>
      <c r="BQ289" s="60" t="e">
        <f>BQ$5-AN289</f>
        <v>#N/A</v>
      </c>
      <c r="BR289" s="60" t="e">
        <f>BR$5-AO289</f>
        <v>#N/A</v>
      </c>
      <c r="BS289" s="60" t="e">
        <f>BS$5-AP289</f>
        <v>#N/A</v>
      </c>
      <c r="BT289" s="60" t="e">
        <f>BT$5-AQ289</f>
        <v>#N/A</v>
      </c>
      <c r="BV289" s="60" cm="1">
        <f t="array" aca="1" ref="BV289" ca="1">SQRT(SUMSQ(_xlfn._xlws.FILTER(AV289:BT289,ISNUMBER(AV289:BT289)))/COUNT(_xlfn._xlws.FILTER(AV289:BT289,ISNUMBER(AV289:BT289))))</f>
        <v>16.965619779961976</v>
      </c>
    </row>
    <row r="290" spans="3:74" x14ac:dyDescent="0.2">
      <c r="C290" s="60" t="s">
        <v>495</v>
      </c>
      <c r="D290" s="60">
        <v>0</v>
      </c>
      <c r="E290" s="60">
        <v>-3</v>
      </c>
      <c r="F290" s="60">
        <v>-7</v>
      </c>
      <c r="G290" s="60">
        <v>-10</v>
      </c>
      <c r="H290" s="60">
        <v>-14</v>
      </c>
      <c r="I290" s="60">
        <v>-17</v>
      </c>
      <c r="J290" s="60">
        <v>-20</v>
      </c>
      <c r="K290" s="60">
        <v>-24</v>
      </c>
      <c r="L290" s="60">
        <v>-22</v>
      </c>
      <c r="M290" s="60">
        <v>0</v>
      </c>
      <c r="N290" s="60">
        <v>1</v>
      </c>
      <c r="O290" s="60">
        <v>3</v>
      </c>
      <c r="P290" s="60">
        <v>0</v>
      </c>
      <c r="R290" s="61">
        <f>(ROW(R290)-ROW($C$6))</f>
        <v>284</v>
      </c>
      <c r="S290" s="60">
        <f ca="1">100+HLOOKUP(S$4,$D$7:$P$336,$R290,FALSE)-HLOOKUP(S$3,$D$7:$P$336,$R290,FALSE)</f>
        <v>86</v>
      </c>
      <c r="T290" s="60">
        <f ca="1">100+HLOOKUP(T$4,$D$7:$P$336,$R290,FALSE)-HLOOKUP(T$3,$D$7:$P$336,$R290,FALSE)</f>
        <v>77</v>
      </c>
      <c r="U290" s="60">
        <f ca="1">100+HLOOKUP(U$4,$D$7:$P$336,$R290,FALSE)-HLOOKUP(U$3,$D$7:$P$336,$R290,FALSE)</f>
        <v>81</v>
      </c>
      <c r="V290" s="60">
        <f ca="1">100+HLOOKUP(V$4,$D$7:$P$336,$R290,FALSE)-HLOOKUP(V$3,$D$7:$P$336,$R290,FALSE)</f>
        <v>82</v>
      </c>
      <c r="W290" s="60">
        <f ca="1">100+HLOOKUP(W$4,$D$7:$P$336,$R290,FALSE)-HLOOKUP(W$3,$D$7:$P$336,$R290,FALSE)</f>
        <v>76</v>
      </c>
      <c r="X290" s="60">
        <f ca="1">100+HLOOKUP(X$4,$D$7:$P$336,$R290,FALSE)-HLOOKUP(X$3,$D$7:$P$336,$R290,FALSE)</f>
        <v>86</v>
      </c>
      <c r="Y290" s="60">
        <f ca="1">100+HLOOKUP(Y$4,$D$7:$P$336,$R290,FALSE)-HLOOKUP(Y$3,$D$7:$P$336,$R290,FALSE)</f>
        <v>77</v>
      </c>
      <c r="Z290" s="60">
        <f ca="1">100+HLOOKUP(Z$4,$D$7:$P$336,$R290,FALSE)-HLOOKUP(Z$3,$D$7:$P$336,$R290,FALSE)</f>
        <v>81</v>
      </c>
      <c r="AA290" s="60">
        <f ca="1">100+HLOOKUP(AA$4,$D$7:$P$336,$R290,FALSE)-HLOOKUP(AA$3,$D$7:$P$336,$R290,FALSE)</f>
        <v>82</v>
      </c>
      <c r="AB290" s="60">
        <f ca="1">100+HLOOKUP(AB$4,$D$7:$P$336,$R290,FALSE)-HLOOKUP(AB$3,$D$7:$P$336,$R290,FALSE)</f>
        <v>76</v>
      </c>
      <c r="AC290" s="60">
        <f ca="1">100+HLOOKUP(AC$4,$D$7:$P$336,$R290,FALSE)-HLOOKUP(AC$3,$D$7:$P$336,$R290,FALSE)</f>
        <v>107</v>
      </c>
      <c r="AD290" s="60">
        <f ca="1">100+HLOOKUP(AD$4,$D$7:$P$336,$R290,FALSE)-HLOOKUP(AD$3,$D$7:$P$336,$R290,FALSE)</f>
        <v>117</v>
      </c>
      <c r="AE290" s="60">
        <f ca="1">100+HLOOKUP(AE$4,$D$7:$P$336,$R290,FALSE)-HLOOKUP(AE$3,$D$7:$P$336,$R290,FALSE)</f>
        <v>117</v>
      </c>
      <c r="AF290" s="60">
        <f ca="1">100+HLOOKUP(AF$4,$D$7:$P$336,$R290,FALSE)-HLOOKUP(AF$3,$D$7:$P$336,$R290,FALSE)</f>
        <v>112</v>
      </c>
      <c r="AG290" s="60">
        <f ca="1">100+HLOOKUP(AG$4,$D$7:$P$336,$R290,FALSE)-HLOOKUP(AG$3,$D$7:$P$336,$R290,FALSE)</f>
        <v>82</v>
      </c>
      <c r="AH290" s="60" t="e">
        <f>100+HLOOKUP(AH$4,$D$7:$P$336,$R290,FALSE)-HLOOKUP(AH$3,$D$7:$P$336,$R290,FALSE)</f>
        <v>#N/A</v>
      </c>
      <c r="AI290" s="60" t="e">
        <f>100+HLOOKUP(AI$4,$D$7:$P$336,$R290,FALSE)-HLOOKUP(AI$3,$D$7:$P$336,$R290,FALSE)</f>
        <v>#N/A</v>
      </c>
      <c r="AJ290" s="60" t="e">
        <f>100+HLOOKUP(AJ$4,$D$7:$P$336,$R290,FALSE)-HLOOKUP(AJ$3,$D$7:$P$336,$R290,FALSE)</f>
        <v>#N/A</v>
      </c>
      <c r="AK290" s="60" t="e">
        <f>100+HLOOKUP(AK$4,$D$7:$P$336,$R290,FALSE)-HLOOKUP(AK$3,$D$7:$P$336,$R290,FALSE)</f>
        <v>#N/A</v>
      </c>
      <c r="AL290" s="60" t="e">
        <f>100+HLOOKUP(AL$4,$D$7:$P$336,$R290,FALSE)-HLOOKUP(AL$3,$D$7:$P$336,$R290,FALSE)</f>
        <v>#N/A</v>
      </c>
      <c r="AM290" s="60" t="e">
        <f>100+HLOOKUP(AM$4,$D$7:$P$336,$R290,FALSE)-HLOOKUP(AM$3,$D$7:$P$336,$R290,FALSE)</f>
        <v>#N/A</v>
      </c>
      <c r="AN290" s="60" t="e">
        <f>100+HLOOKUP(AN$4,$D$7:$P$336,$R290,FALSE)-HLOOKUP(AN$3,$D$7:$P$336,$R290,FALSE)</f>
        <v>#N/A</v>
      </c>
      <c r="AO290" s="60" t="e">
        <f>100+HLOOKUP(AO$4,$D$7:$P$336,$R290,FALSE)-HLOOKUP(AO$3,$D$7:$P$336,$R290,FALSE)</f>
        <v>#N/A</v>
      </c>
      <c r="AP290" s="60" t="e">
        <f>100+HLOOKUP(AP$4,$D$7:$P$336,$R290,FALSE)-HLOOKUP(AP$3,$D$7:$P$336,$R290,FALSE)</f>
        <v>#N/A</v>
      </c>
      <c r="AQ290" s="60" t="e">
        <f>100+HLOOKUP(AQ$4,$D$7:$P$336,$R290,FALSE)-HLOOKUP(AQ$3,$D$7:$P$336,$R290,FALSE)</f>
        <v>#N/A</v>
      </c>
      <c r="AV290" s="60">
        <f ca="1">AV$5-S290</f>
        <v>17.190399426796432</v>
      </c>
      <c r="AW290" s="60">
        <f ca="1">AW$5-T290</f>
        <v>17.220650529757748</v>
      </c>
      <c r="AX290" s="60">
        <f ca="1">AX$5-U290</f>
        <v>20.775915403668051</v>
      </c>
      <c r="AY290" s="60">
        <f ca="1">AY$5-V290</f>
        <v>11.603014401527801</v>
      </c>
      <c r="AZ290" s="60">
        <f ca="1">AZ$5-W290</f>
        <v>21.45448217259603</v>
      </c>
      <c r="BA290" s="60">
        <f ca="1">BA$5-X290</f>
        <v>12.465059058982703</v>
      </c>
      <c r="BB290" s="60">
        <f ca="1">BB$5-Y290</f>
        <v>16.350592727381127</v>
      </c>
      <c r="BC290" s="60">
        <f ca="1">BC$5-Z290</f>
        <v>26.437465909882164</v>
      </c>
      <c r="BD290" s="60">
        <f ca="1">BD$5-AA290</f>
        <v>15.936518664382362</v>
      </c>
      <c r="BE290" s="60">
        <f ca="1">BE$5-AB290</f>
        <v>15.829390591992194</v>
      </c>
      <c r="BF290" s="60">
        <f ca="1">BF$5-AC290</f>
        <v>-5.9826956835229197</v>
      </c>
      <c r="BG290" s="60">
        <f ca="1">BG$5-AD290</f>
        <v>-13.014741294981491</v>
      </c>
      <c r="BH290" s="60">
        <f ca="1">BH$5-AE290</f>
        <v>-18.045407769632433</v>
      </c>
      <c r="BI290" s="60">
        <f ca="1">BI$5-AF290</f>
        <v>-21.391494488745195</v>
      </c>
      <c r="BJ290" s="60">
        <f ca="1">BJ$5-AG290</f>
        <v>9.43955105767877</v>
      </c>
      <c r="BK290" s="60" t="e">
        <f>BK$5-AH290</f>
        <v>#N/A</v>
      </c>
      <c r="BL290" s="60" t="e">
        <f>BL$5-AI290</f>
        <v>#N/A</v>
      </c>
      <c r="BM290" s="60" t="e">
        <f>BM$5-AJ290</f>
        <v>#N/A</v>
      </c>
      <c r="BN290" s="60" t="e">
        <f>BN$5-AK290</f>
        <v>#N/A</v>
      </c>
      <c r="BO290" s="60" t="e">
        <f>BO$5-AL290</f>
        <v>#N/A</v>
      </c>
      <c r="BP290" s="60" t="e">
        <f>BP$5-AM290</f>
        <v>#N/A</v>
      </c>
      <c r="BQ290" s="60" t="e">
        <f>BQ$5-AN290</f>
        <v>#N/A</v>
      </c>
      <c r="BR290" s="60" t="e">
        <f>BR$5-AO290</f>
        <v>#N/A</v>
      </c>
      <c r="BS290" s="60" t="e">
        <f>BS$5-AP290</f>
        <v>#N/A</v>
      </c>
      <c r="BT290" s="60" t="e">
        <f>BT$5-AQ290</f>
        <v>#N/A</v>
      </c>
      <c r="BV290" s="60" cm="1">
        <f t="array" aca="1" ref="BV290" ca="1">SQRT(SUMSQ(_xlfn._xlws.FILTER(AV290:BT290,ISNUMBER(AV290:BT290)))/COUNT(_xlfn._xlws.FILTER(AV290:BT290,ISNUMBER(AV290:BT290))))</f>
        <v>16.975157347469406</v>
      </c>
    </row>
    <row r="291" spans="3:74" x14ac:dyDescent="0.2">
      <c r="C291" s="60" t="s">
        <v>255</v>
      </c>
      <c r="D291" s="60">
        <v>0</v>
      </c>
      <c r="E291" s="60">
        <v>-3</v>
      </c>
      <c r="F291" s="60">
        <v>-7</v>
      </c>
      <c r="G291" s="60">
        <v>-10</v>
      </c>
      <c r="H291" s="60">
        <v>-14</v>
      </c>
      <c r="I291" s="60">
        <v>-17</v>
      </c>
      <c r="J291" s="60">
        <v>-20</v>
      </c>
      <c r="K291" s="60">
        <v>-24</v>
      </c>
      <c r="L291" s="60">
        <v>-27</v>
      </c>
      <c r="M291" s="60">
        <v>-9</v>
      </c>
      <c r="N291" s="60">
        <v>-3</v>
      </c>
      <c r="O291" s="60">
        <v>3</v>
      </c>
      <c r="P291" s="60">
        <v>0</v>
      </c>
      <c r="R291" s="61">
        <f>(ROW(R291)-ROW($C$6))</f>
        <v>285</v>
      </c>
      <c r="S291" s="60">
        <f ca="1">100+HLOOKUP(S$4,$D$7:$P$336,$R291,FALSE)-HLOOKUP(S$3,$D$7:$P$336,$R291,FALSE)</f>
        <v>95</v>
      </c>
      <c r="T291" s="60">
        <f ca="1">100+HLOOKUP(T$4,$D$7:$P$336,$R291,FALSE)-HLOOKUP(T$3,$D$7:$P$336,$R291,FALSE)</f>
        <v>77</v>
      </c>
      <c r="U291" s="60">
        <f ca="1">100+HLOOKUP(U$4,$D$7:$P$336,$R291,FALSE)-HLOOKUP(U$3,$D$7:$P$336,$R291,FALSE)</f>
        <v>76</v>
      </c>
      <c r="V291" s="60">
        <f ca="1">100+HLOOKUP(V$4,$D$7:$P$336,$R291,FALSE)-HLOOKUP(V$3,$D$7:$P$336,$R291,FALSE)</f>
        <v>86</v>
      </c>
      <c r="W291" s="60">
        <f ca="1">100+HLOOKUP(W$4,$D$7:$P$336,$R291,FALSE)-HLOOKUP(W$3,$D$7:$P$336,$R291,FALSE)</f>
        <v>76</v>
      </c>
      <c r="X291" s="60">
        <f ca="1">100+HLOOKUP(X$4,$D$7:$P$336,$R291,FALSE)-HLOOKUP(X$3,$D$7:$P$336,$R291,FALSE)</f>
        <v>95</v>
      </c>
      <c r="Y291" s="60">
        <f ca="1">100+HLOOKUP(Y$4,$D$7:$P$336,$R291,FALSE)-HLOOKUP(Y$3,$D$7:$P$336,$R291,FALSE)</f>
        <v>77</v>
      </c>
      <c r="Z291" s="60">
        <f ca="1">100+HLOOKUP(Z$4,$D$7:$P$336,$R291,FALSE)-HLOOKUP(Z$3,$D$7:$P$336,$R291,FALSE)</f>
        <v>76</v>
      </c>
      <c r="AA291" s="60">
        <f ca="1">100+HLOOKUP(AA$4,$D$7:$P$336,$R291,FALSE)-HLOOKUP(AA$3,$D$7:$P$336,$R291,FALSE)</f>
        <v>86</v>
      </c>
      <c r="AB291" s="60">
        <f ca="1">100+HLOOKUP(AB$4,$D$7:$P$336,$R291,FALSE)-HLOOKUP(AB$3,$D$7:$P$336,$R291,FALSE)</f>
        <v>76</v>
      </c>
      <c r="AC291" s="60">
        <f ca="1">100+HLOOKUP(AC$4,$D$7:$P$336,$R291,FALSE)-HLOOKUP(AC$3,$D$7:$P$336,$R291,FALSE)</f>
        <v>98</v>
      </c>
      <c r="AD291" s="60">
        <f ca="1">100+HLOOKUP(AD$4,$D$7:$P$336,$R291,FALSE)-HLOOKUP(AD$3,$D$7:$P$336,$R291,FALSE)</f>
        <v>117</v>
      </c>
      <c r="AE291" s="60">
        <f ca="1">100+HLOOKUP(AE$4,$D$7:$P$336,$R291,FALSE)-HLOOKUP(AE$3,$D$7:$P$336,$R291,FALSE)</f>
        <v>117</v>
      </c>
      <c r="AF291" s="60">
        <f ca="1">100+HLOOKUP(AF$4,$D$7:$P$336,$R291,FALSE)-HLOOKUP(AF$3,$D$7:$P$336,$R291,FALSE)</f>
        <v>117</v>
      </c>
      <c r="AG291" s="60">
        <f ca="1">100+HLOOKUP(AG$4,$D$7:$P$336,$R291,FALSE)-HLOOKUP(AG$3,$D$7:$P$336,$R291,FALSE)</f>
        <v>86</v>
      </c>
      <c r="AH291" s="60" t="e">
        <f>100+HLOOKUP(AH$4,$D$7:$P$336,$R291,FALSE)-HLOOKUP(AH$3,$D$7:$P$336,$R291,FALSE)</f>
        <v>#N/A</v>
      </c>
      <c r="AI291" s="60" t="e">
        <f>100+HLOOKUP(AI$4,$D$7:$P$336,$R291,FALSE)-HLOOKUP(AI$3,$D$7:$P$336,$R291,FALSE)</f>
        <v>#N/A</v>
      </c>
      <c r="AJ291" s="60" t="e">
        <f>100+HLOOKUP(AJ$4,$D$7:$P$336,$R291,FALSE)-HLOOKUP(AJ$3,$D$7:$P$336,$R291,FALSE)</f>
        <v>#N/A</v>
      </c>
      <c r="AK291" s="60" t="e">
        <f>100+HLOOKUP(AK$4,$D$7:$P$336,$R291,FALSE)-HLOOKUP(AK$3,$D$7:$P$336,$R291,FALSE)</f>
        <v>#N/A</v>
      </c>
      <c r="AL291" s="60" t="e">
        <f>100+HLOOKUP(AL$4,$D$7:$P$336,$R291,FALSE)-HLOOKUP(AL$3,$D$7:$P$336,$R291,FALSE)</f>
        <v>#N/A</v>
      </c>
      <c r="AM291" s="60" t="e">
        <f>100+HLOOKUP(AM$4,$D$7:$P$336,$R291,FALSE)-HLOOKUP(AM$3,$D$7:$P$336,$R291,FALSE)</f>
        <v>#N/A</v>
      </c>
      <c r="AN291" s="60" t="e">
        <f>100+HLOOKUP(AN$4,$D$7:$P$336,$R291,FALSE)-HLOOKUP(AN$3,$D$7:$P$336,$R291,FALSE)</f>
        <v>#N/A</v>
      </c>
      <c r="AO291" s="60" t="e">
        <f>100+HLOOKUP(AO$4,$D$7:$P$336,$R291,FALSE)-HLOOKUP(AO$3,$D$7:$P$336,$R291,FALSE)</f>
        <v>#N/A</v>
      </c>
      <c r="AP291" s="60" t="e">
        <f>100+HLOOKUP(AP$4,$D$7:$P$336,$R291,FALSE)-HLOOKUP(AP$3,$D$7:$P$336,$R291,FALSE)</f>
        <v>#N/A</v>
      </c>
      <c r="AQ291" s="60" t="e">
        <f>100+HLOOKUP(AQ$4,$D$7:$P$336,$R291,FALSE)-HLOOKUP(AQ$3,$D$7:$P$336,$R291,FALSE)</f>
        <v>#N/A</v>
      </c>
      <c r="AV291" s="60">
        <f ca="1">AV$5-S291</f>
        <v>8.1903994267964322</v>
      </c>
      <c r="AW291" s="60">
        <f ca="1">AW$5-T291</f>
        <v>17.220650529757748</v>
      </c>
      <c r="AX291" s="60">
        <f ca="1">AX$5-U291</f>
        <v>25.775915403668051</v>
      </c>
      <c r="AY291" s="60">
        <f ca="1">AY$5-V291</f>
        <v>7.6030144015278012</v>
      </c>
      <c r="AZ291" s="60">
        <f ca="1">AZ$5-W291</f>
        <v>21.45448217259603</v>
      </c>
      <c r="BA291" s="60">
        <f ca="1">BA$5-X291</f>
        <v>3.4650590589827033</v>
      </c>
      <c r="BB291" s="60">
        <f ca="1">BB$5-Y291</f>
        <v>16.350592727381127</v>
      </c>
      <c r="BC291" s="60">
        <f ca="1">BC$5-Z291</f>
        <v>31.437465909882164</v>
      </c>
      <c r="BD291" s="60">
        <f ca="1">BD$5-AA291</f>
        <v>11.936518664382362</v>
      </c>
      <c r="BE291" s="60">
        <f ca="1">BE$5-AB291</f>
        <v>15.829390591992194</v>
      </c>
      <c r="BF291" s="60">
        <f ca="1">BF$5-AC291</f>
        <v>3.0173043164770803</v>
      </c>
      <c r="BG291" s="60">
        <f ca="1">BG$5-AD291</f>
        <v>-13.014741294981491</v>
      </c>
      <c r="BH291" s="60">
        <f ca="1">BH$5-AE291</f>
        <v>-18.045407769632433</v>
      </c>
      <c r="BI291" s="60">
        <f ca="1">BI$5-AF291</f>
        <v>-26.391494488745195</v>
      </c>
      <c r="BJ291" s="60">
        <f ca="1">BJ$5-AG291</f>
        <v>5.43955105767877</v>
      </c>
      <c r="BK291" s="60" t="e">
        <f>BK$5-AH291</f>
        <v>#N/A</v>
      </c>
      <c r="BL291" s="60" t="e">
        <f>BL$5-AI291</f>
        <v>#N/A</v>
      </c>
      <c r="BM291" s="60" t="e">
        <f>BM$5-AJ291</f>
        <v>#N/A</v>
      </c>
      <c r="BN291" s="60" t="e">
        <f>BN$5-AK291</f>
        <v>#N/A</v>
      </c>
      <c r="BO291" s="60" t="e">
        <f>BO$5-AL291</f>
        <v>#N/A</v>
      </c>
      <c r="BP291" s="60" t="e">
        <f>BP$5-AM291</f>
        <v>#N/A</v>
      </c>
      <c r="BQ291" s="60" t="e">
        <f>BQ$5-AN291</f>
        <v>#N/A</v>
      </c>
      <c r="BR291" s="60" t="e">
        <f>BR$5-AO291</f>
        <v>#N/A</v>
      </c>
      <c r="BS291" s="60" t="e">
        <f>BS$5-AP291</f>
        <v>#N/A</v>
      </c>
      <c r="BT291" s="60" t="e">
        <f>BT$5-AQ291</f>
        <v>#N/A</v>
      </c>
      <c r="BV291" s="60" cm="1">
        <f t="array" aca="1" ref="BV291" ca="1">SQRT(SUMSQ(_xlfn._xlws.FILTER(AV291:BT291,ISNUMBER(AV291:BT291)))/COUNT(_xlfn._xlws.FILTER(AV291:BT291,ISNUMBER(AV291:BT291))))</f>
        <v>17.198970540039063</v>
      </c>
    </row>
    <row r="292" spans="3:74" x14ac:dyDescent="0.2">
      <c r="C292" s="60" t="s">
        <v>346</v>
      </c>
      <c r="D292" s="60">
        <v>0</v>
      </c>
      <c r="E292" s="60">
        <v>-3</v>
      </c>
      <c r="F292" s="60">
        <v>-7</v>
      </c>
      <c r="G292" s="60">
        <v>-10</v>
      </c>
      <c r="H292" s="60">
        <v>-14</v>
      </c>
      <c r="I292" s="60">
        <v>-17</v>
      </c>
      <c r="J292" s="60">
        <v>-20</v>
      </c>
      <c r="K292" s="60">
        <v>-24</v>
      </c>
      <c r="L292" s="60">
        <v>-7</v>
      </c>
      <c r="M292" s="60">
        <v>10</v>
      </c>
      <c r="N292" s="60">
        <v>7</v>
      </c>
      <c r="O292" s="60">
        <v>3</v>
      </c>
      <c r="P292" s="60">
        <v>0</v>
      </c>
      <c r="R292" s="61">
        <f>(ROW(R292)-ROW($C$6))</f>
        <v>286</v>
      </c>
      <c r="S292" s="60">
        <f ca="1">100+HLOOKUP(S$4,$D$7:$P$336,$R292,FALSE)-HLOOKUP(S$3,$D$7:$P$336,$R292,FALSE)</f>
        <v>76</v>
      </c>
      <c r="T292" s="60">
        <f ca="1">100+HLOOKUP(T$4,$D$7:$P$336,$R292,FALSE)-HLOOKUP(T$3,$D$7:$P$336,$R292,FALSE)</f>
        <v>77</v>
      </c>
      <c r="U292" s="60">
        <f ca="1">100+HLOOKUP(U$4,$D$7:$P$336,$R292,FALSE)-HLOOKUP(U$3,$D$7:$P$336,$R292,FALSE)</f>
        <v>96</v>
      </c>
      <c r="V292" s="60">
        <f ca="1">100+HLOOKUP(V$4,$D$7:$P$336,$R292,FALSE)-HLOOKUP(V$3,$D$7:$P$336,$R292,FALSE)</f>
        <v>76</v>
      </c>
      <c r="W292" s="60">
        <f ca="1">100+HLOOKUP(W$4,$D$7:$P$336,$R292,FALSE)-HLOOKUP(W$3,$D$7:$P$336,$R292,FALSE)</f>
        <v>76</v>
      </c>
      <c r="X292" s="60">
        <f ca="1">100+HLOOKUP(X$4,$D$7:$P$336,$R292,FALSE)-HLOOKUP(X$3,$D$7:$P$336,$R292,FALSE)</f>
        <v>76</v>
      </c>
      <c r="Y292" s="60">
        <f ca="1">100+HLOOKUP(Y$4,$D$7:$P$336,$R292,FALSE)-HLOOKUP(Y$3,$D$7:$P$336,$R292,FALSE)</f>
        <v>77</v>
      </c>
      <c r="Z292" s="60">
        <f ca="1">100+HLOOKUP(Z$4,$D$7:$P$336,$R292,FALSE)-HLOOKUP(Z$3,$D$7:$P$336,$R292,FALSE)</f>
        <v>96</v>
      </c>
      <c r="AA292" s="60">
        <f ca="1">100+HLOOKUP(AA$4,$D$7:$P$336,$R292,FALSE)-HLOOKUP(AA$3,$D$7:$P$336,$R292,FALSE)</f>
        <v>76</v>
      </c>
      <c r="AB292" s="60">
        <f ca="1">100+HLOOKUP(AB$4,$D$7:$P$336,$R292,FALSE)-HLOOKUP(AB$3,$D$7:$P$336,$R292,FALSE)</f>
        <v>76</v>
      </c>
      <c r="AC292" s="60">
        <f ca="1">100+HLOOKUP(AC$4,$D$7:$P$336,$R292,FALSE)-HLOOKUP(AC$3,$D$7:$P$336,$R292,FALSE)</f>
        <v>117</v>
      </c>
      <c r="AD292" s="60">
        <f ca="1">100+HLOOKUP(AD$4,$D$7:$P$336,$R292,FALSE)-HLOOKUP(AD$3,$D$7:$P$336,$R292,FALSE)</f>
        <v>117</v>
      </c>
      <c r="AE292" s="60">
        <f ca="1">100+HLOOKUP(AE$4,$D$7:$P$336,$R292,FALSE)-HLOOKUP(AE$3,$D$7:$P$336,$R292,FALSE)</f>
        <v>117</v>
      </c>
      <c r="AF292" s="60">
        <f ca="1">100+HLOOKUP(AF$4,$D$7:$P$336,$R292,FALSE)-HLOOKUP(AF$3,$D$7:$P$336,$R292,FALSE)</f>
        <v>97</v>
      </c>
      <c r="AG292" s="60">
        <f ca="1">100+HLOOKUP(AG$4,$D$7:$P$336,$R292,FALSE)-HLOOKUP(AG$3,$D$7:$P$336,$R292,FALSE)</f>
        <v>76</v>
      </c>
      <c r="AH292" s="60" t="e">
        <f>100+HLOOKUP(AH$4,$D$7:$P$336,$R292,FALSE)-HLOOKUP(AH$3,$D$7:$P$336,$R292,FALSE)</f>
        <v>#N/A</v>
      </c>
      <c r="AI292" s="60" t="e">
        <f>100+HLOOKUP(AI$4,$D$7:$P$336,$R292,FALSE)-HLOOKUP(AI$3,$D$7:$P$336,$R292,FALSE)</f>
        <v>#N/A</v>
      </c>
      <c r="AJ292" s="60" t="e">
        <f>100+HLOOKUP(AJ$4,$D$7:$P$336,$R292,FALSE)-HLOOKUP(AJ$3,$D$7:$P$336,$R292,FALSE)</f>
        <v>#N/A</v>
      </c>
      <c r="AK292" s="60" t="e">
        <f>100+HLOOKUP(AK$4,$D$7:$P$336,$R292,FALSE)-HLOOKUP(AK$3,$D$7:$P$336,$R292,FALSE)</f>
        <v>#N/A</v>
      </c>
      <c r="AL292" s="60" t="e">
        <f>100+HLOOKUP(AL$4,$D$7:$P$336,$R292,FALSE)-HLOOKUP(AL$3,$D$7:$P$336,$R292,FALSE)</f>
        <v>#N/A</v>
      </c>
      <c r="AM292" s="60" t="e">
        <f>100+HLOOKUP(AM$4,$D$7:$P$336,$R292,FALSE)-HLOOKUP(AM$3,$D$7:$P$336,$R292,FALSE)</f>
        <v>#N/A</v>
      </c>
      <c r="AN292" s="60" t="e">
        <f>100+HLOOKUP(AN$4,$D$7:$P$336,$R292,FALSE)-HLOOKUP(AN$3,$D$7:$P$336,$R292,FALSE)</f>
        <v>#N/A</v>
      </c>
      <c r="AO292" s="60" t="e">
        <f>100+HLOOKUP(AO$4,$D$7:$P$336,$R292,FALSE)-HLOOKUP(AO$3,$D$7:$P$336,$R292,FALSE)</f>
        <v>#N/A</v>
      </c>
      <c r="AP292" s="60" t="e">
        <f>100+HLOOKUP(AP$4,$D$7:$P$336,$R292,FALSE)-HLOOKUP(AP$3,$D$7:$P$336,$R292,FALSE)</f>
        <v>#N/A</v>
      </c>
      <c r="AQ292" s="60" t="e">
        <f>100+HLOOKUP(AQ$4,$D$7:$P$336,$R292,FALSE)-HLOOKUP(AQ$3,$D$7:$P$336,$R292,FALSE)</f>
        <v>#N/A</v>
      </c>
      <c r="AV292" s="60">
        <f ca="1">AV$5-S292</f>
        <v>27.190399426796432</v>
      </c>
      <c r="AW292" s="60">
        <f ca="1">AW$5-T292</f>
        <v>17.220650529757748</v>
      </c>
      <c r="AX292" s="60">
        <f ca="1">AX$5-U292</f>
        <v>5.7759154036680513</v>
      </c>
      <c r="AY292" s="60">
        <f ca="1">AY$5-V292</f>
        <v>17.603014401527801</v>
      </c>
      <c r="AZ292" s="60">
        <f ca="1">AZ$5-W292</f>
        <v>21.45448217259603</v>
      </c>
      <c r="BA292" s="60">
        <f ca="1">BA$5-X292</f>
        <v>22.465059058982703</v>
      </c>
      <c r="BB292" s="60">
        <f ca="1">BB$5-Y292</f>
        <v>16.350592727381127</v>
      </c>
      <c r="BC292" s="60">
        <f ca="1">BC$5-Z292</f>
        <v>11.437465909882164</v>
      </c>
      <c r="BD292" s="60">
        <f ca="1">BD$5-AA292</f>
        <v>21.936518664382362</v>
      </c>
      <c r="BE292" s="60">
        <f ca="1">BE$5-AB292</f>
        <v>15.829390591992194</v>
      </c>
      <c r="BF292" s="60">
        <f ca="1">BF$5-AC292</f>
        <v>-15.98269568352292</v>
      </c>
      <c r="BG292" s="60">
        <f ca="1">BG$5-AD292</f>
        <v>-13.014741294981491</v>
      </c>
      <c r="BH292" s="60">
        <f ca="1">BH$5-AE292</f>
        <v>-18.045407769632433</v>
      </c>
      <c r="BI292" s="60">
        <f ca="1">BI$5-AF292</f>
        <v>-6.3914944887451952</v>
      </c>
      <c r="BJ292" s="60">
        <f ca="1">BJ$5-AG292</f>
        <v>15.43955105767877</v>
      </c>
      <c r="BK292" s="60" t="e">
        <f>BK$5-AH292</f>
        <v>#N/A</v>
      </c>
      <c r="BL292" s="60" t="e">
        <f>BL$5-AI292</f>
        <v>#N/A</v>
      </c>
      <c r="BM292" s="60" t="e">
        <f>BM$5-AJ292</f>
        <v>#N/A</v>
      </c>
      <c r="BN292" s="60" t="e">
        <f>BN$5-AK292</f>
        <v>#N/A</v>
      </c>
      <c r="BO292" s="60" t="e">
        <f>BO$5-AL292</f>
        <v>#N/A</v>
      </c>
      <c r="BP292" s="60" t="e">
        <f>BP$5-AM292</f>
        <v>#N/A</v>
      </c>
      <c r="BQ292" s="60" t="e">
        <f>BQ$5-AN292</f>
        <v>#N/A</v>
      </c>
      <c r="BR292" s="60" t="e">
        <f>BR$5-AO292</f>
        <v>#N/A</v>
      </c>
      <c r="BS292" s="60" t="e">
        <f>BS$5-AP292</f>
        <v>#N/A</v>
      </c>
      <c r="BT292" s="60" t="e">
        <f>BT$5-AQ292</f>
        <v>#N/A</v>
      </c>
      <c r="BV292" s="60" cm="1">
        <f t="array" aca="1" ref="BV292" ca="1">SQRT(SUMSQ(_xlfn._xlws.FILTER(AV292:BT292,ISNUMBER(AV292:BT292)))/COUNT(_xlfn._xlws.FILTER(AV292:BT292,ISNUMBER(AV292:BT292))))</f>
        <v>17.327637506539304</v>
      </c>
    </row>
    <row r="293" spans="3:74" x14ac:dyDescent="0.2">
      <c r="C293" s="60" t="s">
        <v>361</v>
      </c>
      <c r="D293" s="60">
        <v>0</v>
      </c>
      <c r="E293" s="60">
        <v>-2.8239999999999998</v>
      </c>
      <c r="F293" s="60">
        <v>-5.6479999999999997</v>
      </c>
      <c r="G293" s="60">
        <v>-8.4719999999999995</v>
      </c>
      <c r="H293" s="60">
        <v>-11.297000000000001</v>
      </c>
      <c r="I293" s="60">
        <v>-14.121</v>
      </c>
      <c r="J293" s="60">
        <v>-16.945</v>
      </c>
      <c r="K293" s="60">
        <v>-19.768999999999998</v>
      </c>
      <c r="L293" s="60">
        <v>-22.593</v>
      </c>
      <c r="M293" s="60">
        <v>8.4719999999999995</v>
      </c>
      <c r="N293" s="60">
        <v>5.6479999999999997</v>
      </c>
      <c r="O293" s="60">
        <v>2.8239999999999998</v>
      </c>
      <c r="P293" s="60">
        <v>0</v>
      </c>
      <c r="R293" s="61">
        <f>(ROW(R293)-ROW($C$6))</f>
        <v>287</v>
      </c>
      <c r="S293" s="60">
        <f ca="1">100+HLOOKUP(S$4,$D$7:$P$336,$R293,FALSE)-HLOOKUP(S$3,$D$7:$P$336,$R293,FALSE)</f>
        <v>80.231000000000009</v>
      </c>
      <c r="T293" s="60">
        <f ca="1">100+HLOOKUP(T$4,$D$7:$P$336,$R293,FALSE)-HLOOKUP(T$3,$D$7:$P$336,$R293,FALSE)</f>
        <v>80.231000000000009</v>
      </c>
      <c r="U293" s="60">
        <f ca="1">100+HLOOKUP(U$4,$D$7:$P$336,$R293,FALSE)-HLOOKUP(U$3,$D$7:$P$336,$R293,FALSE)</f>
        <v>80.230999999999995</v>
      </c>
      <c r="V293" s="60">
        <f ca="1">100+HLOOKUP(V$4,$D$7:$P$336,$R293,FALSE)-HLOOKUP(V$3,$D$7:$P$336,$R293,FALSE)</f>
        <v>80.231000000000009</v>
      </c>
      <c r="W293" s="60">
        <f ca="1">100+HLOOKUP(W$4,$D$7:$P$336,$R293,FALSE)-HLOOKUP(W$3,$D$7:$P$336,$R293,FALSE)</f>
        <v>80.230999999999995</v>
      </c>
      <c r="X293" s="60">
        <f ca="1">100+HLOOKUP(X$4,$D$7:$P$336,$R293,FALSE)-HLOOKUP(X$3,$D$7:$P$336,$R293,FALSE)</f>
        <v>80.231000000000009</v>
      </c>
      <c r="Y293" s="60">
        <f ca="1">100+HLOOKUP(Y$4,$D$7:$P$336,$R293,FALSE)-HLOOKUP(Y$3,$D$7:$P$336,$R293,FALSE)</f>
        <v>80.231000000000009</v>
      </c>
      <c r="Z293" s="60">
        <f ca="1">100+HLOOKUP(Z$4,$D$7:$P$336,$R293,FALSE)-HLOOKUP(Z$3,$D$7:$P$336,$R293,FALSE)</f>
        <v>80.230999999999995</v>
      </c>
      <c r="AA293" s="60">
        <f ca="1">100+HLOOKUP(AA$4,$D$7:$P$336,$R293,FALSE)-HLOOKUP(AA$3,$D$7:$P$336,$R293,FALSE)</f>
        <v>80.231000000000009</v>
      </c>
      <c r="AB293" s="60">
        <f ca="1">100+HLOOKUP(AB$4,$D$7:$P$336,$R293,FALSE)-HLOOKUP(AB$3,$D$7:$P$336,$R293,FALSE)</f>
        <v>80.230999999999995</v>
      </c>
      <c r="AC293" s="60">
        <f ca="1">100+HLOOKUP(AC$4,$D$7:$P$336,$R293,FALSE)-HLOOKUP(AC$3,$D$7:$P$336,$R293,FALSE)</f>
        <v>114.11999999999999</v>
      </c>
      <c r="AD293" s="60">
        <f ca="1">100+HLOOKUP(AD$4,$D$7:$P$336,$R293,FALSE)-HLOOKUP(AD$3,$D$7:$P$336,$R293,FALSE)</f>
        <v>114.121</v>
      </c>
      <c r="AE293" s="60">
        <f ca="1">100+HLOOKUP(AE$4,$D$7:$P$336,$R293,FALSE)-HLOOKUP(AE$3,$D$7:$P$336,$R293,FALSE)</f>
        <v>114.12100000000001</v>
      </c>
      <c r="AF293" s="60">
        <f ca="1">100+HLOOKUP(AF$4,$D$7:$P$336,$R293,FALSE)-HLOOKUP(AF$3,$D$7:$P$336,$R293,FALSE)</f>
        <v>114.12100000000001</v>
      </c>
      <c r="AG293" s="60">
        <f ca="1">100+HLOOKUP(AG$4,$D$7:$P$336,$R293,FALSE)-HLOOKUP(AG$3,$D$7:$P$336,$R293,FALSE)</f>
        <v>80.231000000000009</v>
      </c>
      <c r="AH293" s="60" t="e">
        <f>100+HLOOKUP(AH$4,$D$7:$P$336,$R293,FALSE)-HLOOKUP(AH$3,$D$7:$P$336,$R293,FALSE)</f>
        <v>#N/A</v>
      </c>
      <c r="AI293" s="60" t="e">
        <f>100+HLOOKUP(AI$4,$D$7:$P$336,$R293,FALSE)-HLOOKUP(AI$3,$D$7:$P$336,$R293,FALSE)</f>
        <v>#N/A</v>
      </c>
      <c r="AJ293" s="60" t="e">
        <f>100+HLOOKUP(AJ$4,$D$7:$P$336,$R293,FALSE)-HLOOKUP(AJ$3,$D$7:$P$336,$R293,FALSE)</f>
        <v>#N/A</v>
      </c>
      <c r="AK293" s="60" t="e">
        <f>100+HLOOKUP(AK$4,$D$7:$P$336,$R293,FALSE)-HLOOKUP(AK$3,$D$7:$P$336,$R293,FALSE)</f>
        <v>#N/A</v>
      </c>
      <c r="AL293" s="60" t="e">
        <f>100+HLOOKUP(AL$4,$D$7:$P$336,$R293,FALSE)-HLOOKUP(AL$3,$D$7:$P$336,$R293,FALSE)</f>
        <v>#N/A</v>
      </c>
      <c r="AM293" s="60" t="e">
        <f>100+HLOOKUP(AM$4,$D$7:$P$336,$R293,FALSE)-HLOOKUP(AM$3,$D$7:$P$336,$R293,FALSE)</f>
        <v>#N/A</v>
      </c>
      <c r="AN293" s="60" t="e">
        <f>100+HLOOKUP(AN$4,$D$7:$P$336,$R293,FALSE)-HLOOKUP(AN$3,$D$7:$P$336,$R293,FALSE)</f>
        <v>#N/A</v>
      </c>
      <c r="AO293" s="60" t="e">
        <f>100+HLOOKUP(AO$4,$D$7:$P$336,$R293,FALSE)-HLOOKUP(AO$3,$D$7:$P$336,$R293,FALSE)</f>
        <v>#N/A</v>
      </c>
      <c r="AP293" s="60" t="e">
        <f>100+HLOOKUP(AP$4,$D$7:$P$336,$R293,FALSE)-HLOOKUP(AP$3,$D$7:$P$336,$R293,FALSE)</f>
        <v>#N/A</v>
      </c>
      <c r="AQ293" s="60" t="e">
        <f>100+HLOOKUP(AQ$4,$D$7:$P$336,$R293,FALSE)-HLOOKUP(AQ$3,$D$7:$P$336,$R293,FALSE)</f>
        <v>#N/A</v>
      </c>
      <c r="AV293" s="60">
        <f ca="1">AV$5-S293</f>
        <v>22.959399426796423</v>
      </c>
      <c r="AW293" s="60">
        <f ca="1">AW$5-T293</f>
        <v>13.989650529757739</v>
      </c>
      <c r="AX293" s="60">
        <f ca="1">AX$5-U293</f>
        <v>21.544915403668057</v>
      </c>
      <c r="AY293" s="60">
        <f ca="1">AY$5-V293</f>
        <v>13.372014401527792</v>
      </c>
      <c r="AZ293" s="60">
        <f ca="1">AZ$5-W293</f>
        <v>17.223482172596036</v>
      </c>
      <c r="BA293" s="60">
        <f ca="1">BA$5-X293</f>
        <v>18.234059058982695</v>
      </c>
      <c r="BB293" s="60">
        <f ca="1">BB$5-Y293</f>
        <v>13.119592727381118</v>
      </c>
      <c r="BC293" s="60">
        <f ca="1">BC$5-Z293</f>
        <v>27.206465909882169</v>
      </c>
      <c r="BD293" s="60">
        <f ca="1">BD$5-AA293</f>
        <v>17.705518664382353</v>
      </c>
      <c r="BE293" s="60">
        <f ca="1">BE$5-AB293</f>
        <v>11.598390591992199</v>
      </c>
      <c r="BF293" s="60">
        <f ca="1">BF$5-AC293</f>
        <v>-13.10269568352291</v>
      </c>
      <c r="BG293" s="60">
        <f ca="1">BG$5-AD293</f>
        <v>-10.135741294981486</v>
      </c>
      <c r="BH293" s="60">
        <f ca="1">BH$5-AE293</f>
        <v>-15.166407769632443</v>
      </c>
      <c r="BI293" s="60">
        <f ca="1">BI$5-AF293</f>
        <v>-23.512494488745205</v>
      </c>
      <c r="BJ293" s="60">
        <f ca="1">BJ$5-AG293</f>
        <v>11.208551057678761</v>
      </c>
      <c r="BK293" s="60" t="e">
        <f>BK$5-AH293</f>
        <v>#N/A</v>
      </c>
      <c r="BL293" s="60" t="e">
        <f>BL$5-AI293</f>
        <v>#N/A</v>
      </c>
      <c r="BM293" s="60" t="e">
        <f>BM$5-AJ293</f>
        <v>#N/A</v>
      </c>
      <c r="BN293" s="60" t="e">
        <f>BN$5-AK293</f>
        <v>#N/A</v>
      </c>
      <c r="BO293" s="60" t="e">
        <f>BO$5-AL293</f>
        <v>#N/A</v>
      </c>
      <c r="BP293" s="60" t="e">
        <f>BP$5-AM293</f>
        <v>#N/A</v>
      </c>
      <c r="BQ293" s="60" t="e">
        <f>BQ$5-AN293</f>
        <v>#N/A</v>
      </c>
      <c r="BR293" s="60" t="e">
        <f>BR$5-AO293</f>
        <v>#N/A</v>
      </c>
      <c r="BS293" s="60" t="e">
        <f>BS$5-AP293</f>
        <v>#N/A</v>
      </c>
      <c r="BT293" s="60" t="e">
        <f>BT$5-AQ293</f>
        <v>#N/A</v>
      </c>
      <c r="BV293" s="60" cm="1">
        <f t="array" aca="1" ref="BV293" ca="1">SQRT(SUMSQ(_xlfn._xlws.FILTER(AV293:BT293,ISNUMBER(AV293:BT293)))/COUNT(_xlfn._xlws.FILTER(AV293:BT293,ISNUMBER(AV293:BT293))))</f>
        <v>17.393857385578364</v>
      </c>
    </row>
    <row r="294" spans="3:74" x14ac:dyDescent="0.2">
      <c r="C294" s="60" t="s">
        <v>336</v>
      </c>
      <c r="D294" s="60">
        <v>0</v>
      </c>
      <c r="E294" s="60">
        <v>-2.823</v>
      </c>
      <c r="F294" s="60">
        <v>-5.6479999999999997</v>
      </c>
      <c r="G294" s="60">
        <v>-8.4710000000000001</v>
      </c>
      <c r="H294" s="60">
        <v>-11.295999999999999</v>
      </c>
      <c r="I294" s="60">
        <v>-14.119</v>
      </c>
      <c r="J294" s="60">
        <v>-16.943999999999999</v>
      </c>
      <c r="K294" s="60">
        <v>-19.768999999999998</v>
      </c>
      <c r="L294" s="60">
        <v>-22.591999999999999</v>
      </c>
      <c r="M294" s="60">
        <v>8.4730000000000008</v>
      </c>
      <c r="N294" s="60">
        <v>5.65</v>
      </c>
      <c r="O294" s="60">
        <v>2.8250000000000002</v>
      </c>
      <c r="P294" s="60">
        <v>0</v>
      </c>
      <c r="R294" s="61">
        <f>(ROW(R294)-ROW($C$6))</f>
        <v>288</v>
      </c>
      <c r="S294" s="60">
        <f ca="1">100+HLOOKUP(S$4,$D$7:$P$336,$R294,FALSE)-HLOOKUP(S$3,$D$7:$P$336,$R294,FALSE)</f>
        <v>80.231000000000009</v>
      </c>
      <c r="T294" s="60">
        <f ca="1">100+HLOOKUP(T$4,$D$7:$P$336,$R294,FALSE)-HLOOKUP(T$3,$D$7:$P$336,$R294,FALSE)</f>
        <v>80.230999999999995</v>
      </c>
      <c r="U294" s="60">
        <f ca="1">100+HLOOKUP(U$4,$D$7:$P$336,$R294,FALSE)-HLOOKUP(U$3,$D$7:$P$336,$R294,FALSE)</f>
        <v>80.230999999999995</v>
      </c>
      <c r="V294" s="60">
        <f ca="1">100+HLOOKUP(V$4,$D$7:$P$336,$R294,FALSE)-HLOOKUP(V$3,$D$7:$P$336,$R294,FALSE)</f>
        <v>80.230999999999995</v>
      </c>
      <c r="W294" s="60">
        <f ca="1">100+HLOOKUP(W$4,$D$7:$P$336,$R294,FALSE)-HLOOKUP(W$3,$D$7:$P$336,$R294,FALSE)</f>
        <v>80.230999999999995</v>
      </c>
      <c r="X294" s="60">
        <f ca="1">100+HLOOKUP(X$4,$D$7:$P$336,$R294,FALSE)-HLOOKUP(X$3,$D$7:$P$336,$R294,FALSE)</f>
        <v>80.231000000000009</v>
      </c>
      <c r="Y294" s="60">
        <f ca="1">100+HLOOKUP(Y$4,$D$7:$P$336,$R294,FALSE)-HLOOKUP(Y$3,$D$7:$P$336,$R294,FALSE)</f>
        <v>80.230999999999995</v>
      </c>
      <c r="Z294" s="60">
        <f ca="1">100+HLOOKUP(Z$4,$D$7:$P$336,$R294,FALSE)-HLOOKUP(Z$3,$D$7:$P$336,$R294,FALSE)</f>
        <v>80.230999999999995</v>
      </c>
      <c r="AA294" s="60">
        <f ca="1">100+HLOOKUP(AA$4,$D$7:$P$336,$R294,FALSE)-HLOOKUP(AA$3,$D$7:$P$336,$R294,FALSE)</f>
        <v>80.230999999999995</v>
      </c>
      <c r="AB294" s="60">
        <f ca="1">100+HLOOKUP(AB$4,$D$7:$P$336,$R294,FALSE)-HLOOKUP(AB$3,$D$7:$P$336,$R294,FALSE)</f>
        <v>80.230999999999995</v>
      </c>
      <c r="AC294" s="60">
        <f ca="1">100+HLOOKUP(AC$4,$D$7:$P$336,$R294,FALSE)-HLOOKUP(AC$3,$D$7:$P$336,$R294,FALSE)</f>
        <v>114.121</v>
      </c>
      <c r="AD294" s="60">
        <f ca="1">100+HLOOKUP(AD$4,$D$7:$P$336,$R294,FALSE)-HLOOKUP(AD$3,$D$7:$P$336,$R294,FALSE)</f>
        <v>114.12100000000001</v>
      </c>
      <c r="AE294" s="60">
        <f ca="1">100+HLOOKUP(AE$4,$D$7:$P$336,$R294,FALSE)-HLOOKUP(AE$3,$D$7:$P$336,$R294,FALSE)</f>
        <v>114.12100000000001</v>
      </c>
      <c r="AF294" s="60">
        <f ca="1">100+HLOOKUP(AF$4,$D$7:$P$336,$R294,FALSE)-HLOOKUP(AF$3,$D$7:$P$336,$R294,FALSE)</f>
        <v>114.121</v>
      </c>
      <c r="AG294" s="60">
        <f ca="1">100+HLOOKUP(AG$4,$D$7:$P$336,$R294,FALSE)-HLOOKUP(AG$3,$D$7:$P$336,$R294,FALSE)</f>
        <v>80.230999999999995</v>
      </c>
      <c r="AH294" s="60" t="e">
        <f>100+HLOOKUP(AH$4,$D$7:$P$336,$R294,FALSE)-HLOOKUP(AH$3,$D$7:$P$336,$R294,FALSE)</f>
        <v>#N/A</v>
      </c>
      <c r="AI294" s="60" t="e">
        <f>100+HLOOKUP(AI$4,$D$7:$P$336,$R294,FALSE)-HLOOKUP(AI$3,$D$7:$P$336,$R294,FALSE)</f>
        <v>#N/A</v>
      </c>
      <c r="AJ294" s="60" t="e">
        <f>100+HLOOKUP(AJ$4,$D$7:$P$336,$R294,FALSE)-HLOOKUP(AJ$3,$D$7:$P$336,$R294,FALSE)</f>
        <v>#N/A</v>
      </c>
      <c r="AK294" s="60" t="e">
        <f>100+HLOOKUP(AK$4,$D$7:$P$336,$R294,FALSE)-HLOOKUP(AK$3,$D$7:$P$336,$R294,FALSE)</f>
        <v>#N/A</v>
      </c>
      <c r="AL294" s="60" t="e">
        <f>100+HLOOKUP(AL$4,$D$7:$P$336,$R294,FALSE)-HLOOKUP(AL$3,$D$7:$P$336,$R294,FALSE)</f>
        <v>#N/A</v>
      </c>
      <c r="AM294" s="60" t="e">
        <f>100+HLOOKUP(AM$4,$D$7:$P$336,$R294,FALSE)-HLOOKUP(AM$3,$D$7:$P$336,$R294,FALSE)</f>
        <v>#N/A</v>
      </c>
      <c r="AN294" s="60" t="e">
        <f>100+HLOOKUP(AN$4,$D$7:$P$336,$R294,FALSE)-HLOOKUP(AN$3,$D$7:$P$336,$R294,FALSE)</f>
        <v>#N/A</v>
      </c>
      <c r="AO294" s="60" t="e">
        <f>100+HLOOKUP(AO$4,$D$7:$P$336,$R294,FALSE)-HLOOKUP(AO$3,$D$7:$P$336,$R294,FALSE)</f>
        <v>#N/A</v>
      </c>
      <c r="AP294" s="60" t="e">
        <f>100+HLOOKUP(AP$4,$D$7:$P$336,$R294,FALSE)-HLOOKUP(AP$3,$D$7:$P$336,$R294,FALSE)</f>
        <v>#N/A</v>
      </c>
      <c r="AQ294" s="60" t="e">
        <f>100+HLOOKUP(AQ$4,$D$7:$P$336,$R294,FALSE)-HLOOKUP(AQ$3,$D$7:$P$336,$R294,FALSE)</f>
        <v>#N/A</v>
      </c>
      <c r="AV294" s="60">
        <f ca="1">AV$5-S294</f>
        <v>22.959399426796423</v>
      </c>
      <c r="AW294" s="60">
        <f ca="1">AW$5-T294</f>
        <v>13.989650529757753</v>
      </c>
      <c r="AX294" s="60">
        <f ca="1">AX$5-U294</f>
        <v>21.544915403668057</v>
      </c>
      <c r="AY294" s="60">
        <f ca="1">AY$5-V294</f>
        <v>13.372014401527807</v>
      </c>
      <c r="AZ294" s="60">
        <f ca="1">AZ$5-W294</f>
        <v>17.223482172596036</v>
      </c>
      <c r="BA294" s="60">
        <f ca="1">BA$5-X294</f>
        <v>18.234059058982695</v>
      </c>
      <c r="BB294" s="60">
        <f ca="1">BB$5-Y294</f>
        <v>13.119592727381132</v>
      </c>
      <c r="BC294" s="60">
        <f ca="1">BC$5-Z294</f>
        <v>27.206465909882169</v>
      </c>
      <c r="BD294" s="60">
        <f ca="1">BD$5-AA294</f>
        <v>17.705518664382367</v>
      </c>
      <c r="BE294" s="60">
        <f ca="1">BE$5-AB294</f>
        <v>11.598390591992199</v>
      </c>
      <c r="BF294" s="60">
        <f ca="1">BF$5-AC294</f>
        <v>-13.103695683522915</v>
      </c>
      <c r="BG294" s="60">
        <f ca="1">BG$5-AD294</f>
        <v>-10.1357412949815</v>
      </c>
      <c r="BH294" s="60">
        <f ca="1">BH$5-AE294</f>
        <v>-15.166407769632443</v>
      </c>
      <c r="BI294" s="60">
        <f ca="1">BI$5-AF294</f>
        <v>-23.51249448874519</v>
      </c>
      <c r="BJ294" s="60">
        <f ca="1">BJ$5-AG294</f>
        <v>11.208551057678775</v>
      </c>
      <c r="BK294" s="60" t="e">
        <f>BK$5-AH294</f>
        <v>#N/A</v>
      </c>
      <c r="BL294" s="60" t="e">
        <f>BL$5-AI294</f>
        <v>#N/A</v>
      </c>
      <c r="BM294" s="60" t="e">
        <f>BM$5-AJ294</f>
        <v>#N/A</v>
      </c>
      <c r="BN294" s="60" t="e">
        <f>BN$5-AK294</f>
        <v>#N/A</v>
      </c>
      <c r="BO294" s="60" t="e">
        <f>BO$5-AL294</f>
        <v>#N/A</v>
      </c>
      <c r="BP294" s="60" t="e">
        <f>BP$5-AM294</f>
        <v>#N/A</v>
      </c>
      <c r="BQ294" s="60" t="e">
        <f>BQ$5-AN294</f>
        <v>#N/A</v>
      </c>
      <c r="BR294" s="60" t="e">
        <f>BR$5-AO294</f>
        <v>#N/A</v>
      </c>
      <c r="BS294" s="60" t="e">
        <f>BS$5-AP294</f>
        <v>#N/A</v>
      </c>
      <c r="BT294" s="60" t="e">
        <f>BT$5-AQ294</f>
        <v>#N/A</v>
      </c>
      <c r="BV294" s="60" cm="1">
        <f t="array" aca="1" ref="BV294" ca="1">SQRT(SUMSQ(_xlfn._xlws.FILTER(AV294:BT294,ISNUMBER(AV294:BT294)))/COUNT(_xlfn._xlws.FILTER(AV294:BT294,ISNUMBER(AV294:BT294))))</f>
        <v>17.393907607050149</v>
      </c>
    </row>
    <row r="295" spans="3:74" x14ac:dyDescent="0.2">
      <c r="C295" s="60" t="s">
        <v>335</v>
      </c>
      <c r="D295" s="60">
        <v>0</v>
      </c>
      <c r="E295" s="60">
        <v>-3</v>
      </c>
      <c r="F295" s="60">
        <v>-6</v>
      </c>
      <c r="G295" s="60">
        <v>-8</v>
      </c>
      <c r="H295" s="60">
        <v>-11</v>
      </c>
      <c r="I295" s="60">
        <v>-14</v>
      </c>
      <c r="J295" s="60">
        <v>-17</v>
      </c>
      <c r="K295" s="60">
        <v>-20</v>
      </c>
      <c r="L295" s="60">
        <v>-23</v>
      </c>
      <c r="M295" s="60">
        <v>8</v>
      </c>
      <c r="N295" s="60">
        <v>6</v>
      </c>
      <c r="O295" s="60">
        <v>3</v>
      </c>
      <c r="P295" s="60">
        <v>0</v>
      </c>
      <c r="R295" s="61">
        <f>(ROW(R295)-ROW($C$6))</f>
        <v>289</v>
      </c>
      <c r="S295" s="60">
        <f ca="1">100+HLOOKUP(S$4,$D$7:$P$336,$R295,FALSE)-HLOOKUP(S$3,$D$7:$P$336,$R295,FALSE)</f>
        <v>81</v>
      </c>
      <c r="T295" s="60">
        <f ca="1">100+HLOOKUP(T$4,$D$7:$P$336,$R295,FALSE)-HLOOKUP(T$3,$D$7:$P$336,$R295,FALSE)</f>
        <v>80</v>
      </c>
      <c r="U295" s="60">
        <f ca="1">100+HLOOKUP(U$4,$D$7:$P$336,$R295,FALSE)-HLOOKUP(U$3,$D$7:$P$336,$R295,FALSE)</f>
        <v>80</v>
      </c>
      <c r="V295" s="60">
        <f ca="1">100+HLOOKUP(V$4,$D$7:$P$336,$R295,FALSE)-HLOOKUP(V$3,$D$7:$P$336,$R295,FALSE)</f>
        <v>80</v>
      </c>
      <c r="W295" s="60">
        <f ca="1">100+HLOOKUP(W$4,$D$7:$P$336,$R295,FALSE)-HLOOKUP(W$3,$D$7:$P$336,$R295,FALSE)</f>
        <v>80</v>
      </c>
      <c r="X295" s="60">
        <f ca="1">100+HLOOKUP(X$4,$D$7:$P$336,$R295,FALSE)-HLOOKUP(X$3,$D$7:$P$336,$R295,FALSE)</f>
        <v>81</v>
      </c>
      <c r="Y295" s="60">
        <f ca="1">100+HLOOKUP(Y$4,$D$7:$P$336,$R295,FALSE)-HLOOKUP(Y$3,$D$7:$P$336,$R295,FALSE)</f>
        <v>80</v>
      </c>
      <c r="Z295" s="60">
        <f ca="1">100+HLOOKUP(Z$4,$D$7:$P$336,$R295,FALSE)-HLOOKUP(Z$3,$D$7:$P$336,$R295,FALSE)</f>
        <v>80</v>
      </c>
      <c r="AA295" s="60">
        <f ca="1">100+HLOOKUP(AA$4,$D$7:$P$336,$R295,FALSE)-HLOOKUP(AA$3,$D$7:$P$336,$R295,FALSE)</f>
        <v>80</v>
      </c>
      <c r="AB295" s="60">
        <f ca="1">100+HLOOKUP(AB$4,$D$7:$P$336,$R295,FALSE)-HLOOKUP(AB$3,$D$7:$P$336,$R295,FALSE)</f>
        <v>80</v>
      </c>
      <c r="AC295" s="60">
        <f ca="1">100+HLOOKUP(AC$4,$D$7:$P$336,$R295,FALSE)-HLOOKUP(AC$3,$D$7:$P$336,$R295,FALSE)</f>
        <v>114</v>
      </c>
      <c r="AD295" s="60">
        <f ca="1">100+HLOOKUP(AD$4,$D$7:$P$336,$R295,FALSE)-HLOOKUP(AD$3,$D$7:$P$336,$R295,FALSE)</f>
        <v>114</v>
      </c>
      <c r="AE295" s="60">
        <f ca="1">100+HLOOKUP(AE$4,$D$7:$P$336,$R295,FALSE)-HLOOKUP(AE$3,$D$7:$P$336,$R295,FALSE)</f>
        <v>114</v>
      </c>
      <c r="AF295" s="60">
        <f ca="1">100+HLOOKUP(AF$4,$D$7:$P$336,$R295,FALSE)-HLOOKUP(AF$3,$D$7:$P$336,$R295,FALSE)</f>
        <v>115</v>
      </c>
      <c r="AG295" s="60">
        <f ca="1">100+HLOOKUP(AG$4,$D$7:$P$336,$R295,FALSE)-HLOOKUP(AG$3,$D$7:$P$336,$R295,FALSE)</f>
        <v>80</v>
      </c>
      <c r="AH295" s="60" t="e">
        <f>100+HLOOKUP(AH$4,$D$7:$P$336,$R295,FALSE)-HLOOKUP(AH$3,$D$7:$P$336,$R295,FALSE)</f>
        <v>#N/A</v>
      </c>
      <c r="AI295" s="60" t="e">
        <f>100+HLOOKUP(AI$4,$D$7:$P$336,$R295,FALSE)-HLOOKUP(AI$3,$D$7:$P$336,$R295,FALSE)</f>
        <v>#N/A</v>
      </c>
      <c r="AJ295" s="60" t="e">
        <f>100+HLOOKUP(AJ$4,$D$7:$P$336,$R295,FALSE)-HLOOKUP(AJ$3,$D$7:$P$336,$R295,FALSE)</f>
        <v>#N/A</v>
      </c>
      <c r="AK295" s="60" t="e">
        <f>100+HLOOKUP(AK$4,$D$7:$P$336,$R295,FALSE)-HLOOKUP(AK$3,$D$7:$P$336,$R295,FALSE)</f>
        <v>#N/A</v>
      </c>
      <c r="AL295" s="60" t="e">
        <f>100+HLOOKUP(AL$4,$D$7:$P$336,$R295,FALSE)-HLOOKUP(AL$3,$D$7:$P$336,$R295,FALSE)</f>
        <v>#N/A</v>
      </c>
      <c r="AM295" s="60" t="e">
        <f>100+HLOOKUP(AM$4,$D$7:$P$336,$R295,FALSE)-HLOOKUP(AM$3,$D$7:$P$336,$R295,FALSE)</f>
        <v>#N/A</v>
      </c>
      <c r="AN295" s="60" t="e">
        <f>100+HLOOKUP(AN$4,$D$7:$P$336,$R295,FALSE)-HLOOKUP(AN$3,$D$7:$P$336,$R295,FALSE)</f>
        <v>#N/A</v>
      </c>
      <c r="AO295" s="60" t="e">
        <f>100+HLOOKUP(AO$4,$D$7:$P$336,$R295,FALSE)-HLOOKUP(AO$3,$D$7:$P$336,$R295,FALSE)</f>
        <v>#N/A</v>
      </c>
      <c r="AP295" s="60" t="e">
        <f>100+HLOOKUP(AP$4,$D$7:$P$336,$R295,FALSE)-HLOOKUP(AP$3,$D$7:$P$336,$R295,FALSE)</f>
        <v>#N/A</v>
      </c>
      <c r="AQ295" s="60" t="e">
        <f>100+HLOOKUP(AQ$4,$D$7:$P$336,$R295,FALSE)-HLOOKUP(AQ$3,$D$7:$P$336,$R295,FALSE)</f>
        <v>#N/A</v>
      </c>
      <c r="AV295" s="60">
        <f ca="1">AV$5-S295</f>
        <v>22.190399426796432</v>
      </c>
      <c r="AW295" s="60">
        <f ca="1">AW$5-T295</f>
        <v>14.220650529757748</v>
      </c>
      <c r="AX295" s="60">
        <f ca="1">AX$5-U295</f>
        <v>21.775915403668051</v>
      </c>
      <c r="AY295" s="60">
        <f ca="1">AY$5-V295</f>
        <v>13.603014401527801</v>
      </c>
      <c r="AZ295" s="60">
        <f ca="1">AZ$5-W295</f>
        <v>17.45448217259603</v>
      </c>
      <c r="BA295" s="60">
        <f ca="1">BA$5-X295</f>
        <v>17.465059058982703</v>
      </c>
      <c r="BB295" s="60">
        <f ca="1">BB$5-Y295</f>
        <v>13.350592727381127</v>
      </c>
      <c r="BC295" s="60">
        <f ca="1">BC$5-Z295</f>
        <v>27.437465909882164</v>
      </c>
      <c r="BD295" s="60">
        <f ca="1">BD$5-AA295</f>
        <v>17.936518664382362</v>
      </c>
      <c r="BE295" s="60">
        <f ca="1">BE$5-AB295</f>
        <v>11.829390591992194</v>
      </c>
      <c r="BF295" s="60">
        <f ca="1">BF$5-AC295</f>
        <v>-12.98269568352292</v>
      </c>
      <c r="BG295" s="60">
        <f ca="1">BG$5-AD295</f>
        <v>-10.014741294981491</v>
      </c>
      <c r="BH295" s="60">
        <f ca="1">BH$5-AE295</f>
        <v>-15.045407769632433</v>
      </c>
      <c r="BI295" s="60">
        <f ca="1">BI$5-AF295</f>
        <v>-24.391494488745195</v>
      </c>
      <c r="BJ295" s="60">
        <f ca="1">BJ$5-AG295</f>
        <v>11.43955105767877</v>
      </c>
      <c r="BK295" s="60" t="e">
        <f>BK$5-AH295</f>
        <v>#N/A</v>
      </c>
      <c r="BL295" s="60" t="e">
        <f>BL$5-AI295</f>
        <v>#N/A</v>
      </c>
      <c r="BM295" s="60" t="e">
        <f>BM$5-AJ295</f>
        <v>#N/A</v>
      </c>
      <c r="BN295" s="60" t="e">
        <f>BN$5-AK295</f>
        <v>#N/A</v>
      </c>
      <c r="BO295" s="60" t="e">
        <f>BO$5-AL295</f>
        <v>#N/A</v>
      </c>
      <c r="BP295" s="60" t="e">
        <f>BP$5-AM295</f>
        <v>#N/A</v>
      </c>
      <c r="BQ295" s="60" t="e">
        <f>BQ$5-AN295</f>
        <v>#N/A</v>
      </c>
      <c r="BR295" s="60" t="e">
        <f>BR$5-AO295</f>
        <v>#N/A</v>
      </c>
      <c r="BS295" s="60" t="e">
        <f>BS$5-AP295</f>
        <v>#N/A</v>
      </c>
      <c r="BT295" s="60" t="e">
        <f>BT$5-AQ295</f>
        <v>#N/A</v>
      </c>
      <c r="BV295" s="60" cm="1">
        <f t="array" aca="1" ref="BV295" ca="1">SQRT(SUMSQ(_xlfn._xlws.FILTER(AV295:BT295,ISNUMBER(AV295:BT295)))/COUNT(_xlfn._xlws.FILTER(AV295:BT295,ISNUMBER(AV295:BT295))))</f>
        <v>17.468609101287917</v>
      </c>
    </row>
    <row r="296" spans="3:74" x14ac:dyDescent="0.2">
      <c r="C296" s="60" t="s">
        <v>360</v>
      </c>
      <c r="D296" s="60">
        <v>0</v>
      </c>
      <c r="E296" s="60">
        <v>-3</v>
      </c>
      <c r="F296" s="60">
        <v>-6</v>
      </c>
      <c r="G296" s="60">
        <v>-8</v>
      </c>
      <c r="H296" s="60">
        <v>-11</v>
      </c>
      <c r="I296" s="60">
        <v>-14</v>
      </c>
      <c r="J296" s="60">
        <v>-17</v>
      </c>
      <c r="K296" s="60">
        <v>-20</v>
      </c>
      <c r="L296" s="60">
        <v>-23</v>
      </c>
      <c r="M296" s="60">
        <v>8</v>
      </c>
      <c r="N296" s="60">
        <v>6</v>
      </c>
      <c r="O296" s="60">
        <v>3</v>
      </c>
      <c r="P296" s="60">
        <v>0</v>
      </c>
      <c r="R296" s="61">
        <f>(ROW(R296)-ROW($C$6))</f>
        <v>290</v>
      </c>
      <c r="S296" s="60">
        <f ca="1">100+HLOOKUP(S$4,$D$7:$P$336,$R296,FALSE)-HLOOKUP(S$3,$D$7:$P$336,$R296,FALSE)</f>
        <v>81</v>
      </c>
      <c r="T296" s="60">
        <f ca="1">100+HLOOKUP(T$4,$D$7:$P$336,$R296,FALSE)-HLOOKUP(T$3,$D$7:$P$336,$R296,FALSE)</f>
        <v>80</v>
      </c>
      <c r="U296" s="60">
        <f ca="1">100+HLOOKUP(U$4,$D$7:$P$336,$R296,FALSE)-HLOOKUP(U$3,$D$7:$P$336,$R296,FALSE)</f>
        <v>80</v>
      </c>
      <c r="V296" s="60">
        <f ca="1">100+HLOOKUP(V$4,$D$7:$P$336,$R296,FALSE)-HLOOKUP(V$3,$D$7:$P$336,$R296,FALSE)</f>
        <v>80</v>
      </c>
      <c r="W296" s="60">
        <f ca="1">100+HLOOKUP(W$4,$D$7:$P$336,$R296,FALSE)-HLOOKUP(W$3,$D$7:$P$336,$R296,FALSE)</f>
        <v>80</v>
      </c>
      <c r="X296" s="60">
        <f ca="1">100+HLOOKUP(X$4,$D$7:$P$336,$R296,FALSE)-HLOOKUP(X$3,$D$7:$P$336,$R296,FALSE)</f>
        <v>81</v>
      </c>
      <c r="Y296" s="60">
        <f ca="1">100+HLOOKUP(Y$4,$D$7:$P$336,$R296,FALSE)-HLOOKUP(Y$3,$D$7:$P$336,$R296,FALSE)</f>
        <v>80</v>
      </c>
      <c r="Z296" s="60">
        <f ca="1">100+HLOOKUP(Z$4,$D$7:$P$336,$R296,FALSE)-HLOOKUP(Z$3,$D$7:$P$336,$R296,FALSE)</f>
        <v>80</v>
      </c>
      <c r="AA296" s="60">
        <f ca="1">100+HLOOKUP(AA$4,$D$7:$P$336,$R296,FALSE)-HLOOKUP(AA$3,$D$7:$P$336,$R296,FALSE)</f>
        <v>80</v>
      </c>
      <c r="AB296" s="60">
        <f ca="1">100+HLOOKUP(AB$4,$D$7:$P$336,$R296,FALSE)-HLOOKUP(AB$3,$D$7:$P$336,$R296,FALSE)</f>
        <v>80</v>
      </c>
      <c r="AC296" s="60">
        <f ca="1">100+HLOOKUP(AC$4,$D$7:$P$336,$R296,FALSE)-HLOOKUP(AC$3,$D$7:$P$336,$R296,FALSE)</f>
        <v>114</v>
      </c>
      <c r="AD296" s="60">
        <f ca="1">100+HLOOKUP(AD$4,$D$7:$P$336,$R296,FALSE)-HLOOKUP(AD$3,$D$7:$P$336,$R296,FALSE)</f>
        <v>114</v>
      </c>
      <c r="AE296" s="60">
        <f ca="1">100+HLOOKUP(AE$4,$D$7:$P$336,$R296,FALSE)-HLOOKUP(AE$3,$D$7:$P$336,$R296,FALSE)</f>
        <v>114</v>
      </c>
      <c r="AF296" s="60">
        <f ca="1">100+HLOOKUP(AF$4,$D$7:$P$336,$R296,FALSE)-HLOOKUP(AF$3,$D$7:$P$336,$R296,FALSE)</f>
        <v>115</v>
      </c>
      <c r="AG296" s="60">
        <f ca="1">100+HLOOKUP(AG$4,$D$7:$P$336,$R296,FALSE)-HLOOKUP(AG$3,$D$7:$P$336,$R296,FALSE)</f>
        <v>80</v>
      </c>
      <c r="AH296" s="60" t="e">
        <f>100+HLOOKUP(AH$4,$D$7:$P$336,$R296,FALSE)-HLOOKUP(AH$3,$D$7:$P$336,$R296,FALSE)</f>
        <v>#N/A</v>
      </c>
      <c r="AI296" s="60" t="e">
        <f>100+HLOOKUP(AI$4,$D$7:$P$336,$R296,FALSE)-HLOOKUP(AI$3,$D$7:$P$336,$R296,FALSE)</f>
        <v>#N/A</v>
      </c>
      <c r="AJ296" s="60" t="e">
        <f>100+HLOOKUP(AJ$4,$D$7:$P$336,$R296,FALSE)-HLOOKUP(AJ$3,$D$7:$P$336,$R296,FALSE)</f>
        <v>#N/A</v>
      </c>
      <c r="AK296" s="60" t="e">
        <f>100+HLOOKUP(AK$4,$D$7:$P$336,$R296,FALSE)-HLOOKUP(AK$3,$D$7:$P$336,$R296,FALSE)</f>
        <v>#N/A</v>
      </c>
      <c r="AL296" s="60" t="e">
        <f>100+HLOOKUP(AL$4,$D$7:$P$336,$R296,FALSE)-HLOOKUP(AL$3,$D$7:$P$336,$R296,FALSE)</f>
        <v>#N/A</v>
      </c>
      <c r="AM296" s="60" t="e">
        <f>100+HLOOKUP(AM$4,$D$7:$P$336,$R296,FALSE)-HLOOKUP(AM$3,$D$7:$P$336,$R296,FALSE)</f>
        <v>#N/A</v>
      </c>
      <c r="AN296" s="60" t="e">
        <f>100+HLOOKUP(AN$4,$D$7:$P$336,$R296,FALSE)-HLOOKUP(AN$3,$D$7:$P$336,$R296,FALSE)</f>
        <v>#N/A</v>
      </c>
      <c r="AO296" s="60" t="e">
        <f>100+HLOOKUP(AO$4,$D$7:$P$336,$R296,FALSE)-HLOOKUP(AO$3,$D$7:$P$336,$R296,FALSE)</f>
        <v>#N/A</v>
      </c>
      <c r="AP296" s="60" t="e">
        <f>100+HLOOKUP(AP$4,$D$7:$P$336,$R296,FALSE)-HLOOKUP(AP$3,$D$7:$P$336,$R296,FALSE)</f>
        <v>#N/A</v>
      </c>
      <c r="AQ296" s="60" t="e">
        <f>100+HLOOKUP(AQ$4,$D$7:$P$336,$R296,FALSE)-HLOOKUP(AQ$3,$D$7:$P$336,$R296,FALSE)</f>
        <v>#N/A</v>
      </c>
      <c r="AV296" s="60">
        <f ca="1">AV$5-S296</f>
        <v>22.190399426796432</v>
      </c>
      <c r="AW296" s="60">
        <f ca="1">AW$5-T296</f>
        <v>14.220650529757748</v>
      </c>
      <c r="AX296" s="60">
        <f ca="1">AX$5-U296</f>
        <v>21.775915403668051</v>
      </c>
      <c r="AY296" s="60">
        <f ca="1">AY$5-V296</f>
        <v>13.603014401527801</v>
      </c>
      <c r="AZ296" s="60">
        <f ca="1">AZ$5-W296</f>
        <v>17.45448217259603</v>
      </c>
      <c r="BA296" s="60">
        <f ca="1">BA$5-X296</f>
        <v>17.465059058982703</v>
      </c>
      <c r="BB296" s="60">
        <f ca="1">BB$5-Y296</f>
        <v>13.350592727381127</v>
      </c>
      <c r="BC296" s="60">
        <f ca="1">BC$5-Z296</f>
        <v>27.437465909882164</v>
      </c>
      <c r="BD296" s="60">
        <f ca="1">BD$5-AA296</f>
        <v>17.936518664382362</v>
      </c>
      <c r="BE296" s="60">
        <f ca="1">BE$5-AB296</f>
        <v>11.829390591992194</v>
      </c>
      <c r="BF296" s="60">
        <f ca="1">BF$5-AC296</f>
        <v>-12.98269568352292</v>
      </c>
      <c r="BG296" s="60">
        <f ca="1">BG$5-AD296</f>
        <v>-10.014741294981491</v>
      </c>
      <c r="BH296" s="60">
        <f ca="1">BH$5-AE296</f>
        <v>-15.045407769632433</v>
      </c>
      <c r="BI296" s="60">
        <f ca="1">BI$5-AF296</f>
        <v>-24.391494488745195</v>
      </c>
      <c r="BJ296" s="60">
        <f ca="1">BJ$5-AG296</f>
        <v>11.43955105767877</v>
      </c>
      <c r="BK296" s="60" t="e">
        <f>BK$5-AH296</f>
        <v>#N/A</v>
      </c>
      <c r="BL296" s="60" t="e">
        <f>BL$5-AI296</f>
        <v>#N/A</v>
      </c>
      <c r="BM296" s="60" t="e">
        <f>BM$5-AJ296</f>
        <v>#N/A</v>
      </c>
      <c r="BN296" s="60" t="e">
        <f>BN$5-AK296</f>
        <v>#N/A</v>
      </c>
      <c r="BO296" s="60" t="e">
        <f>BO$5-AL296</f>
        <v>#N/A</v>
      </c>
      <c r="BP296" s="60" t="e">
        <f>BP$5-AM296</f>
        <v>#N/A</v>
      </c>
      <c r="BQ296" s="60" t="e">
        <f>BQ$5-AN296</f>
        <v>#N/A</v>
      </c>
      <c r="BR296" s="60" t="e">
        <f>BR$5-AO296</f>
        <v>#N/A</v>
      </c>
      <c r="BS296" s="60" t="e">
        <f>BS$5-AP296</f>
        <v>#N/A</v>
      </c>
      <c r="BT296" s="60" t="e">
        <f>BT$5-AQ296</f>
        <v>#N/A</v>
      </c>
      <c r="BV296" s="60" cm="1">
        <f t="array" aca="1" ref="BV296" ca="1">SQRT(SUMSQ(_xlfn._xlws.FILTER(AV296:BT296,ISNUMBER(AV296:BT296)))/COUNT(_xlfn._xlws.FILTER(AV296:BT296,ISNUMBER(AV296:BT296))))</f>
        <v>17.468609101287917</v>
      </c>
    </row>
    <row r="297" spans="3:74" x14ac:dyDescent="0.2">
      <c r="C297" s="60" t="s">
        <v>359</v>
      </c>
      <c r="D297" s="60">
        <v>0</v>
      </c>
      <c r="E297" s="60">
        <v>-4.0419999999999998</v>
      </c>
      <c r="F297" s="60">
        <v>-5.9279999999999999</v>
      </c>
      <c r="G297" s="60">
        <v>-10.202</v>
      </c>
      <c r="H297" s="60">
        <v>-11.648</v>
      </c>
      <c r="I297" s="60">
        <v>-14.521000000000001</v>
      </c>
      <c r="J297" s="60">
        <v>-18.776</v>
      </c>
      <c r="K297" s="60">
        <v>-19.218</v>
      </c>
      <c r="L297" s="60">
        <v>-24.664999999999999</v>
      </c>
      <c r="M297" s="60">
        <v>8.1080000000000005</v>
      </c>
      <c r="N297" s="60">
        <v>5.4539999999999997</v>
      </c>
      <c r="O297" s="60">
        <v>0.90600000000000003</v>
      </c>
      <c r="P297" s="60">
        <v>0</v>
      </c>
      <c r="R297" s="61">
        <f>(ROW(R297)-ROW($C$6))</f>
        <v>291</v>
      </c>
      <c r="S297" s="60">
        <f ca="1">100+HLOOKUP(S$4,$D$7:$P$336,$R297,FALSE)-HLOOKUP(S$3,$D$7:$P$336,$R297,FALSE)</f>
        <v>80.244</v>
      </c>
      <c r="T297" s="60">
        <f ca="1">100+HLOOKUP(T$4,$D$7:$P$336,$R297,FALSE)-HLOOKUP(T$3,$D$7:$P$336,$R297,FALSE)</f>
        <v>80.317999999999998</v>
      </c>
      <c r="U297" s="60">
        <f ca="1">100+HLOOKUP(U$4,$D$7:$P$336,$R297,FALSE)-HLOOKUP(U$3,$D$7:$P$336,$R297,FALSE)</f>
        <v>79.37700000000001</v>
      </c>
      <c r="V297" s="60">
        <f ca="1">100+HLOOKUP(V$4,$D$7:$P$336,$R297,FALSE)-HLOOKUP(V$3,$D$7:$P$336,$R297,FALSE)</f>
        <v>80.025000000000006</v>
      </c>
      <c r="W297" s="60">
        <f ca="1">100+HLOOKUP(W$4,$D$7:$P$336,$R297,FALSE)-HLOOKUP(W$3,$D$7:$P$336,$R297,FALSE)</f>
        <v>80.781999999999996</v>
      </c>
      <c r="X297" s="60">
        <f ca="1">100+HLOOKUP(X$4,$D$7:$P$336,$R297,FALSE)-HLOOKUP(X$3,$D$7:$P$336,$R297,FALSE)</f>
        <v>80.244</v>
      </c>
      <c r="Y297" s="60">
        <f ca="1">100+HLOOKUP(Y$4,$D$7:$P$336,$R297,FALSE)-HLOOKUP(Y$3,$D$7:$P$336,$R297,FALSE)</f>
        <v>80.317999999999998</v>
      </c>
      <c r="Z297" s="60">
        <f ca="1">100+HLOOKUP(Z$4,$D$7:$P$336,$R297,FALSE)-HLOOKUP(Z$3,$D$7:$P$336,$R297,FALSE)</f>
        <v>79.37700000000001</v>
      </c>
      <c r="AA297" s="60">
        <f ca="1">100+HLOOKUP(AA$4,$D$7:$P$336,$R297,FALSE)-HLOOKUP(AA$3,$D$7:$P$336,$R297,FALSE)</f>
        <v>80.025000000000006</v>
      </c>
      <c r="AB297" s="60">
        <f ca="1">100+HLOOKUP(AB$4,$D$7:$P$336,$R297,FALSE)-HLOOKUP(AB$3,$D$7:$P$336,$R297,FALSE)</f>
        <v>80.781999999999996</v>
      </c>
      <c r="AC297" s="60">
        <f ca="1">100+HLOOKUP(AC$4,$D$7:$P$336,$R297,FALSE)-HLOOKUP(AC$3,$D$7:$P$336,$R297,FALSE)</f>
        <v>114.036</v>
      </c>
      <c r="AD297" s="60">
        <f ca="1">100+HLOOKUP(AD$4,$D$7:$P$336,$R297,FALSE)-HLOOKUP(AD$3,$D$7:$P$336,$R297,FALSE)</f>
        <v>112.554</v>
      </c>
      <c r="AE297" s="60">
        <f ca="1">100+HLOOKUP(AE$4,$D$7:$P$336,$R297,FALSE)-HLOOKUP(AE$3,$D$7:$P$336,$R297,FALSE)</f>
        <v>114.73399999999999</v>
      </c>
      <c r="AF297" s="60">
        <f ca="1">100+HLOOKUP(AF$4,$D$7:$P$336,$R297,FALSE)-HLOOKUP(AF$3,$D$7:$P$336,$R297,FALSE)</f>
        <v>114.46299999999999</v>
      </c>
      <c r="AG297" s="60">
        <f ca="1">100+HLOOKUP(AG$4,$D$7:$P$336,$R297,FALSE)-HLOOKUP(AG$3,$D$7:$P$336,$R297,FALSE)</f>
        <v>80.025000000000006</v>
      </c>
      <c r="AH297" s="60" t="e">
        <f>100+HLOOKUP(AH$4,$D$7:$P$336,$R297,FALSE)-HLOOKUP(AH$3,$D$7:$P$336,$R297,FALSE)</f>
        <v>#N/A</v>
      </c>
      <c r="AI297" s="60" t="e">
        <f>100+HLOOKUP(AI$4,$D$7:$P$336,$R297,FALSE)-HLOOKUP(AI$3,$D$7:$P$336,$R297,FALSE)</f>
        <v>#N/A</v>
      </c>
      <c r="AJ297" s="60" t="e">
        <f>100+HLOOKUP(AJ$4,$D$7:$P$336,$R297,FALSE)-HLOOKUP(AJ$3,$D$7:$P$336,$R297,FALSE)</f>
        <v>#N/A</v>
      </c>
      <c r="AK297" s="60" t="e">
        <f>100+HLOOKUP(AK$4,$D$7:$P$336,$R297,FALSE)-HLOOKUP(AK$3,$D$7:$P$336,$R297,FALSE)</f>
        <v>#N/A</v>
      </c>
      <c r="AL297" s="60" t="e">
        <f>100+HLOOKUP(AL$4,$D$7:$P$336,$R297,FALSE)-HLOOKUP(AL$3,$D$7:$P$336,$R297,FALSE)</f>
        <v>#N/A</v>
      </c>
      <c r="AM297" s="60" t="e">
        <f>100+HLOOKUP(AM$4,$D$7:$P$336,$R297,FALSE)-HLOOKUP(AM$3,$D$7:$P$336,$R297,FALSE)</f>
        <v>#N/A</v>
      </c>
      <c r="AN297" s="60" t="e">
        <f>100+HLOOKUP(AN$4,$D$7:$P$336,$R297,FALSE)-HLOOKUP(AN$3,$D$7:$P$336,$R297,FALSE)</f>
        <v>#N/A</v>
      </c>
      <c r="AO297" s="60" t="e">
        <f>100+HLOOKUP(AO$4,$D$7:$P$336,$R297,FALSE)-HLOOKUP(AO$3,$D$7:$P$336,$R297,FALSE)</f>
        <v>#N/A</v>
      </c>
      <c r="AP297" s="60" t="e">
        <f>100+HLOOKUP(AP$4,$D$7:$P$336,$R297,FALSE)-HLOOKUP(AP$3,$D$7:$P$336,$R297,FALSE)</f>
        <v>#N/A</v>
      </c>
      <c r="AQ297" s="60" t="e">
        <f>100+HLOOKUP(AQ$4,$D$7:$P$336,$R297,FALSE)-HLOOKUP(AQ$3,$D$7:$P$336,$R297,FALSE)</f>
        <v>#N/A</v>
      </c>
      <c r="AV297" s="60">
        <f ca="1">AV$5-S297</f>
        <v>22.946399426796432</v>
      </c>
      <c r="AW297" s="60">
        <f ca="1">AW$5-T297</f>
        <v>13.90265052975775</v>
      </c>
      <c r="AX297" s="60">
        <f ca="1">AX$5-U297</f>
        <v>22.398915403668042</v>
      </c>
      <c r="AY297" s="60">
        <f ca="1">AY$5-V297</f>
        <v>13.578014401527795</v>
      </c>
      <c r="AZ297" s="60">
        <f ca="1">AZ$5-W297</f>
        <v>16.672482172596034</v>
      </c>
      <c r="BA297" s="60">
        <f ca="1">BA$5-X297</f>
        <v>18.221059058982704</v>
      </c>
      <c r="BB297" s="60">
        <f ca="1">BB$5-Y297</f>
        <v>13.032592727381129</v>
      </c>
      <c r="BC297" s="60">
        <f ca="1">BC$5-Z297</f>
        <v>28.060465909882154</v>
      </c>
      <c r="BD297" s="60">
        <f ca="1">BD$5-AA297</f>
        <v>17.911518664382356</v>
      </c>
      <c r="BE297" s="60">
        <f ca="1">BE$5-AB297</f>
        <v>11.047390591992198</v>
      </c>
      <c r="BF297" s="60">
        <f ca="1">BF$5-AC297</f>
        <v>-13.018695683522921</v>
      </c>
      <c r="BG297" s="60">
        <f ca="1">BG$5-AD297</f>
        <v>-8.5687412949814927</v>
      </c>
      <c r="BH297" s="60">
        <f ca="1">BH$5-AE297</f>
        <v>-15.779407769632428</v>
      </c>
      <c r="BI297" s="60">
        <f ca="1">BI$5-AF297</f>
        <v>-23.854494488745189</v>
      </c>
      <c r="BJ297" s="60">
        <f ca="1">BJ$5-AG297</f>
        <v>11.414551057678764</v>
      </c>
      <c r="BK297" s="60" t="e">
        <f>BK$5-AH297</f>
        <v>#N/A</v>
      </c>
      <c r="BL297" s="60" t="e">
        <f>BL$5-AI297</f>
        <v>#N/A</v>
      </c>
      <c r="BM297" s="60" t="e">
        <f>BM$5-AJ297</f>
        <v>#N/A</v>
      </c>
      <c r="BN297" s="60" t="e">
        <f>BN$5-AK297</f>
        <v>#N/A</v>
      </c>
      <c r="BO297" s="60" t="e">
        <f>BO$5-AL297</f>
        <v>#N/A</v>
      </c>
      <c r="BP297" s="60" t="e">
        <f>BP$5-AM297</f>
        <v>#N/A</v>
      </c>
      <c r="BQ297" s="60" t="e">
        <f>BQ$5-AN297</f>
        <v>#N/A</v>
      </c>
      <c r="BR297" s="60" t="e">
        <f>BR$5-AO297</f>
        <v>#N/A</v>
      </c>
      <c r="BS297" s="60" t="e">
        <f>BS$5-AP297</f>
        <v>#N/A</v>
      </c>
      <c r="BT297" s="60" t="e">
        <f>BT$5-AQ297</f>
        <v>#N/A</v>
      </c>
      <c r="BV297" s="60" cm="1">
        <f t="array" aca="1" ref="BV297" ca="1">SQRT(SUMSQ(_xlfn._xlws.FILTER(AV297:BT297,ISNUMBER(AV297:BT297)))/COUNT(_xlfn._xlws.FILTER(AV297:BT297,ISNUMBER(AV297:BT297))))</f>
        <v>17.525614391928684</v>
      </c>
    </row>
    <row r="298" spans="3:74" x14ac:dyDescent="0.2">
      <c r="C298" s="60" t="s">
        <v>209</v>
      </c>
      <c r="D298" s="60">
        <v>0</v>
      </c>
      <c r="E298" s="60">
        <v>-3</v>
      </c>
      <c r="F298" s="60">
        <v>-7</v>
      </c>
      <c r="G298" s="60">
        <v>-10</v>
      </c>
      <c r="H298" s="60">
        <v>-14</v>
      </c>
      <c r="I298" s="60">
        <v>-17</v>
      </c>
      <c r="J298" s="60">
        <v>-20</v>
      </c>
      <c r="K298" s="60">
        <v>-24</v>
      </c>
      <c r="L298" s="60">
        <v>-25</v>
      </c>
      <c r="M298" s="60">
        <v>-4</v>
      </c>
      <c r="N298" s="60">
        <v>3</v>
      </c>
      <c r="O298" s="60">
        <v>3</v>
      </c>
      <c r="P298" s="60">
        <v>0</v>
      </c>
      <c r="R298" s="61">
        <f>(ROW(R298)-ROW($C$6))</f>
        <v>292</v>
      </c>
      <c r="S298" s="60">
        <f ca="1">100+HLOOKUP(S$4,$D$7:$P$336,$R298,FALSE)-HLOOKUP(S$3,$D$7:$P$336,$R298,FALSE)</f>
        <v>90</v>
      </c>
      <c r="T298" s="60">
        <f ca="1">100+HLOOKUP(T$4,$D$7:$P$336,$R298,FALSE)-HLOOKUP(T$3,$D$7:$P$336,$R298,FALSE)</f>
        <v>77</v>
      </c>
      <c r="U298" s="60">
        <f ca="1">100+HLOOKUP(U$4,$D$7:$P$336,$R298,FALSE)-HLOOKUP(U$3,$D$7:$P$336,$R298,FALSE)</f>
        <v>78</v>
      </c>
      <c r="V298" s="60">
        <f ca="1">100+HLOOKUP(V$4,$D$7:$P$336,$R298,FALSE)-HLOOKUP(V$3,$D$7:$P$336,$R298,FALSE)</f>
        <v>80</v>
      </c>
      <c r="W298" s="60">
        <f ca="1">100+HLOOKUP(W$4,$D$7:$P$336,$R298,FALSE)-HLOOKUP(W$3,$D$7:$P$336,$R298,FALSE)</f>
        <v>76</v>
      </c>
      <c r="X298" s="60">
        <f ca="1">100+HLOOKUP(X$4,$D$7:$P$336,$R298,FALSE)-HLOOKUP(X$3,$D$7:$P$336,$R298,FALSE)</f>
        <v>90</v>
      </c>
      <c r="Y298" s="60">
        <f ca="1">100+HLOOKUP(Y$4,$D$7:$P$336,$R298,FALSE)-HLOOKUP(Y$3,$D$7:$P$336,$R298,FALSE)</f>
        <v>77</v>
      </c>
      <c r="Z298" s="60">
        <f ca="1">100+HLOOKUP(Z$4,$D$7:$P$336,$R298,FALSE)-HLOOKUP(Z$3,$D$7:$P$336,$R298,FALSE)</f>
        <v>78</v>
      </c>
      <c r="AA298" s="60">
        <f ca="1">100+HLOOKUP(AA$4,$D$7:$P$336,$R298,FALSE)-HLOOKUP(AA$3,$D$7:$P$336,$R298,FALSE)</f>
        <v>80</v>
      </c>
      <c r="AB298" s="60">
        <f ca="1">100+HLOOKUP(AB$4,$D$7:$P$336,$R298,FALSE)-HLOOKUP(AB$3,$D$7:$P$336,$R298,FALSE)</f>
        <v>76</v>
      </c>
      <c r="AC298" s="60">
        <f ca="1">100+HLOOKUP(AC$4,$D$7:$P$336,$R298,FALSE)-HLOOKUP(AC$3,$D$7:$P$336,$R298,FALSE)</f>
        <v>103</v>
      </c>
      <c r="AD298" s="60">
        <f ca="1">100+HLOOKUP(AD$4,$D$7:$P$336,$R298,FALSE)-HLOOKUP(AD$3,$D$7:$P$336,$R298,FALSE)</f>
        <v>117</v>
      </c>
      <c r="AE298" s="60">
        <f ca="1">100+HLOOKUP(AE$4,$D$7:$P$336,$R298,FALSE)-HLOOKUP(AE$3,$D$7:$P$336,$R298,FALSE)</f>
        <v>117</v>
      </c>
      <c r="AF298" s="60">
        <f ca="1">100+HLOOKUP(AF$4,$D$7:$P$336,$R298,FALSE)-HLOOKUP(AF$3,$D$7:$P$336,$R298,FALSE)</f>
        <v>115</v>
      </c>
      <c r="AG298" s="60">
        <f ca="1">100+HLOOKUP(AG$4,$D$7:$P$336,$R298,FALSE)-HLOOKUP(AG$3,$D$7:$P$336,$R298,FALSE)</f>
        <v>80</v>
      </c>
      <c r="AH298" s="60" t="e">
        <f>100+HLOOKUP(AH$4,$D$7:$P$336,$R298,FALSE)-HLOOKUP(AH$3,$D$7:$P$336,$R298,FALSE)</f>
        <v>#N/A</v>
      </c>
      <c r="AI298" s="60" t="e">
        <f>100+HLOOKUP(AI$4,$D$7:$P$336,$R298,FALSE)-HLOOKUP(AI$3,$D$7:$P$336,$R298,FALSE)</f>
        <v>#N/A</v>
      </c>
      <c r="AJ298" s="60" t="e">
        <f>100+HLOOKUP(AJ$4,$D$7:$P$336,$R298,FALSE)-HLOOKUP(AJ$3,$D$7:$P$336,$R298,FALSE)</f>
        <v>#N/A</v>
      </c>
      <c r="AK298" s="60" t="e">
        <f>100+HLOOKUP(AK$4,$D$7:$P$336,$R298,FALSE)-HLOOKUP(AK$3,$D$7:$P$336,$R298,FALSE)</f>
        <v>#N/A</v>
      </c>
      <c r="AL298" s="60" t="e">
        <f>100+HLOOKUP(AL$4,$D$7:$P$336,$R298,FALSE)-HLOOKUP(AL$3,$D$7:$P$336,$R298,FALSE)</f>
        <v>#N/A</v>
      </c>
      <c r="AM298" s="60" t="e">
        <f>100+HLOOKUP(AM$4,$D$7:$P$336,$R298,FALSE)-HLOOKUP(AM$3,$D$7:$P$336,$R298,FALSE)</f>
        <v>#N/A</v>
      </c>
      <c r="AN298" s="60" t="e">
        <f>100+HLOOKUP(AN$4,$D$7:$P$336,$R298,FALSE)-HLOOKUP(AN$3,$D$7:$P$336,$R298,FALSE)</f>
        <v>#N/A</v>
      </c>
      <c r="AO298" s="60" t="e">
        <f>100+HLOOKUP(AO$4,$D$7:$P$336,$R298,FALSE)-HLOOKUP(AO$3,$D$7:$P$336,$R298,FALSE)</f>
        <v>#N/A</v>
      </c>
      <c r="AP298" s="60" t="e">
        <f>100+HLOOKUP(AP$4,$D$7:$P$336,$R298,FALSE)-HLOOKUP(AP$3,$D$7:$P$336,$R298,FALSE)</f>
        <v>#N/A</v>
      </c>
      <c r="AQ298" s="60" t="e">
        <f>100+HLOOKUP(AQ$4,$D$7:$P$336,$R298,FALSE)-HLOOKUP(AQ$3,$D$7:$P$336,$R298,FALSE)</f>
        <v>#N/A</v>
      </c>
      <c r="AV298" s="60">
        <f ca="1">AV$5-S298</f>
        <v>13.190399426796432</v>
      </c>
      <c r="AW298" s="60">
        <f ca="1">AW$5-T298</f>
        <v>17.220650529757748</v>
      </c>
      <c r="AX298" s="60">
        <f ca="1">AX$5-U298</f>
        <v>23.775915403668051</v>
      </c>
      <c r="AY298" s="60">
        <f ca="1">AY$5-V298</f>
        <v>13.603014401527801</v>
      </c>
      <c r="AZ298" s="60">
        <f ca="1">AZ$5-W298</f>
        <v>21.45448217259603</v>
      </c>
      <c r="BA298" s="60">
        <f ca="1">BA$5-X298</f>
        <v>8.4650590589827033</v>
      </c>
      <c r="BB298" s="60">
        <f ca="1">BB$5-Y298</f>
        <v>16.350592727381127</v>
      </c>
      <c r="BC298" s="60">
        <f ca="1">BC$5-Z298</f>
        <v>29.437465909882164</v>
      </c>
      <c r="BD298" s="60">
        <f ca="1">BD$5-AA298</f>
        <v>17.936518664382362</v>
      </c>
      <c r="BE298" s="60">
        <f ca="1">BE$5-AB298</f>
        <v>15.829390591992194</v>
      </c>
      <c r="BF298" s="60">
        <f ca="1">BF$5-AC298</f>
        <v>-1.9826956835229197</v>
      </c>
      <c r="BG298" s="60">
        <f ca="1">BG$5-AD298</f>
        <v>-13.014741294981491</v>
      </c>
      <c r="BH298" s="60">
        <f ca="1">BH$5-AE298</f>
        <v>-18.045407769632433</v>
      </c>
      <c r="BI298" s="60">
        <f ca="1">BI$5-AF298</f>
        <v>-24.391494488745195</v>
      </c>
      <c r="BJ298" s="60">
        <f ca="1">BJ$5-AG298</f>
        <v>11.43955105767877</v>
      </c>
      <c r="BK298" s="60" t="e">
        <f>BK$5-AH298</f>
        <v>#N/A</v>
      </c>
      <c r="BL298" s="60" t="e">
        <f>BL$5-AI298</f>
        <v>#N/A</v>
      </c>
      <c r="BM298" s="60" t="e">
        <f>BM$5-AJ298</f>
        <v>#N/A</v>
      </c>
      <c r="BN298" s="60" t="e">
        <f>BN$5-AK298</f>
        <v>#N/A</v>
      </c>
      <c r="BO298" s="60" t="e">
        <f>BO$5-AL298</f>
        <v>#N/A</v>
      </c>
      <c r="BP298" s="60" t="e">
        <f>BP$5-AM298</f>
        <v>#N/A</v>
      </c>
      <c r="BQ298" s="60" t="e">
        <f>BQ$5-AN298</f>
        <v>#N/A</v>
      </c>
      <c r="BR298" s="60" t="e">
        <f>BR$5-AO298</f>
        <v>#N/A</v>
      </c>
      <c r="BS298" s="60" t="e">
        <f>BS$5-AP298</f>
        <v>#N/A</v>
      </c>
      <c r="BT298" s="60" t="e">
        <f>BT$5-AQ298</f>
        <v>#N/A</v>
      </c>
      <c r="BV298" s="60" cm="1">
        <f t="array" aca="1" ref="BV298" ca="1">SQRT(SUMSQ(_xlfn._xlws.FILTER(AV298:BT298,ISNUMBER(AV298:BT298)))/COUNT(_xlfn._xlws.FILTER(AV298:BT298,ISNUMBER(AV298:BT298))))</f>
        <v>17.670653378834789</v>
      </c>
    </row>
    <row r="299" spans="3:74" x14ac:dyDescent="0.2">
      <c r="C299" s="60" t="s">
        <v>326</v>
      </c>
      <c r="D299" s="60">
        <v>0</v>
      </c>
      <c r="E299" s="60">
        <v>22</v>
      </c>
      <c r="F299" s="60">
        <v>24</v>
      </c>
      <c r="G299" s="60">
        <v>26</v>
      </c>
      <c r="H299" s="60">
        <v>28</v>
      </c>
      <c r="I299" s="60">
        <v>8</v>
      </c>
      <c r="J299" s="60">
        <v>10</v>
      </c>
      <c r="K299" s="60">
        <v>12</v>
      </c>
      <c r="L299" s="60">
        <v>14</v>
      </c>
      <c r="M299" s="60">
        <v>16</v>
      </c>
      <c r="N299" s="60">
        <v>-4</v>
      </c>
      <c r="O299" s="60">
        <v>-2</v>
      </c>
      <c r="P299" s="60">
        <v>0</v>
      </c>
      <c r="R299" s="61">
        <f>(ROW(R299)-ROW($C$6))</f>
        <v>293</v>
      </c>
      <c r="S299" s="60">
        <f ca="1">100+HLOOKUP(S$4,$D$7:$P$336,$R299,FALSE)-HLOOKUP(S$3,$D$7:$P$336,$R299,FALSE)</f>
        <v>112</v>
      </c>
      <c r="T299" s="60">
        <f ca="1">100+HLOOKUP(T$4,$D$7:$P$336,$R299,FALSE)-HLOOKUP(T$3,$D$7:$P$336,$R299,FALSE)</f>
        <v>112</v>
      </c>
      <c r="U299" s="60">
        <f ca="1">100+HLOOKUP(U$4,$D$7:$P$336,$R299,FALSE)-HLOOKUP(U$3,$D$7:$P$336,$R299,FALSE)</f>
        <v>92</v>
      </c>
      <c r="V299" s="60">
        <f ca="1">100+HLOOKUP(V$4,$D$7:$P$336,$R299,FALSE)-HLOOKUP(V$3,$D$7:$P$336,$R299,FALSE)</f>
        <v>112</v>
      </c>
      <c r="W299" s="60">
        <f ca="1">100+HLOOKUP(W$4,$D$7:$P$336,$R299,FALSE)-HLOOKUP(W$3,$D$7:$P$336,$R299,FALSE)</f>
        <v>112</v>
      </c>
      <c r="X299" s="60">
        <f ca="1">100+HLOOKUP(X$4,$D$7:$P$336,$R299,FALSE)-HLOOKUP(X$3,$D$7:$P$336,$R299,FALSE)</f>
        <v>112</v>
      </c>
      <c r="Y299" s="60">
        <f ca="1">100+HLOOKUP(Y$4,$D$7:$P$336,$R299,FALSE)-HLOOKUP(Y$3,$D$7:$P$336,$R299,FALSE)</f>
        <v>112</v>
      </c>
      <c r="Z299" s="60">
        <f ca="1">100+HLOOKUP(Z$4,$D$7:$P$336,$R299,FALSE)-HLOOKUP(Z$3,$D$7:$P$336,$R299,FALSE)</f>
        <v>92</v>
      </c>
      <c r="AA299" s="60">
        <f ca="1">100+HLOOKUP(AA$4,$D$7:$P$336,$R299,FALSE)-HLOOKUP(AA$3,$D$7:$P$336,$R299,FALSE)</f>
        <v>112</v>
      </c>
      <c r="AB299" s="60">
        <f ca="1">100+HLOOKUP(AB$4,$D$7:$P$336,$R299,FALSE)-HLOOKUP(AB$3,$D$7:$P$336,$R299,FALSE)</f>
        <v>112</v>
      </c>
      <c r="AC299" s="60">
        <f ca="1">100+HLOOKUP(AC$4,$D$7:$P$336,$R299,FALSE)-HLOOKUP(AC$3,$D$7:$P$336,$R299,FALSE)</f>
        <v>92</v>
      </c>
      <c r="AD299" s="60">
        <f ca="1">100+HLOOKUP(AD$4,$D$7:$P$336,$R299,FALSE)-HLOOKUP(AD$3,$D$7:$P$336,$R299,FALSE)</f>
        <v>70</v>
      </c>
      <c r="AE299" s="60">
        <f ca="1">100+HLOOKUP(AE$4,$D$7:$P$336,$R299,FALSE)-HLOOKUP(AE$3,$D$7:$P$336,$R299,FALSE)</f>
        <v>112</v>
      </c>
      <c r="AF299" s="60">
        <f ca="1">100+HLOOKUP(AF$4,$D$7:$P$336,$R299,FALSE)-HLOOKUP(AF$3,$D$7:$P$336,$R299,FALSE)</f>
        <v>112</v>
      </c>
      <c r="AG299" s="60">
        <f ca="1">100+HLOOKUP(AG$4,$D$7:$P$336,$R299,FALSE)-HLOOKUP(AG$3,$D$7:$P$336,$R299,FALSE)</f>
        <v>112</v>
      </c>
      <c r="AH299" s="60" t="e">
        <f>100+HLOOKUP(AH$4,$D$7:$P$336,$R299,FALSE)-HLOOKUP(AH$3,$D$7:$P$336,$R299,FALSE)</f>
        <v>#N/A</v>
      </c>
      <c r="AI299" s="60" t="e">
        <f>100+HLOOKUP(AI$4,$D$7:$P$336,$R299,FALSE)-HLOOKUP(AI$3,$D$7:$P$336,$R299,FALSE)</f>
        <v>#N/A</v>
      </c>
      <c r="AJ299" s="60" t="e">
        <f>100+HLOOKUP(AJ$4,$D$7:$P$336,$R299,FALSE)-HLOOKUP(AJ$3,$D$7:$P$336,$R299,FALSE)</f>
        <v>#N/A</v>
      </c>
      <c r="AK299" s="60" t="e">
        <f>100+HLOOKUP(AK$4,$D$7:$P$336,$R299,FALSE)-HLOOKUP(AK$3,$D$7:$P$336,$R299,FALSE)</f>
        <v>#N/A</v>
      </c>
      <c r="AL299" s="60" t="e">
        <f>100+HLOOKUP(AL$4,$D$7:$P$336,$R299,FALSE)-HLOOKUP(AL$3,$D$7:$P$336,$R299,FALSE)</f>
        <v>#N/A</v>
      </c>
      <c r="AM299" s="60" t="e">
        <f>100+HLOOKUP(AM$4,$D$7:$P$336,$R299,FALSE)-HLOOKUP(AM$3,$D$7:$P$336,$R299,FALSE)</f>
        <v>#N/A</v>
      </c>
      <c r="AN299" s="60" t="e">
        <f>100+HLOOKUP(AN$4,$D$7:$P$336,$R299,FALSE)-HLOOKUP(AN$3,$D$7:$P$336,$R299,FALSE)</f>
        <v>#N/A</v>
      </c>
      <c r="AO299" s="60" t="e">
        <f>100+HLOOKUP(AO$4,$D$7:$P$336,$R299,FALSE)-HLOOKUP(AO$3,$D$7:$P$336,$R299,FALSE)</f>
        <v>#N/A</v>
      </c>
      <c r="AP299" s="60" t="e">
        <f>100+HLOOKUP(AP$4,$D$7:$P$336,$R299,FALSE)-HLOOKUP(AP$3,$D$7:$P$336,$R299,FALSE)</f>
        <v>#N/A</v>
      </c>
      <c r="AQ299" s="60" t="e">
        <f>100+HLOOKUP(AQ$4,$D$7:$P$336,$R299,FALSE)-HLOOKUP(AQ$3,$D$7:$P$336,$R299,FALSE)</f>
        <v>#N/A</v>
      </c>
      <c r="AV299" s="60">
        <f ca="1">AV$5-S299</f>
        <v>-8.8096005732035678</v>
      </c>
      <c r="AW299" s="60">
        <f ca="1">AW$5-T299</f>
        <v>-17.779349470242252</v>
      </c>
      <c r="AX299" s="60">
        <f ca="1">AX$5-U299</f>
        <v>9.7759154036680513</v>
      </c>
      <c r="AY299" s="60">
        <f ca="1">AY$5-V299</f>
        <v>-18.396985598472199</v>
      </c>
      <c r="AZ299" s="60">
        <f ca="1">AZ$5-W299</f>
        <v>-14.54551782740397</v>
      </c>
      <c r="BA299" s="60">
        <f ca="1">BA$5-X299</f>
        <v>-13.534940941017297</v>
      </c>
      <c r="BB299" s="60">
        <f ca="1">BB$5-Y299</f>
        <v>-18.649407272618873</v>
      </c>
      <c r="BC299" s="60">
        <f ca="1">BC$5-Z299</f>
        <v>15.437465909882164</v>
      </c>
      <c r="BD299" s="60">
        <f ca="1">BD$5-AA299</f>
        <v>-14.063481335617638</v>
      </c>
      <c r="BE299" s="60">
        <f ca="1">BE$5-AB299</f>
        <v>-20.170609408007806</v>
      </c>
      <c r="BF299" s="60">
        <f ca="1">BF$5-AC299</f>
        <v>9.0173043164770803</v>
      </c>
      <c r="BG299" s="60">
        <f ca="1">BG$5-AD299</f>
        <v>33.985258705018509</v>
      </c>
      <c r="BH299" s="60">
        <f ca="1">BH$5-AE299</f>
        <v>-13.045407769632433</v>
      </c>
      <c r="BI299" s="60">
        <f ca="1">BI$5-AF299</f>
        <v>-21.391494488745195</v>
      </c>
      <c r="BJ299" s="60">
        <f ca="1">BJ$5-AG299</f>
        <v>-20.56044894232123</v>
      </c>
      <c r="BK299" s="60" t="e">
        <f>BK$5-AH299</f>
        <v>#N/A</v>
      </c>
      <c r="BL299" s="60" t="e">
        <f>BL$5-AI299</f>
        <v>#N/A</v>
      </c>
      <c r="BM299" s="60" t="e">
        <f>BM$5-AJ299</f>
        <v>#N/A</v>
      </c>
      <c r="BN299" s="60" t="e">
        <f>BN$5-AK299</f>
        <v>#N/A</v>
      </c>
      <c r="BO299" s="60" t="e">
        <f>BO$5-AL299</f>
        <v>#N/A</v>
      </c>
      <c r="BP299" s="60" t="e">
        <f>BP$5-AM299</f>
        <v>#N/A</v>
      </c>
      <c r="BQ299" s="60" t="e">
        <f>BQ$5-AN299</f>
        <v>#N/A</v>
      </c>
      <c r="BR299" s="60" t="e">
        <f>BR$5-AO299</f>
        <v>#N/A</v>
      </c>
      <c r="BS299" s="60" t="e">
        <f>BS$5-AP299</f>
        <v>#N/A</v>
      </c>
      <c r="BT299" s="60" t="e">
        <f>BT$5-AQ299</f>
        <v>#N/A</v>
      </c>
      <c r="BV299" s="60" cm="1">
        <f t="array" aca="1" ref="BV299" ca="1">SQRT(SUMSQ(_xlfn._xlws.FILTER(AV299:BT299,ISNUMBER(AV299:BT299)))/COUNT(_xlfn._xlws.FILTER(AV299:BT299,ISNUMBER(AV299:BT299))))</f>
        <v>17.701355371865112</v>
      </c>
    </row>
    <row r="300" spans="3:74" x14ac:dyDescent="0.2">
      <c r="C300" s="60" t="s">
        <v>358</v>
      </c>
      <c r="D300" s="60">
        <v>0</v>
      </c>
      <c r="E300" s="60">
        <v>-4</v>
      </c>
      <c r="F300" s="60">
        <v>-6</v>
      </c>
      <c r="G300" s="60">
        <v>-10</v>
      </c>
      <c r="H300" s="60">
        <v>-12</v>
      </c>
      <c r="I300" s="60">
        <v>-15</v>
      </c>
      <c r="J300" s="60">
        <v>-19</v>
      </c>
      <c r="K300" s="60">
        <v>-19</v>
      </c>
      <c r="L300" s="60">
        <v>-25</v>
      </c>
      <c r="M300" s="60">
        <v>8</v>
      </c>
      <c r="N300" s="60">
        <v>5</v>
      </c>
      <c r="O300" s="60">
        <v>1</v>
      </c>
      <c r="P300" s="60">
        <v>0</v>
      </c>
      <c r="R300" s="61">
        <f>(ROW(R300)-ROW($C$6))</f>
        <v>294</v>
      </c>
      <c r="S300" s="60">
        <f ca="1">100+HLOOKUP(S$4,$D$7:$P$336,$R300,FALSE)-HLOOKUP(S$3,$D$7:$P$336,$R300,FALSE)</f>
        <v>80</v>
      </c>
      <c r="T300" s="60">
        <f ca="1">100+HLOOKUP(T$4,$D$7:$P$336,$R300,FALSE)-HLOOKUP(T$3,$D$7:$P$336,$R300,FALSE)</f>
        <v>80</v>
      </c>
      <c r="U300" s="60">
        <f ca="1">100+HLOOKUP(U$4,$D$7:$P$336,$R300,FALSE)-HLOOKUP(U$3,$D$7:$P$336,$R300,FALSE)</f>
        <v>79</v>
      </c>
      <c r="V300" s="60">
        <f ca="1">100+HLOOKUP(V$4,$D$7:$P$336,$R300,FALSE)-HLOOKUP(V$3,$D$7:$P$336,$R300,FALSE)</f>
        <v>80</v>
      </c>
      <c r="W300" s="60">
        <f ca="1">100+HLOOKUP(W$4,$D$7:$P$336,$R300,FALSE)-HLOOKUP(W$3,$D$7:$P$336,$R300,FALSE)</f>
        <v>81</v>
      </c>
      <c r="X300" s="60">
        <f ca="1">100+HLOOKUP(X$4,$D$7:$P$336,$R300,FALSE)-HLOOKUP(X$3,$D$7:$P$336,$R300,FALSE)</f>
        <v>80</v>
      </c>
      <c r="Y300" s="60">
        <f ca="1">100+HLOOKUP(Y$4,$D$7:$P$336,$R300,FALSE)-HLOOKUP(Y$3,$D$7:$P$336,$R300,FALSE)</f>
        <v>80</v>
      </c>
      <c r="Z300" s="60">
        <f ca="1">100+HLOOKUP(Z$4,$D$7:$P$336,$R300,FALSE)-HLOOKUP(Z$3,$D$7:$P$336,$R300,FALSE)</f>
        <v>79</v>
      </c>
      <c r="AA300" s="60">
        <f ca="1">100+HLOOKUP(AA$4,$D$7:$P$336,$R300,FALSE)-HLOOKUP(AA$3,$D$7:$P$336,$R300,FALSE)</f>
        <v>80</v>
      </c>
      <c r="AB300" s="60">
        <f ca="1">100+HLOOKUP(AB$4,$D$7:$P$336,$R300,FALSE)-HLOOKUP(AB$3,$D$7:$P$336,$R300,FALSE)</f>
        <v>81</v>
      </c>
      <c r="AC300" s="60">
        <f ca="1">100+HLOOKUP(AC$4,$D$7:$P$336,$R300,FALSE)-HLOOKUP(AC$3,$D$7:$P$336,$R300,FALSE)</f>
        <v>114</v>
      </c>
      <c r="AD300" s="60">
        <f ca="1">100+HLOOKUP(AD$4,$D$7:$P$336,$R300,FALSE)-HLOOKUP(AD$3,$D$7:$P$336,$R300,FALSE)</f>
        <v>113</v>
      </c>
      <c r="AE300" s="60">
        <f ca="1">100+HLOOKUP(AE$4,$D$7:$P$336,$R300,FALSE)-HLOOKUP(AE$3,$D$7:$P$336,$R300,FALSE)</f>
        <v>115</v>
      </c>
      <c r="AF300" s="60">
        <f ca="1">100+HLOOKUP(AF$4,$D$7:$P$336,$R300,FALSE)-HLOOKUP(AF$3,$D$7:$P$336,$R300,FALSE)</f>
        <v>115</v>
      </c>
      <c r="AG300" s="60">
        <f ca="1">100+HLOOKUP(AG$4,$D$7:$P$336,$R300,FALSE)-HLOOKUP(AG$3,$D$7:$P$336,$R300,FALSE)</f>
        <v>80</v>
      </c>
      <c r="AH300" s="60" t="e">
        <f>100+HLOOKUP(AH$4,$D$7:$P$336,$R300,FALSE)-HLOOKUP(AH$3,$D$7:$P$336,$R300,FALSE)</f>
        <v>#N/A</v>
      </c>
      <c r="AI300" s="60" t="e">
        <f>100+HLOOKUP(AI$4,$D$7:$P$336,$R300,FALSE)-HLOOKUP(AI$3,$D$7:$P$336,$R300,FALSE)</f>
        <v>#N/A</v>
      </c>
      <c r="AJ300" s="60" t="e">
        <f>100+HLOOKUP(AJ$4,$D$7:$P$336,$R300,FALSE)-HLOOKUP(AJ$3,$D$7:$P$336,$R300,FALSE)</f>
        <v>#N/A</v>
      </c>
      <c r="AK300" s="60" t="e">
        <f>100+HLOOKUP(AK$4,$D$7:$P$336,$R300,FALSE)-HLOOKUP(AK$3,$D$7:$P$336,$R300,FALSE)</f>
        <v>#N/A</v>
      </c>
      <c r="AL300" s="60" t="e">
        <f>100+HLOOKUP(AL$4,$D$7:$P$336,$R300,FALSE)-HLOOKUP(AL$3,$D$7:$P$336,$R300,FALSE)</f>
        <v>#N/A</v>
      </c>
      <c r="AM300" s="60" t="e">
        <f>100+HLOOKUP(AM$4,$D$7:$P$336,$R300,FALSE)-HLOOKUP(AM$3,$D$7:$P$336,$R300,FALSE)</f>
        <v>#N/A</v>
      </c>
      <c r="AN300" s="60" t="e">
        <f>100+HLOOKUP(AN$4,$D$7:$P$336,$R300,FALSE)-HLOOKUP(AN$3,$D$7:$P$336,$R300,FALSE)</f>
        <v>#N/A</v>
      </c>
      <c r="AO300" s="60" t="e">
        <f>100+HLOOKUP(AO$4,$D$7:$P$336,$R300,FALSE)-HLOOKUP(AO$3,$D$7:$P$336,$R300,FALSE)</f>
        <v>#N/A</v>
      </c>
      <c r="AP300" s="60" t="e">
        <f>100+HLOOKUP(AP$4,$D$7:$P$336,$R300,FALSE)-HLOOKUP(AP$3,$D$7:$P$336,$R300,FALSE)</f>
        <v>#N/A</v>
      </c>
      <c r="AQ300" s="60" t="e">
        <f>100+HLOOKUP(AQ$4,$D$7:$P$336,$R300,FALSE)-HLOOKUP(AQ$3,$D$7:$P$336,$R300,FALSE)</f>
        <v>#N/A</v>
      </c>
      <c r="AV300" s="60">
        <f ca="1">AV$5-S300</f>
        <v>23.190399426796432</v>
      </c>
      <c r="AW300" s="60">
        <f ca="1">AW$5-T300</f>
        <v>14.220650529757748</v>
      </c>
      <c r="AX300" s="60">
        <f ca="1">AX$5-U300</f>
        <v>22.775915403668051</v>
      </c>
      <c r="AY300" s="60">
        <f ca="1">AY$5-V300</f>
        <v>13.603014401527801</v>
      </c>
      <c r="AZ300" s="60">
        <f ca="1">AZ$5-W300</f>
        <v>16.45448217259603</v>
      </c>
      <c r="BA300" s="60">
        <f ca="1">BA$5-X300</f>
        <v>18.465059058982703</v>
      </c>
      <c r="BB300" s="60">
        <f ca="1">BB$5-Y300</f>
        <v>13.350592727381127</v>
      </c>
      <c r="BC300" s="60">
        <f ca="1">BC$5-Z300</f>
        <v>28.437465909882164</v>
      </c>
      <c r="BD300" s="60">
        <f ca="1">BD$5-AA300</f>
        <v>17.936518664382362</v>
      </c>
      <c r="BE300" s="60">
        <f ca="1">BE$5-AB300</f>
        <v>10.829390591992194</v>
      </c>
      <c r="BF300" s="60">
        <f ca="1">BF$5-AC300</f>
        <v>-12.98269568352292</v>
      </c>
      <c r="BG300" s="60">
        <f ca="1">BG$5-AD300</f>
        <v>-9.0147412949814907</v>
      </c>
      <c r="BH300" s="60">
        <f ca="1">BH$5-AE300</f>
        <v>-16.045407769632433</v>
      </c>
      <c r="BI300" s="60">
        <f ca="1">BI$5-AF300</f>
        <v>-24.391494488745195</v>
      </c>
      <c r="BJ300" s="60">
        <f ca="1">BJ$5-AG300</f>
        <v>11.43955105767877</v>
      </c>
      <c r="BK300" s="60" t="e">
        <f>BK$5-AH300</f>
        <v>#N/A</v>
      </c>
      <c r="BL300" s="60" t="e">
        <f>BL$5-AI300</f>
        <v>#N/A</v>
      </c>
      <c r="BM300" s="60" t="e">
        <f>BM$5-AJ300</f>
        <v>#N/A</v>
      </c>
      <c r="BN300" s="60" t="e">
        <f>BN$5-AK300</f>
        <v>#N/A</v>
      </c>
      <c r="BO300" s="60" t="e">
        <f>BO$5-AL300</f>
        <v>#N/A</v>
      </c>
      <c r="BP300" s="60" t="e">
        <f>BP$5-AM300</f>
        <v>#N/A</v>
      </c>
      <c r="BQ300" s="60" t="e">
        <f>BQ$5-AN300</f>
        <v>#N/A</v>
      </c>
      <c r="BR300" s="60" t="e">
        <f>BR$5-AO300</f>
        <v>#N/A</v>
      </c>
      <c r="BS300" s="60" t="e">
        <f>BS$5-AP300</f>
        <v>#N/A</v>
      </c>
      <c r="BT300" s="60" t="e">
        <f>BT$5-AQ300</f>
        <v>#N/A</v>
      </c>
      <c r="BV300" s="60" cm="1">
        <f t="array" aca="1" ref="BV300" ca="1">SQRT(SUMSQ(_xlfn._xlws.FILTER(AV300:BT300,ISNUMBER(AV300:BT300)))/COUNT(_xlfn._xlws.FILTER(AV300:BT300,ISNUMBER(AV300:BT300))))</f>
        <v>17.728537871696716</v>
      </c>
    </row>
    <row r="301" spans="3:74" x14ac:dyDescent="0.2">
      <c r="C301" s="60" t="s">
        <v>391</v>
      </c>
      <c r="D301" s="60">
        <v>0</v>
      </c>
      <c r="E301" s="60">
        <v>-6</v>
      </c>
      <c r="F301" s="60">
        <v>-10</v>
      </c>
      <c r="G301" s="60">
        <v>-8</v>
      </c>
      <c r="H301" s="60">
        <v>-16</v>
      </c>
      <c r="I301" s="60">
        <v>-14</v>
      </c>
      <c r="J301" s="60">
        <v>-19</v>
      </c>
      <c r="K301" s="60">
        <v>-24</v>
      </c>
      <c r="L301" s="60">
        <v>-16</v>
      </c>
      <c r="M301" s="60">
        <v>5</v>
      </c>
      <c r="N301" s="60">
        <v>15</v>
      </c>
      <c r="O301" s="60">
        <v>-1</v>
      </c>
      <c r="P301" s="60">
        <v>0</v>
      </c>
      <c r="R301" s="61">
        <f>(ROW(R301)-ROW($C$6))</f>
        <v>295</v>
      </c>
      <c r="S301" s="60">
        <f ca="1">100+HLOOKUP(S$4,$D$7:$P$336,$R301,FALSE)-HLOOKUP(S$3,$D$7:$P$336,$R301,FALSE)</f>
        <v>79</v>
      </c>
      <c r="T301" s="60">
        <f ca="1">100+HLOOKUP(T$4,$D$7:$P$336,$R301,FALSE)-HLOOKUP(T$3,$D$7:$P$336,$R301,FALSE)</f>
        <v>82</v>
      </c>
      <c r="U301" s="60">
        <f ca="1">100+HLOOKUP(U$4,$D$7:$P$336,$R301,FALSE)-HLOOKUP(U$3,$D$7:$P$336,$R301,FALSE)</f>
        <v>90</v>
      </c>
      <c r="V301" s="60">
        <f ca="1">100+HLOOKUP(V$4,$D$7:$P$336,$R301,FALSE)-HLOOKUP(V$3,$D$7:$P$336,$R301,FALSE)</f>
        <v>71</v>
      </c>
      <c r="W301" s="60">
        <f ca="1">100+HLOOKUP(W$4,$D$7:$P$336,$R301,FALSE)-HLOOKUP(W$3,$D$7:$P$336,$R301,FALSE)</f>
        <v>76</v>
      </c>
      <c r="X301" s="60">
        <f ca="1">100+HLOOKUP(X$4,$D$7:$P$336,$R301,FALSE)-HLOOKUP(X$3,$D$7:$P$336,$R301,FALSE)</f>
        <v>79</v>
      </c>
      <c r="Y301" s="60">
        <f ca="1">100+HLOOKUP(Y$4,$D$7:$P$336,$R301,FALSE)-HLOOKUP(Y$3,$D$7:$P$336,$R301,FALSE)</f>
        <v>82</v>
      </c>
      <c r="Z301" s="60">
        <f ca="1">100+HLOOKUP(Z$4,$D$7:$P$336,$R301,FALSE)-HLOOKUP(Z$3,$D$7:$P$336,$R301,FALSE)</f>
        <v>90</v>
      </c>
      <c r="AA301" s="60">
        <f ca="1">100+HLOOKUP(AA$4,$D$7:$P$336,$R301,FALSE)-HLOOKUP(AA$3,$D$7:$P$336,$R301,FALSE)</f>
        <v>71</v>
      </c>
      <c r="AB301" s="60">
        <f ca="1">100+HLOOKUP(AB$4,$D$7:$P$336,$R301,FALSE)-HLOOKUP(AB$3,$D$7:$P$336,$R301,FALSE)</f>
        <v>76</v>
      </c>
      <c r="AC301" s="60">
        <f ca="1">100+HLOOKUP(AC$4,$D$7:$P$336,$R301,FALSE)-HLOOKUP(AC$3,$D$7:$P$336,$R301,FALSE)</f>
        <v>115</v>
      </c>
      <c r="AD301" s="60">
        <f ca="1">100+HLOOKUP(AD$4,$D$7:$P$336,$R301,FALSE)-HLOOKUP(AD$3,$D$7:$P$336,$R301,FALSE)</f>
        <v>115</v>
      </c>
      <c r="AE301" s="60">
        <f ca="1">100+HLOOKUP(AE$4,$D$7:$P$336,$R301,FALSE)-HLOOKUP(AE$3,$D$7:$P$336,$R301,FALSE)</f>
        <v>113</v>
      </c>
      <c r="AF301" s="60">
        <f ca="1">100+HLOOKUP(AF$4,$D$7:$P$336,$R301,FALSE)-HLOOKUP(AF$3,$D$7:$P$336,$R301,FALSE)</f>
        <v>108</v>
      </c>
      <c r="AG301" s="60">
        <f ca="1">100+HLOOKUP(AG$4,$D$7:$P$336,$R301,FALSE)-HLOOKUP(AG$3,$D$7:$P$336,$R301,FALSE)</f>
        <v>71</v>
      </c>
      <c r="AH301" s="60" t="e">
        <f>100+HLOOKUP(AH$4,$D$7:$P$336,$R301,FALSE)-HLOOKUP(AH$3,$D$7:$P$336,$R301,FALSE)</f>
        <v>#N/A</v>
      </c>
      <c r="AI301" s="60" t="e">
        <f>100+HLOOKUP(AI$4,$D$7:$P$336,$R301,FALSE)-HLOOKUP(AI$3,$D$7:$P$336,$R301,FALSE)</f>
        <v>#N/A</v>
      </c>
      <c r="AJ301" s="60" t="e">
        <f>100+HLOOKUP(AJ$4,$D$7:$P$336,$R301,FALSE)-HLOOKUP(AJ$3,$D$7:$P$336,$R301,FALSE)</f>
        <v>#N/A</v>
      </c>
      <c r="AK301" s="60" t="e">
        <f>100+HLOOKUP(AK$4,$D$7:$P$336,$R301,FALSE)-HLOOKUP(AK$3,$D$7:$P$336,$R301,FALSE)</f>
        <v>#N/A</v>
      </c>
      <c r="AL301" s="60" t="e">
        <f>100+HLOOKUP(AL$4,$D$7:$P$336,$R301,FALSE)-HLOOKUP(AL$3,$D$7:$P$336,$R301,FALSE)</f>
        <v>#N/A</v>
      </c>
      <c r="AM301" s="60" t="e">
        <f>100+HLOOKUP(AM$4,$D$7:$P$336,$R301,FALSE)-HLOOKUP(AM$3,$D$7:$P$336,$R301,FALSE)</f>
        <v>#N/A</v>
      </c>
      <c r="AN301" s="60" t="e">
        <f>100+HLOOKUP(AN$4,$D$7:$P$336,$R301,FALSE)-HLOOKUP(AN$3,$D$7:$P$336,$R301,FALSE)</f>
        <v>#N/A</v>
      </c>
      <c r="AO301" s="60" t="e">
        <f>100+HLOOKUP(AO$4,$D$7:$P$336,$R301,FALSE)-HLOOKUP(AO$3,$D$7:$P$336,$R301,FALSE)</f>
        <v>#N/A</v>
      </c>
      <c r="AP301" s="60" t="e">
        <f>100+HLOOKUP(AP$4,$D$7:$P$336,$R301,FALSE)-HLOOKUP(AP$3,$D$7:$P$336,$R301,FALSE)</f>
        <v>#N/A</v>
      </c>
      <c r="AQ301" s="60" t="e">
        <f>100+HLOOKUP(AQ$4,$D$7:$P$336,$R301,FALSE)-HLOOKUP(AQ$3,$D$7:$P$336,$R301,FALSE)</f>
        <v>#N/A</v>
      </c>
      <c r="AV301" s="60">
        <f ca="1">AV$5-S301</f>
        <v>24.190399426796432</v>
      </c>
      <c r="AW301" s="60">
        <f ca="1">AW$5-T301</f>
        <v>12.220650529757748</v>
      </c>
      <c r="AX301" s="60">
        <f ca="1">AX$5-U301</f>
        <v>11.775915403668051</v>
      </c>
      <c r="AY301" s="60">
        <f ca="1">AY$5-V301</f>
        <v>22.603014401527801</v>
      </c>
      <c r="AZ301" s="60">
        <f ca="1">AZ$5-W301</f>
        <v>21.45448217259603</v>
      </c>
      <c r="BA301" s="60">
        <f ca="1">BA$5-X301</f>
        <v>19.465059058982703</v>
      </c>
      <c r="BB301" s="60">
        <f ca="1">BB$5-Y301</f>
        <v>11.350592727381127</v>
      </c>
      <c r="BC301" s="60">
        <f ca="1">BC$5-Z301</f>
        <v>17.437465909882164</v>
      </c>
      <c r="BD301" s="60">
        <f ca="1">BD$5-AA301</f>
        <v>26.936518664382362</v>
      </c>
      <c r="BE301" s="60">
        <f ca="1">BE$5-AB301</f>
        <v>15.829390591992194</v>
      </c>
      <c r="BF301" s="60">
        <f ca="1">BF$5-AC301</f>
        <v>-13.98269568352292</v>
      </c>
      <c r="BG301" s="60">
        <f ca="1">BG$5-AD301</f>
        <v>-11.014741294981491</v>
      </c>
      <c r="BH301" s="60">
        <f ca="1">BH$5-AE301</f>
        <v>-14.045407769632433</v>
      </c>
      <c r="BI301" s="60">
        <f ca="1">BI$5-AF301</f>
        <v>-17.391494488745195</v>
      </c>
      <c r="BJ301" s="60">
        <f ca="1">BJ$5-AG301</f>
        <v>20.43955105767877</v>
      </c>
      <c r="BK301" s="60" t="e">
        <f>BK$5-AH301</f>
        <v>#N/A</v>
      </c>
      <c r="BL301" s="60" t="e">
        <f>BL$5-AI301</f>
        <v>#N/A</v>
      </c>
      <c r="BM301" s="60" t="e">
        <f>BM$5-AJ301</f>
        <v>#N/A</v>
      </c>
      <c r="BN301" s="60" t="e">
        <f>BN$5-AK301</f>
        <v>#N/A</v>
      </c>
      <c r="BO301" s="60" t="e">
        <f>BO$5-AL301</f>
        <v>#N/A</v>
      </c>
      <c r="BP301" s="60" t="e">
        <f>BP$5-AM301</f>
        <v>#N/A</v>
      </c>
      <c r="BQ301" s="60" t="e">
        <f>BQ$5-AN301</f>
        <v>#N/A</v>
      </c>
      <c r="BR301" s="60" t="e">
        <f>BR$5-AO301</f>
        <v>#N/A</v>
      </c>
      <c r="BS301" s="60" t="e">
        <f>BS$5-AP301</f>
        <v>#N/A</v>
      </c>
      <c r="BT301" s="60" t="e">
        <f>BT$5-AQ301</f>
        <v>#N/A</v>
      </c>
      <c r="BV301" s="60" cm="1">
        <f t="array" aca="1" ref="BV301" ca="1">SQRT(SUMSQ(_xlfn._xlws.FILTER(AV301:BT301,ISNUMBER(AV301:BT301)))/COUNT(_xlfn._xlws.FILTER(AV301:BT301,ISNUMBER(AV301:BT301))))</f>
        <v>18.012350254874498</v>
      </c>
    </row>
    <row r="302" spans="3:74" x14ac:dyDescent="0.2">
      <c r="C302" s="60" t="s">
        <v>244</v>
      </c>
      <c r="D302" s="60">
        <v>0</v>
      </c>
      <c r="E302" s="60">
        <v>2</v>
      </c>
      <c r="F302" s="60">
        <v>4</v>
      </c>
      <c r="G302" s="60">
        <v>6</v>
      </c>
      <c r="H302" s="60">
        <v>-14</v>
      </c>
      <c r="I302" s="60">
        <v>-12</v>
      </c>
      <c r="J302" s="60">
        <v>-10</v>
      </c>
      <c r="K302" s="60">
        <v>-8</v>
      </c>
      <c r="L302" s="60">
        <v>-6</v>
      </c>
      <c r="M302" s="60">
        <v>16</v>
      </c>
      <c r="N302" s="60">
        <v>18</v>
      </c>
      <c r="O302" s="60">
        <v>-2</v>
      </c>
      <c r="P302" s="60">
        <v>0</v>
      </c>
      <c r="R302" s="61">
        <f>(ROW(R302)-ROW($C$6))</f>
        <v>296</v>
      </c>
      <c r="S302" s="60">
        <f ca="1">100+HLOOKUP(S$4,$D$7:$P$336,$R302,FALSE)-HLOOKUP(S$3,$D$7:$P$336,$R302,FALSE)</f>
        <v>70</v>
      </c>
      <c r="T302" s="60">
        <f ca="1">100+HLOOKUP(T$4,$D$7:$P$336,$R302,FALSE)-HLOOKUP(T$3,$D$7:$P$336,$R302,FALSE)</f>
        <v>92</v>
      </c>
      <c r="U302" s="60">
        <f ca="1">100+HLOOKUP(U$4,$D$7:$P$336,$R302,FALSE)-HLOOKUP(U$3,$D$7:$P$336,$R302,FALSE)</f>
        <v>92</v>
      </c>
      <c r="V302" s="60">
        <f ca="1">100+HLOOKUP(V$4,$D$7:$P$336,$R302,FALSE)-HLOOKUP(V$3,$D$7:$P$336,$R302,FALSE)</f>
        <v>70</v>
      </c>
      <c r="W302" s="60">
        <f ca="1">100+HLOOKUP(W$4,$D$7:$P$336,$R302,FALSE)-HLOOKUP(W$3,$D$7:$P$336,$R302,FALSE)</f>
        <v>92</v>
      </c>
      <c r="X302" s="60">
        <f ca="1">100+HLOOKUP(X$4,$D$7:$P$336,$R302,FALSE)-HLOOKUP(X$3,$D$7:$P$336,$R302,FALSE)</f>
        <v>70</v>
      </c>
      <c r="Y302" s="60">
        <f ca="1">100+HLOOKUP(Y$4,$D$7:$P$336,$R302,FALSE)-HLOOKUP(Y$3,$D$7:$P$336,$R302,FALSE)</f>
        <v>92</v>
      </c>
      <c r="Z302" s="60">
        <f ca="1">100+HLOOKUP(Z$4,$D$7:$P$336,$R302,FALSE)-HLOOKUP(Z$3,$D$7:$P$336,$R302,FALSE)</f>
        <v>92</v>
      </c>
      <c r="AA302" s="60">
        <f ca="1">100+HLOOKUP(AA$4,$D$7:$P$336,$R302,FALSE)-HLOOKUP(AA$3,$D$7:$P$336,$R302,FALSE)</f>
        <v>70</v>
      </c>
      <c r="AB302" s="60">
        <f ca="1">100+HLOOKUP(AB$4,$D$7:$P$336,$R302,FALSE)-HLOOKUP(AB$3,$D$7:$P$336,$R302,FALSE)</f>
        <v>92</v>
      </c>
      <c r="AC302" s="60">
        <f ca="1">100+HLOOKUP(AC$4,$D$7:$P$336,$R302,FALSE)-HLOOKUP(AC$3,$D$7:$P$336,$R302,FALSE)</f>
        <v>112</v>
      </c>
      <c r="AD302" s="60">
        <f ca="1">100+HLOOKUP(AD$4,$D$7:$P$336,$R302,FALSE)-HLOOKUP(AD$3,$D$7:$P$336,$R302,FALSE)</f>
        <v>112</v>
      </c>
      <c r="AE302" s="60">
        <f ca="1">100+HLOOKUP(AE$4,$D$7:$P$336,$R302,FALSE)-HLOOKUP(AE$3,$D$7:$P$336,$R302,FALSE)</f>
        <v>112</v>
      </c>
      <c r="AF302" s="60">
        <f ca="1">100+HLOOKUP(AF$4,$D$7:$P$336,$R302,FALSE)-HLOOKUP(AF$3,$D$7:$P$336,$R302,FALSE)</f>
        <v>112</v>
      </c>
      <c r="AG302" s="60">
        <f ca="1">100+HLOOKUP(AG$4,$D$7:$P$336,$R302,FALSE)-HLOOKUP(AG$3,$D$7:$P$336,$R302,FALSE)</f>
        <v>70</v>
      </c>
      <c r="AH302" s="60" t="e">
        <f>100+HLOOKUP(AH$4,$D$7:$P$336,$R302,FALSE)-HLOOKUP(AH$3,$D$7:$P$336,$R302,FALSE)</f>
        <v>#N/A</v>
      </c>
      <c r="AI302" s="60" t="e">
        <f>100+HLOOKUP(AI$4,$D$7:$P$336,$R302,FALSE)-HLOOKUP(AI$3,$D$7:$P$336,$R302,FALSE)</f>
        <v>#N/A</v>
      </c>
      <c r="AJ302" s="60" t="e">
        <f>100+HLOOKUP(AJ$4,$D$7:$P$336,$R302,FALSE)-HLOOKUP(AJ$3,$D$7:$P$336,$R302,FALSE)</f>
        <v>#N/A</v>
      </c>
      <c r="AK302" s="60" t="e">
        <f>100+HLOOKUP(AK$4,$D$7:$P$336,$R302,FALSE)-HLOOKUP(AK$3,$D$7:$P$336,$R302,FALSE)</f>
        <v>#N/A</v>
      </c>
      <c r="AL302" s="60" t="e">
        <f>100+HLOOKUP(AL$4,$D$7:$P$336,$R302,FALSE)-HLOOKUP(AL$3,$D$7:$P$336,$R302,FALSE)</f>
        <v>#N/A</v>
      </c>
      <c r="AM302" s="60" t="e">
        <f>100+HLOOKUP(AM$4,$D$7:$P$336,$R302,FALSE)-HLOOKUP(AM$3,$D$7:$P$336,$R302,FALSE)</f>
        <v>#N/A</v>
      </c>
      <c r="AN302" s="60" t="e">
        <f>100+HLOOKUP(AN$4,$D$7:$P$336,$R302,FALSE)-HLOOKUP(AN$3,$D$7:$P$336,$R302,FALSE)</f>
        <v>#N/A</v>
      </c>
      <c r="AO302" s="60" t="e">
        <f>100+HLOOKUP(AO$4,$D$7:$P$336,$R302,FALSE)-HLOOKUP(AO$3,$D$7:$P$336,$R302,FALSE)</f>
        <v>#N/A</v>
      </c>
      <c r="AP302" s="60" t="e">
        <f>100+HLOOKUP(AP$4,$D$7:$P$336,$R302,FALSE)-HLOOKUP(AP$3,$D$7:$P$336,$R302,FALSE)</f>
        <v>#N/A</v>
      </c>
      <c r="AQ302" s="60" t="e">
        <f>100+HLOOKUP(AQ$4,$D$7:$P$336,$R302,FALSE)-HLOOKUP(AQ$3,$D$7:$P$336,$R302,FALSE)</f>
        <v>#N/A</v>
      </c>
      <c r="AV302" s="60">
        <f ca="1">AV$5-S302</f>
        <v>33.190399426796432</v>
      </c>
      <c r="AW302" s="60">
        <f ca="1">AW$5-T302</f>
        <v>2.2206505297577479</v>
      </c>
      <c r="AX302" s="60">
        <f ca="1">AX$5-U302</f>
        <v>9.7759154036680513</v>
      </c>
      <c r="AY302" s="60">
        <f ca="1">AY$5-V302</f>
        <v>23.603014401527801</v>
      </c>
      <c r="AZ302" s="60">
        <f ca="1">AZ$5-W302</f>
        <v>5.4544821725960304</v>
      </c>
      <c r="BA302" s="60">
        <f ca="1">BA$5-X302</f>
        <v>28.465059058982703</v>
      </c>
      <c r="BB302" s="60">
        <f ca="1">BB$5-Y302</f>
        <v>1.3505927273811267</v>
      </c>
      <c r="BC302" s="60">
        <f ca="1">BC$5-Z302</f>
        <v>15.437465909882164</v>
      </c>
      <c r="BD302" s="60">
        <f ca="1">BD$5-AA302</f>
        <v>27.936518664382362</v>
      </c>
      <c r="BE302" s="60">
        <f ca="1">BE$5-AB302</f>
        <v>-0.170609408007806</v>
      </c>
      <c r="BF302" s="60">
        <f ca="1">BF$5-AC302</f>
        <v>-10.98269568352292</v>
      </c>
      <c r="BG302" s="60">
        <f ca="1">BG$5-AD302</f>
        <v>-8.0147412949814907</v>
      </c>
      <c r="BH302" s="60">
        <f ca="1">BH$5-AE302</f>
        <v>-13.045407769632433</v>
      </c>
      <c r="BI302" s="60">
        <f ca="1">BI$5-AF302</f>
        <v>-21.391494488745195</v>
      </c>
      <c r="BJ302" s="60">
        <f ca="1">BJ$5-AG302</f>
        <v>21.43955105767877</v>
      </c>
      <c r="BK302" s="60" t="e">
        <f>BK$5-AH302</f>
        <v>#N/A</v>
      </c>
      <c r="BL302" s="60" t="e">
        <f>BL$5-AI302</f>
        <v>#N/A</v>
      </c>
      <c r="BM302" s="60" t="e">
        <f>BM$5-AJ302</f>
        <v>#N/A</v>
      </c>
      <c r="BN302" s="60" t="e">
        <f>BN$5-AK302</f>
        <v>#N/A</v>
      </c>
      <c r="BO302" s="60" t="e">
        <f>BO$5-AL302</f>
        <v>#N/A</v>
      </c>
      <c r="BP302" s="60" t="e">
        <f>BP$5-AM302</f>
        <v>#N/A</v>
      </c>
      <c r="BQ302" s="60" t="e">
        <f>BQ$5-AN302</f>
        <v>#N/A</v>
      </c>
      <c r="BR302" s="60" t="e">
        <f>BR$5-AO302</f>
        <v>#N/A</v>
      </c>
      <c r="BS302" s="60" t="e">
        <f>BS$5-AP302</f>
        <v>#N/A</v>
      </c>
      <c r="BT302" s="60" t="e">
        <f>BT$5-AQ302</f>
        <v>#N/A</v>
      </c>
      <c r="BV302" s="60" cm="1">
        <f t="array" aca="1" ref="BV302" ca="1">SQRT(SUMSQ(_xlfn._xlws.FILTER(AV302:BT302,ISNUMBER(AV302:BT302)))/COUNT(_xlfn._xlws.FILTER(AV302:BT302,ISNUMBER(AV302:BT302))))</f>
        <v>18.059387302621374</v>
      </c>
    </row>
    <row r="303" spans="3:74" x14ac:dyDescent="0.2">
      <c r="C303" s="60" t="s">
        <v>357</v>
      </c>
      <c r="D303" s="60">
        <v>0</v>
      </c>
      <c r="E303" s="60">
        <v>-3.4470000000000001</v>
      </c>
      <c r="F303" s="60">
        <v>-6.8940000000000001</v>
      </c>
      <c r="G303" s="60">
        <v>-10.340999999999999</v>
      </c>
      <c r="H303" s="60">
        <v>-10.654999999999999</v>
      </c>
      <c r="I303" s="60">
        <v>-14.102</v>
      </c>
      <c r="J303" s="60">
        <v>-17.548999999999999</v>
      </c>
      <c r="K303" s="60">
        <v>-20.995999999999999</v>
      </c>
      <c r="L303" s="60">
        <v>-24.443000000000001</v>
      </c>
      <c r="M303" s="60">
        <v>10.340999999999999</v>
      </c>
      <c r="N303" s="60">
        <v>6.8940000000000001</v>
      </c>
      <c r="O303" s="60">
        <v>3.4470000000000001</v>
      </c>
      <c r="P303" s="60">
        <v>0</v>
      </c>
      <c r="R303" s="61">
        <f>(ROW(R303)-ROW($C$6))</f>
        <v>297</v>
      </c>
      <c r="S303" s="60">
        <f ca="1">100+HLOOKUP(S$4,$D$7:$P$336,$R303,FALSE)-HLOOKUP(S$3,$D$7:$P$336,$R303,FALSE)</f>
        <v>79.004000000000005</v>
      </c>
      <c r="T303" s="60">
        <f ca="1">100+HLOOKUP(T$4,$D$7:$P$336,$R303,FALSE)-HLOOKUP(T$3,$D$7:$P$336,$R303,FALSE)</f>
        <v>79.003999999999991</v>
      </c>
      <c r="U303" s="60">
        <f ca="1">100+HLOOKUP(U$4,$D$7:$P$336,$R303,FALSE)-HLOOKUP(U$3,$D$7:$P$336,$R303,FALSE)</f>
        <v>79.004000000000005</v>
      </c>
      <c r="V303" s="60">
        <f ca="1">100+HLOOKUP(V$4,$D$7:$P$336,$R303,FALSE)-HLOOKUP(V$3,$D$7:$P$336,$R303,FALSE)</f>
        <v>79.003999999999991</v>
      </c>
      <c r="W303" s="60">
        <f ca="1">100+HLOOKUP(W$4,$D$7:$P$336,$R303,FALSE)-HLOOKUP(W$3,$D$7:$P$336,$R303,FALSE)</f>
        <v>79.004000000000005</v>
      </c>
      <c r="X303" s="60">
        <f ca="1">100+HLOOKUP(X$4,$D$7:$P$336,$R303,FALSE)-HLOOKUP(X$3,$D$7:$P$336,$R303,FALSE)</f>
        <v>79.004000000000005</v>
      </c>
      <c r="Y303" s="60">
        <f ca="1">100+HLOOKUP(Y$4,$D$7:$P$336,$R303,FALSE)-HLOOKUP(Y$3,$D$7:$P$336,$R303,FALSE)</f>
        <v>79.003999999999991</v>
      </c>
      <c r="Z303" s="60">
        <f ca="1">100+HLOOKUP(Z$4,$D$7:$P$336,$R303,FALSE)-HLOOKUP(Z$3,$D$7:$P$336,$R303,FALSE)</f>
        <v>79.004000000000005</v>
      </c>
      <c r="AA303" s="60">
        <f ca="1">100+HLOOKUP(AA$4,$D$7:$P$336,$R303,FALSE)-HLOOKUP(AA$3,$D$7:$P$336,$R303,FALSE)</f>
        <v>79.003999999999991</v>
      </c>
      <c r="AB303" s="60">
        <f ca="1">100+HLOOKUP(AB$4,$D$7:$P$336,$R303,FALSE)-HLOOKUP(AB$3,$D$7:$P$336,$R303,FALSE)</f>
        <v>79.004000000000005</v>
      </c>
      <c r="AC303" s="60">
        <f ca="1">100+HLOOKUP(AC$4,$D$7:$P$336,$R303,FALSE)-HLOOKUP(AC$3,$D$7:$P$336,$R303,FALSE)</f>
        <v>117.235</v>
      </c>
      <c r="AD303" s="60">
        <f ca="1">100+HLOOKUP(AD$4,$D$7:$P$336,$R303,FALSE)-HLOOKUP(AD$3,$D$7:$P$336,$R303,FALSE)</f>
        <v>114.102</v>
      </c>
      <c r="AE303" s="60">
        <f ca="1">100+HLOOKUP(AE$4,$D$7:$P$336,$R303,FALSE)-HLOOKUP(AE$3,$D$7:$P$336,$R303,FALSE)</f>
        <v>114.102</v>
      </c>
      <c r="AF303" s="60">
        <f ca="1">100+HLOOKUP(AF$4,$D$7:$P$336,$R303,FALSE)-HLOOKUP(AF$3,$D$7:$P$336,$R303,FALSE)</f>
        <v>114.102</v>
      </c>
      <c r="AG303" s="60">
        <f ca="1">100+HLOOKUP(AG$4,$D$7:$P$336,$R303,FALSE)-HLOOKUP(AG$3,$D$7:$P$336,$R303,FALSE)</f>
        <v>79.003999999999991</v>
      </c>
      <c r="AH303" s="60" t="e">
        <f>100+HLOOKUP(AH$4,$D$7:$P$336,$R303,FALSE)-HLOOKUP(AH$3,$D$7:$P$336,$R303,FALSE)</f>
        <v>#N/A</v>
      </c>
      <c r="AI303" s="60" t="e">
        <f>100+HLOOKUP(AI$4,$D$7:$P$336,$R303,FALSE)-HLOOKUP(AI$3,$D$7:$P$336,$R303,FALSE)</f>
        <v>#N/A</v>
      </c>
      <c r="AJ303" s="60" t="e">
        <f>100+HLOOKUP(AJ$4,$D$7:$P$336,$R303,FALSE)-HLOOKUP(AJ$3,$D$7:$P$336,$R303,FALSE)</f>
        <v>#N/A</v>
      </c>
      <c r="AK303" s="60" t="e">
        <f>100+HLOOKUP(AK$4,$D$7:$P$336,$R303,FALSE)-HLOOKUP(AK$3,$D$7:$P$336,$R303,FALSE)</f>
        <v>#N/A</v>
      </c>
      <c r="AL303" s="60" t="e">
        <f>100+HLOOKUP(AL$4,$D$7:$P$336,$R303,FALSE)-HLOOKUP(AL$3,$D$7:$P$336,$R303,FALSE)</f>
        <v>#N/A</v>
      </c>
      <c r="AM303" s="60" t="e">
        <f>100+HLOOKUP(AM$4,$D$7:$P$336,$R303,FALSE)-HLOOKUP(AM$3,$D$7:$P$336,$R303,FALSE)</f>
        <v>#N/A</v>
      </c>
      <c r="AN303" s="60" t="e">
        <f>100+HLOOKUP(AN$4,$D$7:$P$336,$R303,FALSE)-HLOOKUP(AN$3,$D$7:$P$336,$R303,FALSE)</f>
        <v>#N/A</v>
      </c>
      <c r="AO303" s="60" t="e">
        <f>100+HLOOKUP(AO$4,$D$7:$P$336,$R303,FALSE)-HLOOKUP(AO$3,$D$7:$P$336,$R303,FALSE)</f>
        <v>#N/A</v>
      </c>
      <c r="AP303" s="60" t="e">
        <f>100+HLOOKUP(AP$4,$D$7:$P$336,$R303,FALSE)-HLOOKUP(AP$3,$D$7:$P$336,$R303,FALSE)</f>
        <v>#N/A</v>
      </c>
      <c r="AQ303" s="60" t="e">
        <f>100+HLOOKUP(AQ$4,$D$7:$P$336,$R303,FALSE)-HLOOKUP(AQ$3,$D$7:$P$336,$R303,FALSE)</f>
        <v>#N/A</v>
      </c>
      <c r="AV303" s="60">
        <f ca="1">AV$5-S303</f>
        <v>24.186399426796427</v>
      </c>
      <c r="AW303" s="60">
        <f ca="1">AW$5-T303</f>
        <v>15.216650529757757</v>
      </c>
      <c r="AX303" s="60">
        <f ca="1">AX$5-U303</f>
        <v>22.771915403668046</v>
      </c>
      <c r="AY303" s="60">
        <f ca="1">AY$5-V303</f>
        <v>14.59901440152781</v>
      </c>
      <c r="AZ303" s="60">
        <f ca="1">AZ$5-W303</f>
        <v>18.450482172596026</v>
      </c>
      <c r="BA303" s="60">
        <f ca="1">BA$5-X303</f>
        <v>19.461059058982698</v>
      </c>
      <c r="BB303" s="60">
        <f ca="1">BB$5-Y303</f>
        <v>14.346592727381136</v>
      </c>
      <c r="BC303" s="60">
        <f ca="1">BC$5-Z303</f>
        <v>28.433465909882159</v>
      </c>
      <c r="BD303" s="60">
        <f ca="1">BD$5-AA303</f>
        <v>18.932518664382371</v>
      </c>
      <c r="BE303" s="60">
        <f ca="1">BE$5-AB303</f>
        <v>12.825390591992189</v>
      </c>
      <c r="BF303" s="60">
        <f ca="1">BF$5-AC303</f>
        <v>-16.217695683522919</v>
      </c>
      <c r="BG303" s="60">
        <f ca="1">BG$5-AD303</f>
        <v>-10.116741294981495</v>
      </c>
      <c r="BH303" s="60">
        <f ca="1">BH$5-AE303</f>
        <v>-15.147407769632437</v>
      </c>
      <c r="BI303" s="60">
        <f ca="1">BI$5-AF303</f>
        <v>-23.493494488745199</v>
      </c>
      <c r="BJ303" s="60">
        <f ca="1">BJ$5-AG303</f>
        <v>12.435551057678779</v>
      </c>
      <c r="BK303" s="60" t="e">
        <f>BK$5-AH303</f>
        <v>#N/A</v>
      </c>
      <c r="BL303" s="60" t="e">
        <f>BL$5-AI303</f>
        <v>#N/A</v>
      </c>
      <c r="BM303" s="60" t="e">
        <f>BM$5-AJ303</f>
        <v>#N/A</v>
      </c>
      <c r="BN303" s="60" t="e">
        <f>BN$5-AK303</f>
        <v>#N/A</v>
      </c>
      <c r="BO303" s="60" t="e">
        <f>BO$5-AL303</f>
        <v>#N/A</v>
      </c>
      <c r="BP303" s="60" t="e">
        <f>BP$5-AM303</f>
        <v>#N/A</v>
      </c>
      <c r="BQ303" s="60" t="e">
        <f>BQ$5-AN303</f>
        <v>#N/A</v>
      </c>
      <c r="BR303" s="60" t="e">
        <f>BR$5-AO303</f>
        <v>#N/A</v>
      </c>
      <c r="BS303" s="60" t="e">
        <f>BS$5-AP303</f>
        <v>#N/A</v>
      </c>
      <c r="BT303" s="60" t="e">
        <f>BT$5-AQ303</f>
        <v>#N/A</v>
      </c>
      <c r="BV303" s="60" cm="1">
        <f t="array" aca="1" ref="BV303" ca="1">SQRT(SUMSQ(_xlfn._xlws.FILTER(AV303:BT303,ISNUMBER(AV303:BT303)))/COUNT(_xlfn._xlws.FILTER(AV303:BT303,ISNUMBER(AV303:BT303))))</f>
        <v>18.449902857784135</v>
      </c>
    </row>
    <row r="304" spans="3:74" x14ac:dyDescent="0.2">
      <c r="C304" s="60" t="s">
        <v>356</v>
      </c>
      <c r="D304" s="60">
        <v>0</v>
      </c>
      <c r="E304" s="60">
        <v>-3</v>
      </c>
      <c r="F304" s="60">
        <v>-7</v>
      </c>
      <c r="G304" s="60">
        <v>-10</v>
      </c>
      <c r="H304" s="60">
        <v>-11</v>
      </c>
      <c r="I304" s="60">
        <v>-14</v>
      </c>
      <c r="J304" s="60">
        <v>-18</v>
      </c>
      <c r="K304" s="60">
        <v>-21</v>
      </c>
      <c r="L304" s="60">
        <v>-24</v>
      </c>
      <c r="M304" s="60">
        <v>10</v>
      </c>
      <c r="N304" s="60">
        <v>7</v>
      </c>
      <c r="O304" s="60">
        <v>3</v>
      </c>
      <c r="P304" s="60">
        <v>0</v>
      </c>
      <c r="R304" s="61">
        <f>(ROW(R304)-ROW($C$6))</f>
        <v>298</v>
      </c>
      <c r="S304" s="60">
        <f ca="1">100+HLOOKUP(S$4,$D$7:$P$336,$R304,FALSE)-HLOOKUP(S$3,$D$7:$P$336,$R304,FALSE)</f>
        <v>79</v>
      </c>
      <c r="T304" s="60">
        <f ca="1">100+HLOOKUP(T$4,$D$7:$P$336,$R304,FALSE)-HLOOKUP(T$3,$D$7:$P$336,$R304,FALSE)</f>
        <v>79</v>
      </c>
      <c r="U304" s="60">
        <f ca="1">100+HLOOKUP(U$4,$D$7:$P$336,$R304,FALSE)-HLOOKUP(U$3,$D$7:$P$336,$R304,FALSE)</f>
        <v>79</v>
      </c>
      <c r="V304" s="60">
        <f ca="1">100+HLOOKUP(V$4,$D$7:$P$336,$R304,FALSE)-HLOOKUP(V$3,$D$7:$P$336,$R304,FALSE)</f>
        <v>79</v>
      </c>
      <c r="W304" s="60">
        <f ca="1">100+HLOOKUP(W$4,$D$7:$P$336,$R304,FALSE)-HLOOKUP(W$3,$D$7:$P$336,$R304,FALSE)</f>
        <v>79</v>
      </c>
      <c r="X304" s="60">
        <f ca="1">100+HLOOKUP(X$4,$D$7:$P$336,$R304,FALSE)-HLOOKUP(X$3,$D$7:$P$336,$R304,FALSE)</f>
        <v>79</v>
      </c>
      <c r="Y304" s="60">
        <f ca="1">100+HLOOKUP(Y$4,$D$7:$P$336,$R304,FALSE)-HLOOKUP(Y$3,$D$7:$P$336,$R304,FALSE)</f>
        <v>79</v>
      </c>
      <c r="Z304" s="60">
        <f ca="1">100+HLOOKUP(Z$4,$D$7:$P$336,$R304,FALSE)-HLOOKUP(Z$3,$D$7:$P$336,$R304,FALSE)</f>
        <v>79</v>
      </c>
      <c r="AA304" s="60">
        <f ca="1">100+HLOOKUP(AA$4,$D$7:$P$336,$R304,FALSE)-HLOOKUP(AA$3,$D$7:$P$336,$R304,FALSE)</f>
        <v>79</v>
      </c>
      <c r="AB304" s="60">
        <f ca="1">100+HLOOKUP(AB$4,$D$7:$P$336,$R304,FALSE)-HLOOKUP(AB$3,$D$7:$P$336,$R304,FALSE)</f>
        <v>79</v>
      </c>
      <c r="AC304" s="60">
        <f ca="1">100+HLOOKUP(AC$4,$D$7:$P$336,$R304,FALSE)-HLOOKUP(AC$3,$D$7:$P$336,$R304,FALSE)</f>
        <v>117</v>
      </c>
      <c r="AD304" s="60">
        <f ca="1">100+HLOOKUP(AD$4,$D$7:$P$336,$R304,FALSE)-HLOOKUP(AD$3,$D$7:$P$336,$R304,FALSE)</f>
        <v>114</v>
      </c>
      <c r="AE304" s="60">
        <f ca="1">100+HLOOKUP(AE$4,$D$7:$P$336,$R304,FALSE)-HLOOKUP(AE$3,$D$7:$P$336,$R304,FALSE)</f>
        <v>115</v>
      </c>
      <c r="AF304" s="60">
        <f ca="1">100+HLOOKUP(AF$4,$D$7:$P$336,$R304,FALSE)-HLOOKUP(AF$3,$D$7:$P$336,$R304,FALSE)</f>
        <v>114</v>
      </c>
      <c r="AG304" s="60">
        <f ca="1">100+HLOOKUP(AG$4,$D$7:$P$336,$R304,FALSE)-HLOOKUP(AG$3,$D$7:$P$336,$R304,FALSE)</f>
        <v>79</v>
      </c>
      <c r="AH304" s="60" t="e">
        <f>100+HLOOKUP(AH$4,$D$7:$P$336,$R304,FALSE)-HLOOKUP(AH$3,$D$7:$P$336,$R304,FALSE)</f>
        <v>#N/A</v>
      </c>
      <c r="AI304" s="60" t="e">
        <f>100+HLOOKUP(AI$4,$D$7:$P$336,$R304,FALSE)-HLOOKUP(AI$3,$D$7:$P$336,$R304,FALSE)</f>
        <v>#N/A</v>
      </c>
      <c r="AJ304" s="60" t="e">
        <f>100+HLOOKUP(AJ$4,$D$7:$P$336,$R304,FALSE)-HLOOKUP(AJ$3,$D$7:$P$336,$R304,FALSE)</f>
        <v>#N/A</v>
      </c>
      <c r="AK304" s="60" t="e">
        <f>100+HLOOKUP(AK$4,$D$7:$P$336,$R304,FALSE)-HLOOKUP(AK$3,$D$7:$P$336,$R304,FALSE)</f>
        <v>#N/A</v>
      </c>
      <c r="AL304" s="60" t="e">
        <f>100+HLOOKUP(AL$4,$D$7:$P$336,$R304,FALSE)-HLOOKUP(AL$3,$D$7:$P$336,$R304,FALSE)</f>
        <v>#N/A</v>
      </c>
      <c r="AM304" s="60" t="e">
        <f>100+HLOOKUP(AM$4,$D$7:$P$336,$R304,FALSE)-HLOOKUP(AM$3,$D$7:$P$336,$R304,FALSE)</f>
        <v>#N/A</v>
      </c>
      <c r="AN304" s="60" t="e">
        <f>100+HLOOKUP(AN$4,$D$7:$P$336,$R304,FALSE)-HLOOKUP(AN$3,$D$7:$P$336,$R304,FALSE)</f>
        <v>#N/A</v>
      </c>
      <c r="AO304" s="60" t="e">
        <f>100+HLOOKUP(AO$4,$D$7:$P$336,$R304,FALSE)-HLOOKUP(AO$3,$D$7:$P$336,$R304,FALSE)</f>
        <v>#N/A</v>
      </c>
      <c r="AP304" s="60" t="e">
        <f>100+HLOOKUP(AP$4,$D$7:$P$336,$R304,FALSE)-HLOOKUP(AP$3,$D$7:$P$336,$R304,FALSE)</f>
        <v>#N/A</v>
      </c>
      <c r="AQ304" s="60" t="e">
        <f>100+HLOOKUP(AQ$4,$D$7:$P$336,$R304,FALSE)-HLOOKUP(AQ$3,$D$7:$P$336,$R304,FALSE)</f>
        <v>#N/A</v>
      </c>
      <c r="AV304" s="60">
        <f ca="1">AV$5-S304</f>
        <v>24.190399426796432</v>
      </c>
      <c r="AW304" s="60">
        <f ca="1">AW$5-T304</f>
        <v>15.220650529757748</v>
      </c>
      <c r="AX304" s="60">
        <f ca="1">AX$5-U304</f>
        <v>22.775915403668051</v>
      </c>
      <c r="AY304" s="60">
        <f ca="1">AY$5-V304</f>
        <v>14.603014401527801</v>
      </c>
      <c r="AZ304" s="60">
        <f ca="1">AZ$5-W304</f>
        <v>18.45448217259603</v>
      </c>
      <c r="BA304" s="60">
        <f ca="1">BA$5-X304</f>
        <v>19.465059058982703</v>
      </c>
      <c r="BB304" s="60">
        <f ca="1">BB$5-Y304</f>
        <v>14.350592727381127</v>
      </c>
      <c r="BC304" s="60">
        <f ca="1">BC$5-Z304</f>
        <v>28.437465909882164</v>
      </c>
      <c r="BD304" s="60">
        <f ca="1">BD$5-AA304</f>
        <v>18.936518664382362</v>
      </c>
      <c r="BE304" s="60">
        <f ca="1">BE$5-AB304</f>
        <v>12.829390591992194</v>
      </c>
      <c r="BF304" s="60">
        <f ca="1">BF$5-AC304</f>
        <v>-15.98269568352292</v>
      </c>
      <c r="BG304" s="60">
        <f ca="1">BG$5-AD304</f>
        <v>-10.014741294981491</v>
      </c>
      <c r="BH304" s="60">
        <f ca="1">BH$5-AE304</f>
        <v>-16.045407769632433</v>
      </c>
      <c r="BI304" s="60">
        <f ca="1">BI$5-AF304</f>
        <v>-23.391494488745195</v>
      </c>
      <c r="BJ304" s="60">
        <f ca="1">BJ$5-AG304</f>
        <v>12.43955105767877</v>
      </c>
      <c r="BK304" s="60" t="e">
        <f>BK$5-AH304</f>
        <v>#N/A</v>
      </c>
      <c r="BL304" s="60" t="e">
        <f>BL$5-AI304</f>
        <v>#N/A</v>
      </c>
      <c r="BM304" s="60" t="e">
        <f>BM$5-AJ304</f>
        <v>#N/A</v>
      </c>
      <c r="BN304" s="60" t="e">
        <f>BN$5-AK304</f>
        <v>#N/A</v>
      </c>
      <c r="BO304" s="60" t="e">
        <f>BO$5-AL304</f>
        <v>#N/A</v>
      </c>
      <c r="BP304" s="60" t="e">
        <f>BP$5-AM304</f>
        <v>#N/A</v>
      </c>
      <c r="BQ304" s="60" t="e">
        <f>BQ$5-AN304</f>
        <v>#N/A</v>
      </c>
      <c r="BR304" s="60" t="e">
        <f>BR$5-AO304</f>
        <v>#N/A</v>
      </c>
      <c r="BS304" s="60" t="e">
        <f>BS$5-AP304</f>
        <v>#N/A</v>
      </c>
      <c r="BT304" s="60" t="e">
        <f>BT$5-AQ304</f>
        <v>#N/A</v>
      </c>
      <c r="BV304" s="60" cm="1">
        <f t="array" aca="1" ref="BV304" ca="1">SQRT(SUMSQ(_xlfn._xlws.FILTER(AV304:BT304,ISNUMBER(AV304:BT304)))/COUNT(_xlfn._xlws.FILTER(AV304:BT304,ISNUMBER(AV304:BT304))))</f>
        <v>18.477383574752039</v>
      </c>
    </row>
    <row r="305" spans="3:74" x14ac:dyDescent="0.2">
      <c r="C305" s="60" t="s">
        <v>392</v>
      </c>
      <c r="D305" s="60">
        <v>0</v>
      </c>
      <c r="E305" s="60">
        <v>3</v>
      </c>
      <c r="F305" s="60">
        <v>-11</v>
      </c>
      <c r="G305" s="60">
        <v>-2</v>
      </c>
      <c r="H305" s="60">
        <v>-14</v>
      </c>
      <c r="I305" s="60">
        <v>8</v>
      </c>
      <c r="J305" s="60">
        <v>-16</v>
      </c>
      <c r="K305" s="60">
        <v>-24</v>
      </c>
      <c r="L305" s="60">
        <v>-22</v>
      </c>
      <c r="M305" s="60">
        <v>6</v>
      </c>
      <c r="N305" s="60">
        <v>12</v>
      </c>
      <c r="O305" s="60">
        <v>2</v>
      </c>
      <c r="P305" s="60">
        <v>0</v>
      </c>
      <c r="R305" s="61">
        <f>(ROW(R305)-ROW($C$6))</f>
        <v>299</v>
      </c>
      <c r="S305" s="60">
        <f ca="1">100+HLOOKUP(S$4,$D$7:$P$336,$R305,FALSE)-HLOOKUP(S$3,$D$7:$P$336,$R305,FALSE)</f>
        <v>80</v>
      </c>
      <c r="T305" s="60">
        <f ca="1">100+HLOOKUP(T$4,$D$7:$P$336,$R305,FALSE)-HLOOKUP(T$3,$D$7:$P$336,$R305,FALSE)</f>
        <v>82</v>
      </c>
      <c r="U305" s="60">
        <f ca="1">100+HLOOKUP(U$4,$D$7:$P$336,$R305,FALSE)-HLOOKUP(U$3,$D$7:$P$336,$R305,FALSE)</f>
        <v>75</v>
      </c>
      <c r="V305" s="60">
        <f ca="1">100+HLOOKUP(V$4,$D$7:$P$336,$R305,FALSE)-HLOOKUP(V$3,$D$7:$P$336,$R305,FALSE)</f>
        <v>96</v>
      </c>
      <c r="W305" s="60">
        <f ca="1">100+HLOOKUP(W$4,$D$7:$P$336,$R305,FALSE)-HLOOKUP(W$3,$D$7:$P$336,$R305,FALSE)</f>
        <v>76</v>
      </c>
      <c r="X305" s="60">
        <f ca="1">100+HLOOKUP(X$4,$D$7:$P$336,$R305,FALSE)-HLOOKUP(X$3,$D$7:$P$336,$R305,FALSE)</f>
        <v>80</v>
      </c>
      <c r="Y305" s="60">
        <f ca="1">100+HLOOKUP(Y$4,$D$7:$P$336,$R305,FALSE)-HLOOKUP(Y$3,$D$7:$P$336,$R305,FALSE)</f>
        <v>82</v>
      </c>
      <c r="Z305" s="60">
        <f ca="1">100+HLOOKUP(Z$4,$D$7:$P$336,$R305,FALSE)-HLOOKUP(Z$3,$D$7:$P$336,$R305,FALSE)</f>
        <v>75</v>
      </c>
      <c r="AA305" s="60">
        <f ca="1">100+HLOOKUP(AA$4,$D$7:$P$336,$R305,FALSE)-HLOOKUP(AA$3,$D$7:$P$336,$R305,FALSE)</f>
        <v>96</v>
      </c>
      <c r="AB305" s="60">
        <f ca="1">100+HLOOKUP(AB$4,$D$7:$P$336,$R305,FALSE)-HLOOKUP(AB$3,$D$7:$P$336,$R305,FALSE)</f>
        <v>76</v>
      </c>
      <c r="AC305" s="60">
        <f ca="1">100+HLOOKUP(AC$4,$D$7:$P$336,$R305,FALSE)-HLOOKUP(AC$3,$D$7:$P$336,$R305,FALSE)</f>
        <v>117</v>
      </c>
      <c r="AD305" s="60">
        <f ca="1">100+HLOOKUP(AD$4,$D$7:$P$336,$R305,FALSE)-HLOOKUP(AD$3,$D$7:$P$336,$R305,FALSE)</f>
        <v>116</v>
      </c>
      <c r="AE305" s="60">
        <f ca="1">100+HLOOKUP(AE$4,$D$7:$P$336,$R305,FALSE)-HLOOKUP(AE$3,$D$7:$P$336,$R305,FALSE)</f>
        <v>119</v>
      </c>
      <c r="AF305" s="60">
        <f ca="1">100+HLOOKUP(AF$4,$D$7:$P$336,$R305,FALSE)-HLOOKUP(AF$3,$D$7:$P$336,$R305,FALSE)</f>
        <v>120</v>
      </c>
      <c r="AG305" s="60">
        <f ca="1">100+HLOOKUP(AG$4,$D$7:$P$336,$R305,FALSE)-HLOOKUP(AG$3,$D$7:$P$336,$R305,FALSE)</f>
        <v>96</v>
      </c>
      <c r="AH305" s="60" t="e">
        <f>100+HLOOKUP(AH$4,$D$7:$P$336,$R305,FALSE)-HLOOKUP(AH$3,$D$7:$P$336,$R305,FALSE)</f>
        <v>#N/A</v>
      </c>
      <c r="AI305" s="60" t="e">
        <f>100+HLOOKUP(AI$4,$D$7:$P$336,$R305,FALSE)-HLOOKUP(AI$3,$D$7:$P$336,$R305,FALSE)</f>
        <v>#N/A</v>
      </c>
      <c r="AJ305" s="60" t="e">
        <f>100+HLOOKUP(AJ$4,$D$7:$P$336,$R305,FALSE)-HLOOKUP(AJ$3,$D$7:$P$336,$R305,FALSE)</f>
        <v>#N/A</v>
      </c>
      <c r="AK305" s="60" t="e">
        <f>100+HLOOKUP(AK$4,$D$7:$P$336,$R305,FALSE)-HLOOKUP(AK$3,$D$7:$P$336,$R305,FALSE)</f>
        <v>#N/A</v>
      </c>
      <c r="AL305" s="60" t="e">
        <f>100+HLOOKUP(AL$4,$D$7:$P$336,$R305,FALSE)-HLOOKUP(AL$3,$D$7:$P$336,$R305,FALSE)</f>
        <v>#N/A</v>
      </c>
      <c r="AM305" s="60" t="e">
        <f>100+HLOOKUP(AM$4,$D$7:$P$336,$R305,FALSE)-HLOOKUP(AM$3,$D$7:$P$336,$R305,FALSE)</f>
        <v>#N/A</v>
      </c>
      <c r="AN305" s="60" t="e">
        <f>100+HLOOKUP(AN$4,$D$7:$P$336,$R305,FALSE)-HLOOKUP(AN$3,$D$7:$P$336,$R305,FALSE)</f>
        <v>#N/A</v>
      </c>
      <c r="AO305" s="60" t="e">
        <f>100+HLOOKUP(AO$4,$D$7:$P$336,$R305,FALSE)-HLOOKUP(AO$3,$D$7:$P$336,$R305,FALSE)</f>
        <v>#N/A</v>
      </c>
      <c r="AP305" s="60" t="e">
        <f>100+HLOOKUP(AP$4,$D$7:$P$336,$R305,FALSE)-HLOOKUP(AP$3,$D$7:$P$336,$R305,FALSE)</f>
        <v>#N/A</v>
      </c>
      <c r="AQ305" s="60" t="e">
        <f>100+HLOOKUP(AQ$4,$D$7:$P$336,$R305,FALSE)-HLOOKUP(AQ$3,$D$7:$P$336,$R305,FALSE)</f>
        <v>#N/A</v>
      </c>
      <c r="AV305" s="60">
        <f ca="1">AV$5-S305</f>
        <v>23.190399426796432</v>
      </c>
      <c r="AW305" s="60">
        <f ca="1">AW$5-T305</f>
        <v>12.220650529757748</v>
      </c>
      <c r="AX305" s="60">
        <f ca="1">AX$5-U305</f>
        <v>26.775915403668051</v>
      </c>
      <c r="AY305" s="60">
        <f ca="1">AY$5-V305</f>
        <v>-2.3969855984721988</v>
      </c>
      <c r="AZ305" s="60">
        <f ca="1">AZ$5-W305</f>
        <v>21.45448217259603</v>
      </c>
      <c r="BA305" s="60">
        <f ca="1">BA$5-X305</f>
        <v>18.465059058982703</v>
      </c>
      <c r="BB305" s="60">
        <f ca="1">BB$5-Y305</f>
        <v>11.350592727381127</v>
      </c>
      <c r="BC305" s="60">
        <f ca="1">BC$5-Z305</f>
        <v>32.437465909882164</v>
      </c>
      <c r="BD305" s="60">
        <f ca="1">BD$5-AA305</f>
        <v>1.936518664382362</v>
      </c>
      <c r="BE305" s="60">
        <f ca="1">BE$5-AB305</f>
        <v>15.829390591992194</v>
      </c>
      <c r="BF305" s="60">
        <f ca="1">BF$5-AC305</f>
        <v>-15.98269568352292</v>
      </c>
      <c r="BG305" s="60">
        <f ca="1">BG$5-AD305</f>
        <v>-12.014741294981491</v>
      </c>
      <c r="BH305" s="60">
        <f ca="1">BH$5-AE305</f>
        <v>-20.045407769632433</v>
      </c>
      <c r="BI305" s="60">
        <f ca="1">BI$5-AF305</f>
        <v>-29.391494488745195</v>
      </c>
      <c r="BJ305" s="60">
        <f ca="1">BJ$5-AG305</f>
        <v>-4.56044894232123</v>
      </c>
      <c r="BK305" s="60" t="e">
        <f>BK$5-AH305</f>
        <v>#N/A</v>
      </c>
      <c r="BL305" s="60" t="e">
        <f>BL$5-AI305</f>
        <v>#N/A</v>
      </c>
      <c r="BM305" s="60" t="e">
        <f>BM$5-AJ305</f>
        <v>#N/A</v>
      </c>
      <c r="BN305" s="60" t="e">
        <f>BN$5-AK305</f>
        <v>#N/A</v>
      </c>
      <c r="BO305" s="60" t="e">
        <f>BO$5-AL305</f>
        <v>#N/A</v>
      </c>
      <c r="BP305" s="60" t="e">
        <f>BP$5-AM305</f>
        <v>#N/A</v>
      </c>
      <c r="BQ305" s="60" t="e">
        <f>BQ$5-AN305</f>
        <v>#N/A</v>
      </c>
      <c r="BR305" s="60" t="e">
        <f>BR$5-AO305</f>
        <v>#N/A</v>
      </c>
      <c r="BS305" s="60" t="e">
        <f>BS$5-AP305</f>
        <v>#N/A</v>
      </c>
      <c r="BT305" s="60" t="e">
        <f>BT$5-AQ305</f>
        <v>#N/A</v>
      </c>
      <c r="BV305" s="60" cm="1">
        <f t="array" aca="1" ref="BV305" ca="1">SQRT(SUMSQ(_xlfn._xlws.FILTER(AV305:BT305,ISNUMBER(AV305:BT305)))/COUNT(_xlfn._xlws.FILTER(AV305:BT305,ISNUMBER(AV305:BT305))))</f>
        <v>18.855076713552403</v>
      </c>
    </row>
    <row r="306" spans="3:74" x14ac:dyDescent="0.2">
      <c r="C306" s="60" t="s">
        <v>207</v>
      </c>
      <c r="D306" s="60">
        <v>0</v>
      </c>
      <c r="E306" s="60">
        <v>2</v>
      </c>
      <c r="F306" s="60">
        <v>-18</v>
      </c>
      <c r="G306" s="60">
        <v>-16</v>
      </c>
      <c r="H306" s="60">
        <v>-14</v>
      </c>
      <c r="I306" s="60">
        <v>-12</v>
      </c>
      <c r="J306" s="60">
        <v>-10</v>
      </c>
      <c r="K306" s="60">
        <v>-30</v>
      </c>
      <c r="L306" s="60">
        <v>-28</v>
      </c>
      <c r="M306" s="60">
        <v>-26</v>
      </c>
      <c r="N306" s="60">
        <v>-24</v>
      </c>
      <c r="O306" s="60">
        <v>-2</v>
      </c>
      <c r="P306" s="60">
        <v>0</v>
      </c>
      <c r="R306" s="61">
        <f>(ROW(R306)-ROW($C$6))</f>
        <v>300</v>
      </c>
      <c r="S306" s="60">
        <f ca="1">100+HLOOKUP(S$4,$D$7:$P$336,$R306,FALSE)-HLOOKUP(S$3,$D$7:$P$336,$R306,FALSE)</f>
        <v>112</v>
      </c>
      <c r="T306" s="60">
        <f ca="1">100+HLOOKUP(T$4,$D$7:$P$336,$R306,FALSE)-HLOOKUP(T$3,$D$7:$P$336,$R306,FALSE)</f>
        <v>92</v>
      </c>
      <c r="U306" s="60">
        <f ca="1">100+HLOOKUP(U$4,$D$7:$P$336,$R306,FALSE)-HLOOKUP(U$3,$D$7:$P$336,$R306,FALSE)</f>
        <v>70</v>
      </c>
      <c r="V306" s="60">
        <f ca="1">100+HLOOKUP(V$4,$D$7:$P$336,$R306,FALSE)-HLOOKUP(V$3,$D$7:$P$336,$R306,FALSE)</f>
        <v>112</v>
      </c>
      <c r="W306" s="60">
        <f ca="1">100+HLOOKUP(W$4,$D$7:$P$336,$R306,FALSE)-HLOOKUP(W$3,$D$7:$P$336,$R306,FALSE)</f>
        <v>70</v>
      </c>
      <c r="X306" s="60">
        <f ca="1">100+HLOOKUP(X$4,$D$7:$P$336,$R306,FALSE)-HLOOKUP(X$3,$D$7:$P$336,$R306,FALSE)</f>
        <v>112</v>
      </c>
      <c r="Y306" s="60">
        <f ca="1">100+HLOOKUP(Y$4,$D$7:$P$336,$R306,FALSE)-HLOOKUP(Y$3,$D$7:$P$336,$R306,FALSE)</f>
        <v>92</v>
      </c>
      <c r="Z306" s="60">
        <f ca="1">100+HLOOKUP(Z$4,$D$7:$P$336,$R306,FALSE)-HLOOKUP(Z$3,$D$7:$P$336,$R306,FALSE)</f>
        <v>70</v>
      </c>
      <c r="AA306" s="60">
        <f ca="1">100+HLOOKUP(AA$4,$D$7:$P$336,$R306,FALSE)-HLOOKUP(AA$3,$D$7:$P$336,$R306,FALSE)</f>
        <v>112</v>
      </c>
      <c r="AB306" s="60">
        <f ca="1">100+HLOOKUP(AB$4,$D$7:$P$336,$R306,FALSE)-HLOOKUP(AB$3,$D$7:$P$336,$R306,FALSE)</f>
        <v>70</v>
      </c>
      <c r="AC306" s="60">
        <f ca="1">100+HLOOKUP(AC$4,$D$7:$P$336,$R306,FALSE)-HLOOKUP(AC$3,$D$7:$P$336,$R306,FALSE)</f>
        <v>92</v>
      </c>
      <c r="AD306" s="60">
        <f ca="1">100+HLOOKUP(AD$4,$D$7:$P$336,$R306,FALSE)-HLOOKUP(AD$3,$D$7:$P$336,$R306,FALSE)</f>
        <v>112</v>
      </c>
      <c r="AE306" s="60">
        <f ca="1">100+HLOOKUP(AE$4,$D$7:$P$336,$R306,FALSE)-HLOOKUP(AE$3,$D$7:$P$336,$R306,FALSE)</f>
        <v>112</v>
      </c>
      <c r="AF306" s="60">
        <f ca="1">100+HLOOKUP(AF$4,$D$7:$P$336,$R306,FALSE)-HLOOKUP(AF$3,$D$7:$P$336,$R306,FALSE)</f>
        <v>112</v>
      </c>
      <c r="AG306" s="60">
        <f ca="1">100+HLOOKUP(AG$4,$D$7:$P$336,$R306,FALSE)-HLOOKUP(AG$3,$D$7:$P$336,$R306,FALSE)</f>
        <v>112</v>
      </c>
      <c r="AH306" s="60" t="e">
        <f>100+HLOOKUP(AH$4,$D$7:$P$336,$R306,FALSE)-HLOOKUP(AH$3,$D$7:$P$336,$R306,FALSE)</f>
        <v>#N/A</v>
      </c>
      <c r="AI306" s="60" t="e">
        <f>100+HLOOKUP(AI$4,$D$7:$P$336,$R306,FALSE)-HLOOKUP(AI$3,$D$7:$P$336,$R306,FALSE)</f>
        <v>#N/A</v>
      </c>
      <c r="AJ306" s="60" t="e">
        <f>100+HLOOKUP(AJ$4,$D$7:$P$336,$R306,FALSE)-HLOOKUP(AJ$3,$D$7:$P$336,$R306,FALSE)</f>
        <v>#N/A</v>
      </c>
      <c r="AK306" s="60" t="e">
        <f>100+HLOOKUP(AK$4,$D$7:$P$336,$R306,FALSE)-HLOOKUP(AK$3,$D$7:$P$336,$R306,FALSE)</f>
        <v>#N/A</v>
      </c>
      <c r="AL306" s="60" t="e">
        <f>100+HLOOKUP(AL$4,$D$7:$P$336,$R306,FALSE)-HLOOKUP(AL$3,$D$7:$P$336,$R306,FALSE)</f>
        <v>#N/A</v>
      </c>
      <c r="AM306" s="60" t="e">
        <f>100+HLOOKUP(AM$4,$D$7:$P$336,$R306,FALSE)-HLOOKUP(AM$3,$D$7:$P$336,$R306,FALSE)</f>
        <v>#N/A</v>
      </c>
      <c r="AN306" s="60" t="e">
        <f>100+HLOOKUP(AN$4,$D$7:$P$336,$R306,FALSE)-HLOOKUP(AN$3,$D$7:$P$336,$R306,FALSE)</f>
        <v>#N/A</v>
      </c>
      <c r="AO306" s="60" t="e">
        <f>100+HLOOKUP(AO$4,$D$7:$P$336,$R306,FALSE)-HLOOKUP(AO$3,$D$7:$P$336,$R306,FALSE)</f>
        <v>#N/A</v>
      </c>
      <c r="AP306" s="60" t="e">
        <f>100+HLOOKUP(AP$4,$D$7:$P$336,$R306,FALSE)-HLOOKUP(AP$3,$D$7:$P$336,$R306,FALSE)</f>
        <v>#N/A</v>
      </c>
      <c r="AQ306" s="60" t="e">
        <f>100+HLOOKUP(AQ$4,$D$7:$P$336,$R306,FALSE)-HLOOKUP(AQ$3,$D$7:$P$336,$R306,FALSE)</f>
        <v>#N/A</v>
      </c>
      <c r="AV306" s="60">
        <f ca="1">AV$5-S306</f>
        <v>-8.8096005732035678</v>
      </c>
      <c r="AW306" s="60">
        <f ca="1">AW$5-T306</f>
        <v>2.2206505297577479</v>
      </c>
      <c r="AX306" s="60">
        <f ca="1">AX$5-U306</f>
        <v>31.775915403668051</v>
      </c>
      <c r="AY306" s="60">
        <f ca="1">AY$5-V306</f>
        <v>-18.396985598472199</v>
      </c>
      <c r="AZ306" s="60">
        <f ca="1">AZ$5-W306</f>
        <v>27.45448217259603</v>
      </c>
      <c r="BA306" s="60">
        <f ca="1">BA$5-X306</f>
        <v>-13.534940941017297</v>
      </c>
      <c r="BB306" s="60">
        <f ca="1">BB$5-Y306</f>
        <v>1.3505927273811267</v>
      </c>
      <c r="BC306" s="60">
        <f ca="1">BC$5-Z306</f>
        <v>37.437465909882164</v>
      </c>
      <c r="BD306" s="60">
        <f ca="1">BD$5-AA306</f>
        <v>-14.063481335617638</v>
      </c>
      <c r="BE306" s="60">
        <f ca="1">BE$5-AB306</f>
        <v>21.829390591992194</v>
      </c>
      <c r="BF306" s="60">
        <f ca="1">BF$5-AC306</f>
        <v>9.0173043164770803</v>
      </c>
      <c r="BG306" s="60">
        <f ca="1">BG$5-AD306</f>
        <v>-8.0147412949814907</v>
      </c>
      <c r="BH306" s="60">
        <f ca="1">BH$5-AE306</f>
        <v>-13.045407769632433</v>
      </c>
      <c r="BI306" s="60">
        <f ca="1">BI$5-AF306</f>
        <v>-21.391494488745195</v>
      </c>
      <c r="BJ306" s="60">
        <f ca="1">BJ$5-AG306</f>
        <v>-20.56044894232123</v>
      </c>
      <c r="BK306" s="60" t="e">
        <f>BK$5-AH306</f>
        <v>#N/A</v>
      </c>
      <c r="BL306" s="60" t="e">
        <f>BL$5-AI306</f>
        <v>#N/A</v>
      </c>
      <c r="BM306" s="60" t="e">
        <f>BM$5-AJ306</f>
        <v>#N/A</v>
      </c>
      <c r="BN306" s="60" t="e">
        <f>BN$5-AK306</f>
        <v>#N/A</v>
      </c>
      <c r="BO306" s="60" t="e">
        <f>BO$5-AL306</f>
        <v>#N/A</v>
      </c>
      <c r="BP306" s="60" t="e">
        <f>BP$5-AM306</f>
        <v>#N/A</v>
      </c>
      <c r="BQ306" s="60" t="e">
        <f>BQ$5-AN306</f>
        <v>#N/A</v>
      </c>
      <c r="BR306" s="60" t="e">
        <f>BR$5-AO306</f>
        <v>#N/A</v>
      </c>
      <c r="BS306" s="60" t="e">
        <f>BS$5-AP306</f>
        <v>#N/A</v>
      </c>
      <c r="BT306" s="60" t="e">
        <f>BT$5-AQ306</f>
        <v>#N/A</v>
      </c>
      <c r="BV306" s="60" cm="1">
        <f t="array" aca="1" ref="BV306" ca="1">SQRT(SUMSQ(_xlfn._xlws.FILTER(AV306:BT306,ISNUMBER(AV306:BT306)))/COUNT(_xlfn._xlws.FILTER(AV306:BT306,ISNUMBER(AV306:BT306))))</f>
        <v>19.393111868395419</v>
      </c>
    </row>
    <row r="307" spans="3:74" x14ac:dyDescent="0.2">
      <c r="C307" s="60" t="s">
        <v>175</v>
      </c>
      <c r="D307" s="60">
        <v>0</v>
      </c>
      <c r="E307" s="60">
        <v>-3.226</v>
      </c>
      <c r="F307" s="60">
        <v>-6.452</v>
      </c>
      <c r="G307" s="60">
        <v>-9.6769999999999996</v>
      </c>
      <c r="H307" s="60">
        <v>-12.903</v>
      </c>
      <c r="I307" s="60">
        <v>-16.129000000000001</v>
      </c>
      <c r="J307" s="60">
        <v>-19.355</v>
      </c>
      <c r="K307" s="60">
        <v>-22.581</v>
      </c>
      <c r="L307" s="60">
        <v>-25.806000000000001</v>
      </c>
      <c r="M307" s="60">
        <v>9.6769999999999996</v>
      </c>
      <c r="N307" s="60">
        <v>6.452</v>
      </c>
      <c r="O307" s="60">
        <v>3.226</v>
      </c>
      <c r="P307" s="60">
        <v>0</v>
      </c>
      <c r="R307" s="61">
        <f>(ROW(R307)-ROW($C$6))</f>
        <v>301</v>
      </c>
      <c r="S307" s="60">
        <f ca="1">100+HLOOKUP(S$4,$D$7:$P$336,$R307,FALSE)-HLOOKUP(S$3,$D$7:$P$336,$R307,FALSE)</f>
        <v>77.419999999999987</v>
      </c>
      <c r="T307" s="60">
        <f ca="1">100+HLOOKUP(T$4,$D$7:$P$336,$R307,FALSE)-HLOOKUP(T$3,$D$7:$P$336,$R307,FALSE)</f>
        <v>77.418999999999997</v>
      </c>
      <c r="U307" s="60">
        <f ca="1">100+HLOOKUP(U$4,$D$7:$P$336,$R307,FALSE)-HLOOKUP(U$3,$D$7:$P$336,$R307,FALSE)</f>
        <v>77.42</v>
      </c>
      <c r="V307" s="60">
        <f ca="1">100+HLOOKUP(V$4,$D$7:$P$336,$R307,FALSE)-HLOOKUP(V$3,$D$7:$P$336,$R307,FALSE)</f>
        <v>77.418999999999997</v>
      </c>
      <c r="W307" s="60">
        <f ca="1">100+HLOOKUP(W$4,$D$7:$P$336,$R307,FALSE)-HLOOKUP(W$3,$D$7:$P$336,$R307,FALSE)</f>
        <v>77.418999999999997</v>
      </c>
      <c r="X307" s="60">
        <f ca="1">100+HLOOKUP(X$4,$D$7:$P$336,$R307,FALSE)-HLOOKUP(X$3,$D$7:$P$336,$R307,FALSE)</f>
        <v>77.419999999999987</v>
      </c>
      <c r="Y307" s="60">
        <f ca="1">100+HLOOKUP(Y$4,$D$7:$P$336,$R307,FALSE)-HLOOKUP(Y$3,$D$7:$P$336,$R307,FALSE)</f>
        <v>77.418999999999997</v>
      </c>
      <c r="Z307" s="60">
        <f ca="1">100+HLOOKUP(Z$4,$D$7:$P$336,$R307,FALSE)-HLOOKUP(Z$3,$D$7:$P$336,$R307,FALSE)</f>
        <v>77.42</v>
      </c>
      <c r="AA307" s="60">
        <f ca="1">100+HLOOKUP(AA$4,$D$7:$P$336,$R307,FALSE)-HLOOKUP(AA$3,$D$7:$P$336,$R307,FALSE)</f>
        <v>77.418999999999997</v>
      </c>
      <c r="AB307" s="60">
        <f ca="1">100+HLOOKUP(AB$4,$D$7:$P$336,$R307,FALSE)-HLOOKUP(AB$3,$D$7:$P$336,$R307,FALSE)</f>
        <v>77.418999999999997</v>
      </c>
      <c r="AC307" s="60">
        <f ca="1">100+HLOOKUP(AC$4,$D$7:$P$336,$R307,FALSE)-HLOOKUP(AC$3,$D$7:$P$336,$R307,FALSE)</f>
        <v>116.12899999999999</v>
      </c>
      <c r="AD307" s="60">
        <f ca="1">100+HLOOKUP(AD$4,$D$7:$P$336,$R307,FALSE)-HLOOKUP(AD$3,$D$7:$P$336,$R307,FALSE)</f>
        <v>116.129</v>
      </c>
      <c r="AE307" s="60">
        <f ca="1">100+HLOOKUP(AE$4,$D$7:$P$336,$R307,FALSE)-HLOOKUP(AE$3,$D$7:$P$336,$R307,FALSE)</f>
        <v>116.129</v>
      </c>
      <c r="AF307" s="60">
        <f ca="1">100+HLOOKUP(AF$4,$D$7:$P$336,$R307,FALSE)-HLOOKUP(AF$3,$D$7:$P$336,$R307,FALSE)</f>
        <v>116.129</v>
      </c>
      <c r="AG307" s="60">
        <f ca="1">100+HLOOKUP(AG$4,$D$7:$P$336,$R307,FALSE)-HLOOKUP(AG$3,$D$7:$P$336,$R307,FALSE)</f>
        <v>77.418999999999997</v>
      </c>
      <c r="AH307" s="60" t="e">
        <f>100+HLOOKUP(AH$4,$D$7:$P$336,$R307,FALSE)-HLOOKUP(AH$3,$D$7:$P$336,$R307,FALSE)</f>
        <v>#N/A</v>
      </c>
      <c r="AI307" s="60" t="e">
        <f>100+HLOOKUP(AI$4,$D$7:$P$336,$R307,FALSE)-HLOOKUP(AI$3,$D$7:$P$336,$R307,FALSE)</f>
        <v>#N/A</v>
      </c>
      <c r="AJ307" s="60" t="e">
        <f>100+HLOOKUP(AJ$4,$D$7:$P$336,$R307,FALSE)-HLOOKUP(AJ$3,$D$7:$P$336,$R307,FALSE)</f>
        <v>#N/A</v>
      </c>
      <c r="AK307" s="60" t="e">
        <f>100+HLOOKUP(AK$4,$D$7:$P$336,$R307,FALSE)-HLOOKUP(AK$3,$D$7:$P$336,$R307,FALSE)</f>
        <v>#N/A</v>
      </c>
      <c r="AL307" s="60" t="e">
        <f>100+HLOOKUP(AL$4,$D$7:$P$336,$R307,FALSE)-HLOOKUP(AL$3,$D$7:$P$336,$R307,FALSE)</f>
        <v>#N/A</v>
      </c>
      <c r="AM307" s="60" t="e">
        <f>100+HLOOKUP(AM$4,$D$7:$P$336,$R307,FALSE)-HLOOKUP(AM$3,$D$7:$P$336,$R307,FALSE)</f>
        <v>#N/A</v>
      </c>
      <c r="AN307" s="60" t="e">
        <f>100+HLOOKUP(AN$4,$D$7:$P$336,$R307,FALSE)-HLOOKUP(AN$3,$D$7:$P$336,$R307,FALSE)</f>
        <v>#N/A</v>
      </c>
      <c r="AO307" s="60" t="e">
        <f>100+HLOOKUP(AO$4,$D$7:$P$336,$R307,FALSE)-HLOOKUP(AO$3,$D$7:$P$336,$R307,FALSE)</f>
        <v>#N/A</v>
      </c>
      <c r="AP307" s="60" t="e">
        <f>100+HLOOKUP(AP$4,$D$7:$P$336,$R307,FALSE)-HLOOKUP(AP$3,$D$7:$P$336,$R307,FALSE)</f>
        <v>#N/A</v>
      </c>
      <c r="AQ307" s="60" t="e">
        <f>100+HLOOKUP(AQ$4,$D$7:$P$336,$R307,FALSE)-HLOOKUP(AQ$3,$D$7:$P$336,$R307,FALSE)</f>
        <v>#N/A</v>
      </c>
      <c r="AV307" s="60">
        <f ca="1">AV$5-S307</f>
        <v>25.770399426796445</v>
      </c>
      <c r="AW307" s="60">
        <f ca="1">AW$5-T307</f>
        <v>16.801650529757751</v>
      </c>
      <c r="AX307" s="60">
        <f ca="1">AX$5-U307</f>
        <v>24.35591540366805</v>
      </c>
      <c r="AY307" s="60">
        <f ca="1">AY$5-V307</f>
        <v>16.184014401527804</v>
      </c>
      <c r="AZ307" s="60">
        <f ca="1">AZ$5-W307</f>
        <v>20.035482172596033</v>
      </c>
      <c r="BA307" s="60">
        <f ca="1">BA$5-X307</f>
        <v>21.045059058982716</v>
      </c>
      <c r="BB307" s="60">
        <f ca="1">BB$5-Y307</f>
        <v>15.93159272738113</v>
      </c>
      <c r="BC307" s="60">
        <f ca="1">BC$5-Z307</f>
        <v>30.017465909882162</v>
      </c>
      <c r="BD307" s="60">
        <f ca="1">BD$5-AA307</f>
        <v>20.517518664382365</v>
      </c>
      <c r="BE307" s="60">
        <f ca="1">BE$5-AB307</f>
        <v>14.410390591992197</v>
      </c>
      <c r="BF307" s="60">
        <f ca="1">BF$5-AC307</f>
        <v>-15.11169568352291</v>
      </c>
      <c r="BG307" s="60">
        <f ca="1">BG$5-AD307</f>
        <v>-12.143741294981496</v>
      </c>
      <c r="BH307" s="60">
        <f ca="1">BH$5-AE307</f>
        <v>-17.174407769632438</v>
      </c>
      <c r="BI307" s="60">
        <f ca="1">BI$5-AF307</f>
        <v>-25.5204944887452</v>
      </c>
      <c r="BJ307" s="60">
        <f ca="1">BJ$5-AG307</f>
        <v>14.020551057678773</v>
      </c>
      <c r="BK307" s="60" t="e">
        <f>BK$5-AH307</f>
        <v>#N/A</v>
      </c>
      <c r="BL307" s="60" t="e">
        <f>BL$5-AI307</f>
        <v>#N/A</v>
      </c>
      <c r="BM307" s="60" t="e">
        <f>BM$5-AJ307</f>
        <v>#N/A</v>
      </c>
      <c r="BN307" s="60" t="e">
        <f>BN$5-AK307</f>
        <v>#N/A</v>
      </c>
      <c r="BO307" s="60" t="e">
        <f>BO$5-AL307</f>
        <v>#N/A</v>
      </c>
      <c r="BP307" s="60" t="e">
        <f>BP$5-AM307</f>
        <v>#N/A</v>
      </c>
      <c r="BQ307" s="60" t="e">
        <f>BQ$5-AN307</f>
        <v>#N/A</v>
      </c>
      <c r="BR307" s="60" t="e">
        <f>BR$5-AO307</f>
        <v>#N/A</v>
      </c>
      <c r="BS307" s="60" t="e">
        <f>BS$5-AP307</f>
        <v>#N/A</v>
      </c>
      <c r="BT307" s="60" t="e">
        <f>BT$5-AQ307</f>
        <v>#N/A</v>
      </c>
      <c r="BV307" s="60" cm="1">
        <f t="array" aca="1" ref="BV307" ca="1">SQRT(SUMSQ(_xlfn._xlws.FILTER(AV307:BT307,ISNUMBER(AV307:BT307)))/COUNT(_xlfn._xlws.FILTER(AV307:BT307,ISNUMBER(AV307:BT307))))</f>
        <v>19.913168756685213</v>
      </c>
    </row>
    <row r="308" spans="3:74" x14ac:dyDescent="0.2">
      <c r="C308" s="60" t="s">
        <v>174</v>
      </c>
      <c r="D308" s="60">
        <v>0</v>
      </c>
      <c r="E308" s="60">
        <v>-3</v>
      </c>
      <c r="F308" s="60">
        <v>-6</v>
      </c>
      <c r="G308" s="60">
        <v>-10</v>
      </c>
      <c r="H308" s="60">
        <v>-13</v>
      </c>
      <c r="I308" s="60">
        <v>-16</v>
      </c>
      <c r="J308" s="60">
        <v>-19</v>
      </c>
      <c r="K308" s="60">
        <v>-23</v>
      </c>
      <c r="L308" s="60">
        <v>-26</v>
      </c>
      <c r="M308" s="60">
        <v>10</v>
      </c>
      <c r="N308" s="60">
        <v>6</v>
      </c>
      <c r="O308" s="60">
        <v>3</v>
      </c>
      <c r="P308" s="60">
        <v>0</v>
      </c>
      <c r="R308" s="61">
        <f>(ROW(R308)-ROW($C$6))</f>
        <v>302</v>
      </c>
      <c r="S308" s="60">
        <f ca="1">100+HLOOKUP(S$4,$D$7:$P$336,$R308,FALSE)-HLOOKUP(S$3,$D$7:$P$336,$R308,FALSE)</f>
        <v>77</v>
      </c>
      <c r="T308" s="60">
        <f ca="1">100+HLOOKUP(T$4,$D$7:$P$336,$R308,FALSE)-HLOOKUP(T$3,$D$7:$P$336,$R308,FALSE)</f>
        <v>78</v>
      </c>
      <c r="U308" s="60">
        <f ca="1">100+HLOOKUP(U$4,$D$7:$P$336,$R308,FALSE)-HLOOKUP(U$3,$D$7:$P$336,$R308,FALSE)</f>
        <v>77</v>
      </c>
      <c r="V308" s="60">
        <f ca="1">100+HLOOKUP(V$4,$D$7:$P$336,$R308,FALSE)-HLOOKUP(V$3,$D$7:$P$336,$R308,FALSE)</f>
        <v>78</v>
      </c>
      <c r="W308" s="60">
        <f ca="1">100+HLOOKUP(W$4,$D$7:$P$336,$R308,FALSE)-HLOOKUP(W$3,$D$7:$P$336,$R308,FALSE)</f>
        <v>77</v>
      </c>
      <c r="X308" s="60">
        <f ca="1">100+HLOOKUP(X$4,$D$7:$P$336,$R308,FALSE)-HLOOKUP(X$3,$D$7:$P$336,$R308,FALSE)</f>
        <v>77</v>
      </c>
      <c r="Y308" s="60">
        <f ca="1">100+HLOOKUP(Y$4,$D$7:$P$336,$R308,FALSE)-HLOOKUP(Y$3,$D$7:$P$336,$R308,FALSE)</f>
        <v>78</v>
      </c>
      <c r="Z308" s="60">
        <f ca="1">100+HLOOKUP(Z$4,$D$7:$P$336,$R308,FALSE)-HLOOKUP(Z$3,$D$7:$P$336,$R308,FALSE)</f>
        <v>77</v>
      </c>
      <c r="AA308" s="60">
        <f ca="1">100+HLOOKUP(AA$4,$D$7:$P$336,$R308,FALSE)-HLOOKUP(AA$3,$D$7:$P$336,$R308,FALSE)</f>
        <v>78</v>
      </c>
      <c r="AB308" s="60">
        <f ca="1">100+HLOOKUP(AB$4,$D$7:$P$336,$R308,FALSE)-HLOOKUP(AB$3,$D$7:$P$336,$R308,FALSE)</f>
        <v>77</v>
      </c>
      <c r="AC308" s="60">
        <f ca="1">100+HLOOKUP(AC$4,$D$7:$P$336,$R308,FALSE)-HLOOKUP(AC$3,$D$7:$P$336,$R308,FALSE)</f>
        <v>116</v>
      </c>
      <c r="AD308" s="60">
        <f ca="1">100+HLOOKUP(AD$4,$D$7:$P$336,$R308,FALSE)-HLOOKUP(AD$3,$D$7:$P$336,$R308,FALSE)</f>
        <v>116</v>
      </c>
      <c r="AE308" s="60">
        <f ca="1">100+HLOOKUP(AE$4,$D$7:$P$336,$R308,FALSE)-HLOOKUP(AE$3,$D$7:$P$336,$R308,FALSE)</f>
        <v>116</v>
      </c>
      <c r="AF308" s="60">
        <f ca="1">100+HLOOKUP(AF$4,$D$7:$P$336,$R308,FALSE)-HLOOKUP(AF$3,$D$7:$P$336,$R308,FALSE)</f>
        <v>116</v>
      </c>
      <c r="AG308" s="60">
        <f ca="1">100+HLOOKUP(AG$4,$D$7:$P$336,$R308,FALSE)-HLOOKUP(AG$3,$D$7:$P$336,$R308,FALSE)</f>
        <v>78</v>
      </c>
      <c r="AH308" s="60" t="e">
        <f>100+HLOOKUP(AH$4,$D$7:$P$336,$R308,FALSE)-HLOOKUP(AH$3,$D$7:$P$336,$R308,FALSE)</f>
        <v>#N/A</v>
      </c>
      <c r="AI308" s="60" t="e">
        <f>100+HLOOKUP(AI$4,$D$7:$P$336,$R308,FALSE)-HLOOKUP(AI$3,$D$7:$P$336,$R308,FALSE)</f>
        <v>#N/A</v>
      </c>
      <c r="AJ308" s="60" t="e">
        <f>100+HLOOKUP(AJ$4,$D$7:$P$336,$R308,FALSE)-HLOOKUP(AJ$3,$D$7:$P$336,$R308,FALSE)</f>
        <v>#N/A</v>
      </c>
      <c r="AK308" s="60" t="e">
        <f>100+HLOOKUP(AK$4,$D$7:$P$336,$R308,FALSE)-HLOOKUP(AK$3,$D$7:$P$336,$R308,FALSE)</f>
        <v>#N/A</v>
      </c>
      <c r="AL308" s="60" t="e">
        <f>100+HLOOKUP(AL$4,$D$7:$P$336,$R308,FALSE)-HLOOKUP(AL$3,$D$7:$P$336,$R308,FALSE)</f>
        <v>#N/A</v>
      </c>
      <c r="AM308" s="60" t="e">
        <f>100+HLOOKUP(AM$4,$D$7:$P$336,$R308,FALSE)-HLOOKUP(AM$3,$D$7:$P$336,$R308,FALSE)</f>
        <v>#N/A</v>
      </c>
      <c r="AN308" s="60" t="e">
        <f>100+HLOOKUP(AN$4,$D$7:$P$336,$R308,FALSE)-HLOOKUP(AN$3,$D$7:$P$336,$R308,FALSE)</f>
        <v>#N/A</v>
      </c>
      <c r="AO308" s="60" t="e">
        <f>100+HLOOKUP(AO$4,$D$7:$P$336,$R308,FALSE)-HLOOKUP(AO$3,$D$7:$P$336,$R308,FALSE)</f>
        <v>#N/A</v>
      </c>
      <c r="AP308" s="60" t="e">
        <f>100+HLOOKUP(AP$4,$D$7:$P$336,$R308,FALSE)-HLOOKUP(AP$3,$D$7:$P$336,$R308,FALSE)</f>
        <v>#N/A</v>
      </c>
      <c r="AQ308" s="60" t="e">
        <f>100+HLOOKUP(AQ$4,$D$7:$P$336,$R308,FALSE)-HLOOKUP(AQ$3,$D$7:$P$336,$R308,FALSE)</f>
        <v>#N/A</v>
      </c>
      <c r="AV308" s="60">
        <f ca="1">AV$5-S308</f>
        <v>26.190399426796432</v>
      </c>
      <c r="AW308" s="60">
        <f ca="1">AW$5-T308</f>
        <v>16.220650529757748</v>
      </c>
      <c r="AX308" s="60">
        <f ca="1">AX$5-U308</f>
        <v>24.775915403668051</v>
      </c>
      <c r="AY308" s="60">
        <f ca="1">AY$5-V308</f>
        <v>15.603014401527801</v>
      </c>
      <c r="AZ308" s="60">
        <f ca="1">AZ$5-W308</f>
        <v>20.45448217259603</v>
      </c>
      <c r="BA308" s="60">
        <f ca="1">BA$5-X308</f>
        <v>21.465059058982703</v>
      </c>
      <c r="BB308" s="60">
        <f ca="1">BB$5-Y308</f>
        <v>15.350592727381127</v>
      </c>
      <c r="BC308" s="60">
        <f ca="1">BC$5-Z308</f>
        <v>30.437465909882164</v>
      </c>
      <c r="BD308" s="60">
        <f ca="1">BD$5-AA308</f>
        <v>19.936518664382362</v>
      </c>
      <c r="BE308" s="60">
        <f ca="1">BE$5-AB308</f>
        <v>14.829390591992194</v>
      </c>
      <c r="BF308" s="60">
        <f ca="1">BF$5-AC308</f>
        <v>-14.98269568352292</v>
      </c>
      <c r="BG308" s="60">
        <f ca="1">BG$5-AD308</f>
        <v>-12.014741294981491</v>
      </c>
      <c r="BH308" s="60">
        <f ca="1">BH$5-AE308</f>
        <v>-17.045407769632433</v>
      </c>
      <c r="BI308" s="60">
        <f ca="1">BI$5-AF308</f>
        <v>-25.391494488745195</v>
      </c>
      <c r="BJ308" s="60">
        <f ca="1">BJ$5-AG308</f>
        <v>13.43955105767877</v>
      </c>
      <c r="BK308" s="60" t="e">
        <f>BK$5-AH308</f>
        <v>#N/A</v>
      </c>
      <c r="BL308" s="60" t="e">
        <f>BL$5-AI308</f>
        <v>#N/A</v>
      </c>
      <c r="BM308" s="60" t="e">
        <f>BM$5-AJ308</f>
        <v>#N/A</v>
      </c>
      <c r="BN308" s="60" t="e">
        <f>BN$5-AK308</f>
        <v>#N/A</v>
      </c>
      <c r="BO308" s="60" t="e">
        <f>BO$5-AL308</f>
        <v>#N/A</v>
      </c>
      <c r="BP308" s="60" t="e">
        <f>BP$5-AM308</f>
        <v>#N/A</v>
      </c>
      <c r="BQ308" s="60" t="e">
        <f>BQ$5-AN308</f>
        <v>#N/A</v>
      </c>
      <c r="BR308" s="60" t="e">
        <f>BR$5-AO308</f>
        <v>#N/A</v>
      </c>
      <c r="BS308" s="60" t="e">
        <f>BS$5-AP308</f>
        <v>#N/A</v>
      </c>
      <c r="BT308" s="60" t="e">
        <f>BT$5-AQ308</f>
        <v>#N/A</v>
      </c>
      <c r="BV308" s="60" cm="1">
        <f t="array" aca="1" ref="BV308" ca="1">SQRT(SUMSQ(_xlfn._xlws.FILTER(AV308:BT308,ISNUMBER(AV308:BT308)))/COUNT(_xlfn._xlws.FILTER(AV308:BT308,ISNUMBER(AV308:BT308))))</f>
        <v>19.915935711304151</v>
      </c>
    </row>
    <row r="309" spans="3:74" x14ac:dyDescent="0.2">
      <c r="C309" s="60" t="s">
        <v>222</v>
      </c>
      <c r="D309" s="60">
        <v>0</v>
      </c>
      <c r="E309" s="60">
        <v>2</v>
      </c>
      <c r="F309" s="60">
        <v>4</v>
      </c>
      <c r="G309" s="60">
        <v>-16</v>
      </c>
      <c r="H309" s="60">
        <v>-14</v>
      </c>
      <c r="I309" s="60">
        <v>-12</v>
      </c>
      <c r="J309" s="60">
        <v>-10</v>
      </c>
      <c r="K309" s="60">
        <v>-30</v>
      </c>
      <c r="L309" s="60">
        <v>-28</v>
      </c>
      <c r="M309" s="60">
        <v>-26</v>
      </c>
      <c r="N309" s="60">
        <v>-24</v>
      </c>
      <c r="O309" s="60">
        <v>-2</v>
      </c>
      <c r="P309" s="60">
        <v>0</v>
      </c>
      <c r="R309" s="61">
        <f>(ROW(R309)-ROW($C$6))</f>
        <v>303</v>
      </c>
      <c r="S309" s="60">
        <f ca="1">100+HLOOKUP(S$4,$D$7:$P$336,$R309,FALSE)-HLOOKUP(S$3,$D$7:$P$336,$R309,FALSE)</f>
        <v>112</v>
      </c>
      <c r="T309" s="60">
        <f ca="1">100+HLOOKUP(T$4,$D$7:$P$336,$R309,FALSE)-HLOOKUP(T$3,$D$7:$P$336,$R309,FALSE)</f>
        <v>92</v>
      </c>
      <c r="U309" s="60">
        <f ca="1">100+HLOOKUP(U$4,$D$7:$P$336,$R309,FALSE)-HLOOKUP(U$3,$D$7:$P$336,$R309,FALSE)</f>
        <v>70</v>
      </c>
      <c r="V309" s="60">
        <f ca="1">100+HLOOKUP(V$4,$D$7:$P$336,$R309,FALSE)-HLOOKUP(V$3,$D$7:$P$336,$R309,FALSE)</f>
        <v>112</v>
      </c>
      <c r="W309" s="60">
        <f ca="1">100+HLOOKUP(W$4,$D$7:$P$336,$R309,FALSE)-HLOOKUP(W$3,$D$7:$P$336,$R309,FALSE)</f>
        <v>70</v>
      </c>
      <c r="X309" s="60">
        <f ca="1">100+HLOOKUP(X$4,$D$7:$P$336,$R309,FALSE)-HLOOKUP(X$3,$D$7:$P$336,$R309,FALSE)</f>
        <v>112</v>
      </c>
      <c r="Y309" s="60">
        <f ca="1">100+HLOOKUP(Y$4,$D$7:$P$336,$R309,FALSE)-HLOOKUP(Y$3,$D$7:$P$336,$R309,FALSE)</f>
        <v>92</v>
      </c>
      <c r="Z309" s="60">
        <f ca="1">100+HLOOKUP(Z$4,$D$7:$P$336,$R309,FALSE)-HLOOKUP(Z$3,$D$7:$P$336,$R309,FALSE)</f>
        <v>70</v>
      </c>
      <c r="AA309" s="60">
        <f ca="1">100+HLOOKUP(AA$4,$D$7:$P$336,$R309,FALSE)-HLOOKUP(AA$3,$D$7:$P$336,$R309,FALSE)</f>
        <v>112</v>
      </c>
      <c r="AB309" s="60">
        <f ca="1">100+HLOOKUP(AB$4,$D$7:$P$336,$R309,FALSE)-HLOOKUP(AB$3,$D$7:$P$336,$R309,FALSE)</f>
        <v>70</v>
      </c>
      <c r="AC309" s="60">
        <f ca="1">100+HLOOKUP(AC$4,$D$7:$P$336,$R309,FALSE)-HLOOKUP(AC$3,$D$7:$P$336,$R309,FALSE)</f>
        <v>70</v>
      </c>
      <c r="AD309" s="60">
        <f ca="1">100+HLOOKUP(AD$4,$D$7:$P$336,$R309,FALSE)-HLOOKUP(AD$3,$D$7:$P$336,$R309,FALSE)</f>
        <v>112</v>
      </c>
      <c r="AE309" s="60">
        <f ca="1">100+HLOOKUP(AE$4,$D$7:$P$336,$R309,FALSE)-HLOOKUP(AE$3,$D$7:$P$336,$R309,FALSE)</f>
        <v>112</v>
      </c>
      <c r="AF309" s="60">
        <f ca="1">100+HLOOKUP(AF$4,$D$7:$P$336,$R309,FALSE)-HLOOKUP(AF$3,$D$7:$P$336,$R309,FALSE)</f>
        <v>112</v>
      </c>
      <c r="AG309" s="60">
        <f ca="1">100+HLOOKUP(AG$4,$D$7:$P$336,$R309,FALSE)-HLOOKUP(AG$3,$D$7:$P$336,$R309,FALSE)</f>
        <v>112</v>
      </c>
      <c r="AH309" s="60" t="e">
        <f>100+HLOOKUP(AH$4,$D$7:$P$336,$R309,FALSE)-HLOOKUP(AH$3,$D$7:$P$336,$R309,FALSE)</f>
        <v>#N/A</v>
      </c>
      <c r="AI309" s="60" t="e">
        <f>100+HLOOKUP(AI$4,$D$7:$P$336,$R309,FALSE)-HLOOKUP(AI$3,$D$7:$P$336,$R309,FALSE)</f>
        <v>#N/A</v>
      </c>
      <c r="AJ309" s="60" t="e">
        <f>100+HLOOKUP(AJ$4,$D$7:$P$336,$R309,FALSE)-HLOOKUP(AJ$3,$D$7:$P$336,$R309,FALSE)</f>
        <v>#N/A</v>
      </c>
      <c r="AK309" s="60" t="e">
        <f>100+HLOOKUP(AK$4,$D$7:$P$336,$R309,FALSE)-HLOOKUP(AK$3,$D$7:$P$336,$R309,FALSE)</f>
        <v>#N/A</v>
      </c>
      <c r="AL309" s="60" t="e">
        <f>100+HLOOKUP(AL$4,$D$7:$P$336,$R309,FALSE)-HLOOKUP(AL$3,$D$7:$P$336,$R309,FALSE)</f>
        <v>#N/A</v>
      </c>
      <c r="AM309" s="60" t="e">
        <f>100+HLOOKUP(AM$4,$D$7:$P$336,$R309,FALSE)-HLOOKUP(AM$3,$D$7:$P$336,$R309,FALSE)</f>
        <v>#N/A</v>
      </c>
      <c r="AN309" s="60" t="e">
        <f>100+HLOOKUP(AN$4,$D$7:$P$336,$R309,FALSE)-HLOOKUP(AN$3,$D$7:$P$336,$R309,FALSE)</f>
        <v>#N/A</v>
      </c>
      <c r="AO309" s="60" t="e">
        <f>100+HLOOKUP(AO$4,$D$7:$P$336,$R309,FALSE)-HLOOKUP(AO$3,$D$7:$P$336,$R309,FALSE)</f>
        <v>#N/A</v>
      </c>
      <c r="AP309" s="60" t="e">
        <f>100+HLOOKUP(AP$4,$D$7:$P$336,$R309,FALSE)-HLOOKUP(AP$3,$D$7:$P$336,$R309,FALSE)</f>
        <v>#N/A</v>
      </c>
      <c r="AQ309" s="60" t="e">
        <f>100+HLOOKUP(AQ$4,$D$7:$P$336,$R309,FALSE)-HLOOKUP(AQ$3,$D$7:$P$336,$R309,FALSE)</f>
        <v>#N/A</v>
      </c>
      <c r="AV309" s="60">
        <f ca="1">AV$5-S309</f>
        <v>-8.8096005732035678</v>
      </c>
      <c r="AW309" s="60">
        <f ca="1">AW$5-T309</f>
        <v>2.2206505297577479</v>
      </c>
      <c r="AX309" s="60">
        <f ca="1">AX$5-U309</f>
        <v>31.775915403668051</v>
      </c>
      <c r="AY309" s="60">
        <f ca="1">AY$5-V309</f>
        <v>-18.396985598472199</v>
      </c>
      <c r="AZ309" s="60">
        <f ca="1">AZ$5-W309</f>
        <v>27.45448217259603</v>
      </c>
      <c r="BA309" s="60">
        <f ca="1">BA$5-X309</f>
        <v>-13.534940941017297</v>
      </c>
      <c r="BB309" s="60">
        <f ca="1">BB$5-Y309</f>
        <v>1.3505927273811267</v>
      </c>
      <c r="BC309" s="60">
        <f ca="1">BC$5-Z309</f>
        <v>37.437465909882164</v>
      </c>
      <c r="BD309" s="60">
        <f ca="1">BD$5-AA309</f>
        <v>-14.063481335617638</v>
      </c>
      <c r="BE309" s="60">
        <f ca="1">BE$5-AB309</f>
        <v>21.829390591992194</v>
      </c>
      <c r="BF309" s="60">
        <f ca="1">BF$5-AC309</f>
        <v>31.01730431647708</v>
      </c>
      <c r="BG309" s="60">
        <f ca="1">BG$5-AD309</f>
        <v>-8.0147412949814907</v>
      </c>
      <c r="BH309" s="60">
        <f ca="1">BH$5-AE309</f>
        <v>-13.045407769632433</v>
      </c>
      <c r="BI309" s="60">
        <f ca="1">BI$5-AF309</f>
        <v>-21.391494488745195</v>
      </c>
      <c r="BJ309" s="60">
        <f ca="1">BJ$5-AG309</f>
        <v>-20.56044894232123</v>
      </c>
      <c r="BK309" s="60" t="e">
        <f>BK$5-AH309</f>
        <v>#N/A</v>
      </c>
      <c r="BL309" s="60" t="e">
        <f>BL$5-AI309</f>
        <v>#N/A</v>
      </c>
      <c r="BM309" s="60" t="e">
        <f>BM$5-AJ309</f>
        <v>#N/A</v>
      </c>
      <c r="BN309" s="60" t="e">
        <f>BN$5-AK309</f>
        <v>#N/A</v>
      </c>
      <c r="BO309" s="60" t="e">
        <f>BO$5-AL309</f>
        <v>#N/A</v>
      </c>
      <c r="BP309" s="60" t="e">
        <f>BP$5-AM309</f>
        <v>#N/A</v>
      </c>
      <c r="BQ309" s="60" t="e">
        <f>BQ$5-AN309</f>
        <v>#N/A</v>
      </c>
      <c r="BR309" s="60" t="e">
        <f>BR$5-AO309</f>
        <v>#N/A</v>
      </c>
      <c r="BS309" s="60" t="e">
        <f>BS$5-AP309</f>
        <v>#N/A</v>
      </c>
      <c r="BT309" s="60" t="e">
        <f>BT$5-AQ309</f>
        <v>#N/A</v>
      </c>
      <c r="BV309" s="60" cm="1">
        <f t="array" aca="1" ref="BV309" ca="1">SQRT(SUMSQ(_xlfn._xlws.FILTER(AV309:BT309,ISNUMBER(AV309:BT309)))/COUNT(_xlfn._xlws.FILTER(AV309:BT309,ISNUMBER(AV309:BT309))))</f>
        <v>20.852103345588393</v>
      </c>
    </row>
    <row r="310" spans="3:74" x14ac:dyDescent="0.2">
      <c r="C310" s="60" t="s">
        <v>492</v>
      </c>
      <c r="D310" s="60">
        <v>0</v>
      </c>
      <c r="E310" s="60">
        <v>-3.4220000000000002</v>
      </c>
      <c r="F310" s="60">
        <v>-6.843</v>
      </c>
      <c r="G310" s="60">
        <v>-10.265000000000001</v>
      </c>
      <c r="H310" s="60">
        <v>-13.686</v>
      </c>
      <c r="I310" s="60">
        <v>-17.108000000000001</v>
      </c>
      <c r="J310" s="60">
        <v>-20.529</v>
      </c>
      <c r="K310" s="60">
        <v>-23.951000000000001</v>
      </c>
      <c r="L310" s="60">
        <v>-27.372</v>
      </c>
      <c r="M310" s="60">
        <v>10.265000000000001</v>
      </c>
      <c r="N310" s="60">
        <v>6.843</v>
      </c>
      <c r="O310" s="60">
        <v>3.4220000000000002</v>
      </c>
      <c r="P310" s="60">
        <v>0</v>
      </c>
      <c r="R310" s="61">
        <f>(ROW(R310)-ROW($C$6))</f>
        <v>304</v>
      </c>
      <c r="S310" s="60">
        <f ca="1">100+HLOOKUP(S$4,$D$7:$P$336,$R310,FALSE)-HLOOKUP(S$3,$D$7:$P$336,$R310,FALSE)</f>
        <v>76.048999999999992</v>
      </c>
      <c r="T310" s="60">
        <f ca="1">100+HLOOKUP(T$4,$D$7:$P$336,$R310,FALSE)-HLOOKUP(T$3,$D$7:$P$336,$R310,FALSE)</f>
        <v>76.049000000000007</v>
      </c>
      <c r="U310" s="60">
        <f ca="1">100+HLOOKUP(U$4,$D$7:$P$336,$R310,FALSE)-HLOOKUP(U$3,$D$7:$P$336,$R310,FALSE)</f>
        <v>76.05</v>
      </c>
      <c r="V310" s="60">
        <f ca="1">100+HLOOKUP(V$4,$D$7:$P$336,$R310,FALSE)-HLOOKUP(V$3,$D$7:$P$336,$R310,FALSE)</f>
        <v>76.048999999999992</v>
      </c>
      <c r="W310" s="60">
        <f ca="1">100+HLOOKUP(W$4,$D$7:$P$336,$R310,FALSE)-HLOOKUP(W$3,$D$7:$P$336,$R310,FALSE)</f>
        <v>76.049000000000007</v>
      </c>
      <c r="X310" s="60">
        <f ca="1">100+HLOOKUP(X$4,$D$7:$P$336,$R310,FALSE)-HLOOKUP(X$3,$D$7:$P$336,$R310,FALSE)</f>
        <v>76.048999999999992</v>
      </c>
      <c r="Y310" s="60">
        <f ca="1">100+HLOOKUP(Y$4,$D$7:$P$336,$R310,FALSE)-HLOOKUP(Y$3,$D$7:$P$336,$R310,FALSE)</f>
        <v>76.049000000000007</v>
      </c>
      <c r="Z310" s="60">
        <f ca="1">100+HLOOKUP(Z$4,$D$7:$P$336,$R310,FALSE)-HLOOKUP(Z$3,$D$7:$P$336,$R310,FALSE)</f>
        <v>76.05</v>
      </c>
      <c r="AA310" s="60">
        <f ca="1">100+HLOOKUP(AA$4,$D$7:$P$336,$R310,FALSE)-HLOOKUP(AA$3,$D$7:$P$336,$R310,FALSE)</f>
        <v>76.048999999999992</v>
      </c>
      <c r="AB310" s="60">
        <f ca="1">100+HLOOKUP(AB$4,$D$7:$P$336,$R310,FALSE)-HLOOKUP(AB$3,$D$7:$P$336,$R310,FALSE)</f>
        <v>76.049000000000007</v>
      </c>
      <c r="AC310" s="60">
        <f ca="1">100+HLOOKUP(AC$4,$D$7:$P$336,$R310,FALSE)-HLOOKUP(AC$3,$D$7:$P$336,$R310,FALSE)</f>
        <v>117.108</v>
      </c>
      <c r="AD310" s="60">
        <f ca="1">100+HLOOKUP(AD$4,$D$7:$P$336,$R310,FALSE)-HLOOKUP(AD$3,$D$7:$P$336,$R310,FALSE)</f>
        <v>117.108</v>
      </c>
      <c r="AE310" s="60">
        <f ca="1">100+HLOOKUP(AE$4,$D$7:$P$336,$R310,FALSE)-HLOOKUP(AE$3,$D$7:$P$336,$R310,FALSE)</f>
        <v>117.107</v>
      </c>
      <c r="AF310" s="60">
        <f ca="1">100+HLOOKUP(AF$4,$D$7:$P$336,$R310,FALSE)-HLOOKUP(AF$3,$D$7:$P$336,$R310,FALSE)</f>
        <v>117.107</v>
      </c>
      <c r="AG310" s="60">
        <f ca="1">100+HLOOKUP(AG$4,$D$7:$P$336,$R310,FALSE)-HLOOKUP(AG$3,$D$7:$P$336,$R310,FALSE)</f>
        <v>76.048999999999992</v>
      </c>
      <c r="AH310" s="60" t="e">
        <f>100+HLOOKUP(AH$4,$D$7:$P$336,$R310,FALSE)-HLOOKUP(AH$3,$D$7:$P$336,$R310,FALSE)</f>
        <v>#N/A</v>
      </c>
      <c r="AI310" s="60" t="e">
        <f>100+HLOOKUP(AI$4,$D$7:$P$336,$R310,FALSE)-HLOOKUP(AI$3,$D$7:$P$336,$R310,FALSE)</f>
        <v>#N/A</v>
      </c>
      <c r="AJ310" s="60" t="e">
        <f>100+HLOOKUP(AJ$4,$D$7:$P$336,$R310,FALSE)-HLOOKUP(AJ$3,$D$7:$P$336,$R310,FALSE)</f>
        <v>#N/A</v>
      </c>
      <c r="AK310" s="60" t="e">
        <f>100+HLOOKUP(AK$4,$D$7:$P$336,$R310,FALSE)-HLOOKUP(AK$3,$D$7:$P$336,$R310,FALSE)</f>
        <v>#N/A</v>
      </c>
      <c r="AL310" s="60" t="e">
        <f>100+HLOOKUP(AL$4,$D$7:$P$336,$R310,FALSE)-HLOOKUP(AL$3,$D$7:$P$336,$R310,FALSE)</f>
        <v>#N/A</v>
      </c>
      <c r="AM310" s="60" t="e">
        <f>100+HLOOKUP(AM$4,$D$7:$P$336,$R310,FALSE)-HLOOKUP(AM$3,$D$7:$P$336,$R310,FALSE)</f>
        <v>#N/A</v>
      </c>
      <c r="AN310" s="60" t="e">
        <f>100+HLOOKUP(AN$4,$D$7:$P$336,$R310,FALSE)-HLOOKUP(AN$3,$D$7:$P$336,$R310,FALSE)</f>
        <v>#N/A</v>
      </c>
      <c r="AO310" s="60" t="e">
        <f>100+HLOOKUP(AO$4,$D$7:$P$336,$R310,FALSE)-HLOOKUP(AO$3,$D$7:$P$336,$R310,FALSE)</f>
        <v>#N/A</v>
      </c>
      <c r="AP310" s="60" t="e">
        <f>100+HLOOKUP(AP$4,$D$7:$P$336,$R310,FALSE)-HLOOKUP(AP$3,$D$7:$P$336,$R310,FALSE)</f>
        <v>#N/A</v>
      </c>
      <c r="AQ310" s="60" t="e">
        <f>100+HLOOKUP(AQ$4,$D$7:$P$336,$R310,FALSE)-HLOOKUP(AQ$3,$D$7:$P$336,$R310,FALSE)</f>
        <v>#N/A</v>
      </c>
      <c r="AV310" s="60">
        <f ca="1">AV$5-S310</f>
        <v>27.14139942679644</v>
      </c>
      <c r="AW310" s="60">
        <f ca="1">AW$5-T310</f>
        <v>18.171650529757741</v>
      </c>
      <c r="AX310" s="60">
        <f ca="1">AX$5-U310</f>
        <v>25.725915403668054</v>
      </c>
      <c r="AY310" s="60">
        <f ca="1">AY$5-V310</f>
        <v>17.554014401527809</v>
      </c>
      <c r="AZ310" s="60">
        <f ca="1">AZ$5-W310</f>
        <v>21.405482172596024</v>
      </c>
      <c r="BA310" s="60">
        <f ca="1">BA$5-X310</f>
        <v>22.416059058982711</v>
      </c>
      <c r="BB310" s="60">
        <f ca="1">BB$5-Y310</f>
        <v>17.30159272738112</v>
      </c>
      <c r="BC310" s="60">
        <f ca="1">BC$5-Z310</f>
        <v>31.387465909882167</v>
      </c>
      <c r="BD310" s="60">
        <f ca="1">BD$5-AA310</f>
        <v>21.88751866438237</v>
      </c>
      <c r="BE310" s="60">
        <f ca="1">BE$5-AB310</f>
        <v>15.780390591992187</v>
      </c>
      <c r="BF310" s="60">
        <f ca="1">BF$5-AC310</f>
        <v>-16.090695683522924</v>
      </c>
      <c r="BG310" s="60">
        <f ca="1">BG$5-AD310</f>
        <v>-13.122741294981495</v>
      </c>
      <c r="BH310" s="60">
        <f ca="1">BH$5-AE310</f>
        <v>-18.152407769632433</v>
      </c>
      <c r="BI310" s="60">
        <f ca="1">BI$5-AF310</f>
        <v>-26.498494488745195</v>
      </c>
      <c r="BJ310" s="60">
        <f ca="1">BJ$5-AG310</f>
        <v>15.390551057678778</v>
      </c>
      <c r="BK310" s="60" t="e">
        <f>BK$5-AH310</f>
        <v>#N/A</v>
      </c>
      <c r="BL310" s="60" t="e">
        <f>BL$5-AI310</f>
        <v>#N/A</v>
      </c>
      <c r="BM310" s="60" t="e">
        <f>BM$5-AJ310</f>
        <v>#N/A</v>
      </c>
      <c r="BN310" s="60" t="e">
        <f>BN$5-AK310</f>
        <v>#N/A</v>
      </c>
      <c r="BO310" s="60" t="e">
        <f>BO$5-AL310</f>
        <v>#N/A</v>
      </c>
      <c r="BP310" s="60" t="e">
        <f>BP$5-AM310</f>
        <v>#N/A</v>
      </c>
      <c r="BQ310" s="60" t="e">
        <f>BQ$5-AN310</f>
        <v>#N/A</v>
      </c>
      <c r="BR310" s="60" t="e">
        <f>BR$5-AO310</f>
        <v>#N/A</v>
      </c>
      <c r="BS310" s="60" t="e">
        <f>BS$5-AP310</f>
        <v>#N/A</v>
      </c>
      <c r="BT310" s="60" t="e">
        <f>BT$5-AQ310</f>
        <v>#N/A</v>
      </c>
      <c r="BV310" s="60" cm="1">
        <f t="array" aca="1" ref="BV310" ca="1">SQRT(SUMSQ(_xlfn._xlws.FILTER(AV310:BT310,ISNUMBER(AV310:BT310)))/COUNT(_xlfn._xlws.FILTER(AV310:BT310,ISNUMBER(AV310:BT310))))</f>
        <v>21.149898811058108</v>
      </c>
    </row>
    <row r="311" spans="3:74" x14ac:dyDescent="0.2">
      <c r="C311" s="60" t="s">
        <v>208</v>
      </c>
      <c r="D311" s="60">
        <v>0</v>
      </c>
      <c r="E311" s="60">
        <v>-4</v>
      </c>
      <c r="F311" s="60">
        <v>-6</v>
      </c>
      <c r="G311" s="60">
        <v>-10</v>
      </c>
      <c r="H311" s="60">
        <v>-16</v>
      </c>
      <c r="I311" s="60">
        <v>-16</v>
      </c>
      <c r="J311" s="60">
        <v>-20</v>
      </c>
      <c r="K311" s="60">
        <v>-24</v>
      </c>
      <c r="L311" s="60">
        <v>-28</v>
      </c>
      <c r="M311" s="60">
        <v>10</v>
      </c>
      <c r="N311" s="60">
        <v>7</v>
      </c>
      <c r="O311" s="60">
        <v>4</v>
      </c>
      <c r="P311" s="60">
        <v>0</v>
      </c>
      <c r="R311" s="61">
        <f>(ROW(R311)-ROW($C$6))</f>
        <v>305</v>
      </c>
      <c r="S311" s="60">
        <f ca="1">100+HLOOKUP(S$4,$D$7:$P$336,$R311,FALSE)-HLOOKUP(S$3,$D$7:$P$336,$R311,FALSE)</f>
        <v>74</v>
      </c>
      <c r="T311" s="60">
        <f ca="1">100+HLOOKUP(T$4,$D$7:$P$336,$R311,FALSE)-HLOOKUP(T$3,$D$7:$P$336,$R311,FALSE)</f>
        <v>76</v>
      </c>
      <c r="U311" s="60">
        <f ca="1">100+HLOOKUP(U$4,$D$7:$P$336,$R311,FALSE)-HLOOKUP(U$3,$D$7:$P$336,$R311,FALSE)</f>
        <v>76</v>
      </c>
      <c r="V311" s="60">
        <f ca="1">100+HLOOKUP(V$4,$D$7:$P$336,$R311,FALSE)-HLOOKUP(V$3,$D$7:$P$336,$R311,FALSE)</f>
        <v>77</v>
      </c>
      <c r="W311" s="60">
        <f ca="1">100+HLOOKUP(W$4,$D$7:$P$336,$R311,FALSE)-HLOOKUP(W$3,$D$7:$P$336,$R311,FALSE)</f>
        <v>76</v>
      </c>
      <c r="X311" s="60">
        <f ca="1">100+HLOOKUP(X$4,$D$7:$P$336,$R311,FALSE)-HLOOKUP(X$3,$D$7:$P$336,$R311,FALSE)</f>
        <v>74</v>
      </c>
      <c r="Y311" s="60">
        <f ca="1">100+HLOOKUP(Y$4,$D$7:$P$336,$R311,FALSE)-HLOOKUP(Y$3,$D$7:$P$336,$R311,FALSE)</f>
        <v>76</v>
      </c>
      <c r="Z311" s="60">
        <f ca="1">100+HLOOKUP(Z$4,$D$7:$P$336,$R311,FALSE)-HLOOKUP(Z$3,$D$7:$P$336,$R311,FALSE)</f>
        <v>76</v>
      </c>
      <c r="AA311" s="60">
        <f ca="1">100+HLOOKUP(AA$4,$D$7:$P$336,$R311,FALSE)-HLOOKUP(AA$3,$D$7:$P$336,$R311,FALSE)</f>
        <v>77</v>
      </c>
      <c r="AB311" s="60">
        <f ca="1">100+HLOOKUP(AB$4,$D$7:$P$336,$R311,FALSE)-HLOOKUP(AB$3,$D$7:$P$336,$R311,FALSE)</f>
        <v>76</v>
      </c>
      <c r="AC311" s="60">
        <f ca="1">100+HLOOKUP(AC$4,$D$7:$P$336,$R311,FALSE)-HLOOKUP(AC$3,$D$7:$P$336,$R311,FALSE)</f>
        <v>116</v>
      </c>
      <c r="AD311" s="60">
        <f ca="1">100+HLOOKUP(AD$4,$D$7:$P$336,$R311,FALSE)-HLOOKUP(AD$3,$D$7:$P$336,$R311,FALSE)</f>
        <v>120</v>
      </c>
      <c r="AE311" s="60">
        <f ca="1">100+HLOOKUP(AE$4,$D$7:$P$336,$R311,FALSE)-HLOOKUP(AE$3,$D$7:$P$336,$R311,FALSE)</f>
        <v>116</v>
      </c>
      <c r="AF311" s="60">
        <f ca="1">100+HLOOKUP(AF$4,$D$7:$P$336,$R311,FALSE)-HLOOKUP(AF$3,$D$7:$P$336,$R311,FALSE)</f>
        <v>118</v>
      </c>
      <c r="AG311" s="60">
        <f ca="1">100+HLOOKUP(AG$4,$D$7:$P$336,$R311,FALSE)-HLOOKUP(AG$3,$D$7:$P$336,$R311,FALSE)</f>
        <v>77</v>
      </c>
      <c r="AH311" s="60" t="e">
        <f>100+HLOOKUP(AH$4,$D$7:$P$336,$R311,FALSE)-HLOOKUP(AH$3,$D$7:$P$336,$R311,FALSE)</f>
        <v>#N/A</v>
      </c>
      <c r="AI311" s="60" t="e">
        <f>100+HLOOKUP(AI$4,$D$7:$P$336,$R311,FALSE)-HLOOKUP(AI$3,$D$7:$P$336,$R311,FALSE)</f>
        <v>#N/A</v>
      </c>
      <c r="AJ311" s="60" t="e">
        <f>100+HLOOKUP(AJ$4,$D$7:$P$336,$R311,FALSE)-HLOOKUP(AJ$3,$D$7:$P$336,$R311,FALSE)</f>
        <v>#N/A</v>
      </c>
      <c r="AK311" s="60" t="e">
        <f>100+HLOOKUP(AK$4,$D$7:$P$336,$R311,FALSE)-HLOOKUP(AK$3,$D$7:$P$336,$R311,FALSE)</f>
        <v>#N/A</v>
      </c>
      <c r="AL311" s="60" t="e">
        <f>100+HLOOKUP(AL$4,$D$7:$P$336,$R311,FALSE)-HLOOKUP(AL$3,$D$7:$P$336,$R311,FALSE)</f>
        <v>#N/A</v>
      </c>
      <c r="AM311" s="60" t="e">
        <f>100+HLOOKUP(AM$4,$D$7:$P$336,$R311,FALSE)-HLOOKUP(AM$3,$D$7:$P$336,$R311,FALSE)</f>
        <v>#N/A</v>
      </c>
      <c r="AN311" s="60" t="e">
        <f>100+HLOOKUP(AN$4,$D$7:$P$336,$R311,FALSE)-HLOOKUP(AN$3,$D$7:$P$336,$R311,FALSE)</f>
        <v>#N/A</v>
      </c>
      <c r="AO311" s="60" t="e">
        <f>100+HLOOKUP(AO$4,$D$7:$P$336,$R311,FALSE)-HLOOKUP(AO$3,$D$7:$P$336,$R311,FALSE)</f>
        <v>#N/A</v>
      </c>
      <c r="AP311" s="60" t="e">
        <f>100+HLOOKUP(AP$4,$D$7:$P$336,$R311,FALSE)-HLOOKUP(AP$3,$D$7:$P$336,$R311,FALSE)</f>
        <v>#N/A</v>
      </c>
      <c r="AQ311" s="60" t="e">
        <f>100+HLOOKUP(AQ$4,$D$7:$P$336,$R311,FALSE)-HLOOKUP(AQ$3,$D$7:$P$336,$R311,FALSE)</f>
        <v>#N/A</v>
      </c>
      <c r="AV311" s="60">
        <f ca="1">AV$5-S311</f>
        <v>29.190399426796432</v>
      </c>
      <c r="AW311" s="60">
        <f ca="1">AW$5-T311</f>
        <v>18.220650529757748</v>
      </c>
      <c r="AX311" s="60">
        <f ca="1">AX$5-U311</f>
        <v>25.775915403668051</v>
      </c>
      <c r="AY311" s="60">
        <f ca="1">AY$5-V311</f>
        <v>16.603014401527801</v>
      </c>
      <c r="AZ311" s="60">
        <f ca="1">AZ$5-W311</f>
        <v>21.45448217259603</v>
      </c>
      <c r="BA311" s="60">
        <f ca="1">BA$5-X311</f>
        <v>24.465059058982703</v>
      </c>
      <c r="BB311" s="60">
        <f ca="1">BB$5-Y311</f>
        <v>17.350592727381127</v>
      </c>
      <c r="BC311" s="60">
        <f ca="1">BC$5-Z311</f>
        <v>31.437465909882164</v>
      </c>
      <c r="BD311" s="60">
        <f ca="1">BD$5-AA311</f>
        <v>20.936518664382362</v>
      </c>
      <c r="BE311" s="60">
        <f ca="1">BE$5-AB311</f>
        <v>15.829390591992194</v>
      </c>
      <c r="BF311" s="60">
        <f ca="1">BF$5-AC311</f>
        <v>-14.98269568352292</v>
      </c>
      <c r="BG311" s="60">
        <f ca="1">BG$5-AD311</f>
        <v>-16.014741294981491</v>
      </c>
      <c r="BH311" s="60">
        <f ca="1">BH$5-AE311</f>
        <v>-17.045407769632433</v>
      </c>
      <c r="BI311" s="60">
        <f ca="1">BI$5-AF311</f>
        <v>-27.391494488745195</v>
      </c>
      <c r="BJ311" s="60">
        <f ca="1">BJ$5-AG311</f>
        <v>14.43955105767877</v>
      </c>
      <c r="BK311" s="60" t="e">
        <f>BK$5-AH311</f>
        <v>#N/A</v>
      </c>
      <c r="BL311" s="60" t="e">
        <f>BL$5-AI311</f>
        <v>#N/A</v>
      </c>
      <c r="BM311" s="60" t="e">
        <f>BM$5-AJ311</f>
        <v>#N/A</v>
      </c>
      <c r="BN311" s="60" t="e">
        <f>BN$5-AK311</f>
        <v>#N/A</v>
      </c>
      <c r="BO311" s="60" t="e">
        <f>BO$5-AL311</f>
        <v>#N/A</v>
      </c>
      <c r="BP311" s="60" t="e">
        <f>BP$5-AM311</f>
        <v>#N/A</v>
      </c>
      <c r="BQ311" s="60" t="e">
        <f>BQ$5-AN311</f>
        <v>#N/A</v>
      </c>
      <c r="BR311" s="60" t="e">
        <f>BR$5-AO311</f>
        <v>#N/A</v>
      </c>
      <c r="BS311" s="60" t="e">
        <f>BS$5-AP311</f>
        <v>#N/A</v>
      </c>
      <c r="BT311" s="60" t="e">
        <f>BT$5-AQ311</f>
        <v>#N/A</v>
      </c>
      <c r="BV311" s="60" cm="1">
        <f t="array" aca="1" ref="BV311" ca="1">SQRT(SUMSQ(_xlfn._xlws.FILTER(AV311:BT311,ISNUMBER(AV311:BT311)))/COUNT(_xlfn._xlws.FILTER(AV311:BT311,ISNUMBER(AV311:BT311))))</f>
        <v>21.434429838484181</v>
      </c>
    </row>
    <row r="312" spans="3:74" x14ac:dyDescent="0.2">
      <c r="C312" s="60" t="s">
        <v>491</v>
      </c>
      <c r="D312" s="60">
        <v>0</v>
      </c>
      <c r="E312" s="60">
        <v>-3</v>
      </c>
      <c r="F312" s="60">
        <v>-7</v>
      </c>
      <c r="G312" s="60">
        <v>-10</v>
      </c>
      <c r="H312" s="60">
        <v>-14</v>
      </c>
      <c r="I312" s="60">
        <v>-17</v>
      </c>
      <c r="J312" s="60">
        <v>-21</v>
      </c>
      <c r="K312" s="60">
        <v>-24</v>
      </c>
      <c r="L312" s="60">
        <v>-28</v>
      </c>
      <c r="M312" s="60">
        <v>11</v>
      </c>
      <c r="N312" s="60">
        <v>7</v>
      </c>
      <c r="O312" s="60">
        <v>4</v>
      </c>
      <c r="P312" s="60">
        <v>0</v>
      </c>
      <c r="R312" s="61">
        <f>(ROW(R312)-ROW($C$6))</f>
        <v>306</v>
      </c>
      <c r="S312" s="60">
        <f ca="1">100+HLOOKUP(S$4,$D$7:$P$336,$R312,FALSE)-HLOOKUP(S$3,$D$7:$P$336,$R312,FALSE)</f>
        <v>75</v>
      </c>
      <c r="T312" s="60">
        <f ca="1">100+HLOOKUP(T$4,$D$7:$P$336,$R312,FALSE)-HLOOKUP(T$3,$D$7:$P$336,$R312,FALSE)</f>
        <v>75</v>
      </c>
      <c r="U312" s="60">
        <f ca="1">100+HLOOKUP(U$4,$D$7:$P$336,$R312,FALSE)-HLOOKUP(U$3,$D$7:$P$336,$R312,FALSE)</f>
        <v>75</v>
      </c>
      <c r="V312" s="60">
        <f ca="1">100+HLOOKUP(V$4,$D$7:$P$336,$R312,FALSE)-HLOOKUP(V$3,$D$7:$P$336,$R312,FALSE)</f>
        <v>76</v>
      </c>
      <c r="W312" s="60">
        <f ca="1">100+HLOOKUP(W$4,$D$7:$P$336,$R312,FALSE)-HLOOKUP(W$3,$D$7:$P$336,$R312,FALSE)</f>
        <v>76</v>
      </c>
      <c r="X312" s="60">
        <f ca="1">100+HLOOKUP(X$4,$D$7:$P$336,$R312,FALSE)-HLOOKUP(X$3,$D$7:$P$336,$R312,FALSE)</f>
        <v>75</v>
      </c>
      <c r="Y312" s="60">
        <f ca="1">100+HLOOKUP(Y$4,$D$7:$P$336,$R312,FALSE)-HLOOKUP(Y$3,$D$7:$P$336,$R312,FALSE)</f>
        <v>75</v>
      </c>
      <c r="Z312" s="60">
        <f ca="1">100+HLOOKUP(Z$4,$D$7:$P$336,$R312,FALSE)-HLOOKUP(Z$3,$D$7:$P$336,$R312,FALSE)</f>
        <v>75</v>
      </c>
      <c r="AA312" s="60">
        <f ca="1">100+HLOOKUP(AA$4,$D$7:$P$336,$R312,FALSE)-HLOOKUP(AA$3,$D$7:$P$336,$R312,FALSE)</f>
        <v>76</v>
      </c>
      <c r="AB312" s="60">
        <f ca="1">100+HLOOKUP(AB$4,$D$7:$P$336,$R312,FALSE)-HLOOKUP(AB$3,$D$7:$P$336,$R312,FALSE)</f>
        <v>76</v>
      </c>
      <c r="AC312" s="60">
        <f ca="1">100+HLOOKUP(AC$4,$D$7:$P$336,$R312,FALSE)-HLOOKUP(AC$3,$D$7:$P$336,$R312,FALSE)</f>
        <v>118</v>
      </c>
      <c r="AD312" s="60">
        <f ca="1">100+HLOOKUP(AD$4,$D$7:$P$336,$R312,FALSE)-HLOOKUP(AD$3,$D$7:$P$336,$R312,FALSE)</f>
        <v>118</v>
      </c>
      <c r="AE312" s="60">
        <f ca="1">100+HLOOKUP(AE$4,$D$7:$P$336,$R312,FALSE)-HLOOKUP(AE$3,$D$7:$P$336,$R312,FALSE)</f>
        <v>118</v>
      </c>
      <c r="AF312" s="60">
        <f ca="1">100+HLOOKUP(AF$4,$D$7:$P$336,$R312,FALSE)-HLOOKUP(AF$3,$D$7:$P$336,$R312,FALSE)</f>
        <v>118</v>
      </c>
      <c r="AG312" s="60">
        <f ca="1">100+HLOOKUP(AG$4,$D$7:$P$336,$R312,FALSE)-HLOOKUP(AG$3,$D$7:$P$336,$R312,FALSE)</f>
        <v>76</v>
      </c>
      <c r="AH312" s="60" t="e">
        <f>100+HLOOKUP(AH$4,$D$7:$P$336,$R312,FALSE)-HLOOKUP(AH$3,$D$7:$P$336,$R312,FALSE)</f>
        <v>#N/A</v>
      </c>
      <c r="AI312" s="60" t="e">
        <f>100+HLOOKUP(AI$4,$D$7:$P$336,$R312,FALSE)-HLOOKUP(AI$3,$D$7:$P$336,$R312,FALSE)</f>
        <v>#N/A</v>
      </c>
      <c r="AJ312" s="60" t="e">
        <f>100+HLOOKUP(AJ$4,$D$7:$P$336,$R312,FALSE)-HLOOKUP(AJ$3,$D$7:$P$336,$R312,FALSE)</f>
        <v>#N/A</v>
      </c>
      <c r="AK312" s="60" t="e">
        <f>100+HLOOKUP(AK$4,$D$7:$P$336,$R312,FALSE)-HLOOKUP(AK$3,$D$7:$P$336,$R312,FALSE)</f>
        <v>#N/A</v>
      </c>
      <c r="AL312" s="60" t="e">
        <f>100+HLOOKUP(AL$4,$D$7:$P$336,$R312,FALSE)-HLOOKUP(AL$3,$D$7:$P$336,$R312,FALSE)</f>
        <v>#N/A</v>
      </c>
      <c r="AM312" s="60" t="e">
        <f>100+HLOOKUP(AM$4,$D$7:$P$336,$R312,FALSE)-HLOOKUP(AM$3,$D$7:$P$336,$R312,FALSE)</f>
        <v>#N/A</v>
      </c>
      <c r="AN312" s="60" t="e">
        <f>100+HLOOKUP(AN$4,$D$7:$P$336,$R312,FALSE)-HLOOKUP(AN$3,$D$7:$P$336,$R312,FALSE)</f>
        <v>#N/A</v>
      </c>
      <c r="AO312" s="60" t="e">
        <f>100+HLOOKUP(AO$4,$D$7:$P$336,$R312,FALSE)-HLOOKUP(AO$3,$D$7:$P$336,$R312,FALSE)</f>
        <v>#N/A</v>
      </c>
      <c r="AP312" s="60" t="e">
        <f>100+HLOOKUP(AP$4,$D$7:$P$336,$R312,FALSE)-HLOOKUP(AP$3,$D$7:$P$336,$R312,FALSE)</f>
        <v>#N/A</v>
      </c>
      <c r="AQ312" s="60" t="e">
        <f>100+HLOOKUP(AQ$4,$D$7:$P$336,$R312,FALSE)-HLOOKUP(AQ$3,$D$7:$P$336,$R312,FALSE)</f>
        <v>#N/A</v>
      </c>
      <c r="AV312" s="60">
        <f ca="1">AV$5-S312</f>
        <v>28.190399426796432</v>
      </c>
      <c r="AW312" s="60">
        <f ca="1">AW$5-T312</f>
        <v>19.220650529757748</v>
      </c>
      <c r="AX312" s="60">
        <f ca="1">AX$5-U312</f>
        <v>26.775915403668051</v>
      </c>
      <c r="AY312" s="60">
        <f ca="1">AY$5-V312</f>
        <v>17.603014401527801</v>
      </c>
      <c r="AZ312" s="60">
        <f ca="1">AZ$5-W312</f>
        <v>21.45448217259603</v>
      </c>
      <c r="BA312" s="60">
        <f ca="1">BA$5-X312</f>
        <v>23.465059058982703</v>
      </c>
      <c r="BB312" s="60">
        <f ca="1">BB$5-Y312</f>
        <v>18.350592727381127</v>
      </c>
      <c r="BC312" s="60">
        <f ca="1">BC$5-Z312</f>
        <v>32.437465909882164</v>
      </c>
      <c r="BD312" s="60">
        <f ca="1">BD$5-AA312</f>
        <v>21.936518664382362</v>
      </c>
      <c r="BE312" s="60">
        <f ca="1">BE$5-AB312</f>
        <v>15.829390591992194</v>
      </c>
      <c r="BF312" s="60">
        <f ca="1">BF$5-AC312</f>
        <v>-16.98269568352292</v>
      </c>
      <c r="BG312" s="60">
        <f ca="1">BG$5-AD312</f>
        <v>-14.014741294981491</v>
      </c>
      <c r="BH312" s="60">
        <f ca="1">BH$5-AE312</f>
        <v>-19.045407769632433</v>
      </c>
      <c r="BI312" s="60">
        <f ca="1">BI$5-AF312</f>
        <v>-27.391494488745195</v>
      </c>
      <c r="BJ312" s="60">
        <f ca="1">BJ$5-AG312</f>
        <v>15.43955105767877</v>
      </c>
      <c r="BK312" s="60" t="e">
        <f>BK$5-AH312</f>
        <v>#N/A</v>
      </c>
      <c r="BL312" s="60" t="e">
        <f>BL$5-AI312</f>
        <v>#N/A</v>
      </c>
      <c r="BM312" s="60" t="e">
        <f>BM$5-AJ312</f>
        <v>#N/A</v>
      </c>
      <c r="BN312" s="60" t="e">
        <f>BN$5-AK312</f>
        <v>#N/A</v>
      </c>
      <c r="BO312" s="60" t="e">
        <f>BO$5-AL312</f>
        <v>#N/A</v>
      </c>
      <c r="BP312" s="60" t="e">
        <f>BP$5-AM312</f>
        <v>#N/A</v>
      </c>
      <c r="BQ312" s="60" t="e">
        <f>BQ$5-AN312</f>
        <v>#N/A</v>
      </c>
      <c r="BR312" s="60" t="e">
        <f>BR$5-AO312</f>
        <v>#N/A</v>
      </c>
      <c r="BS312" s="60" t="e">
        <f>BS$5-AP312</f>
        <v>#N/A</v>
      </c>
      <c r="BT312" s="60" t="e">
        <f>BT$5-AQ312</f>
        <v>#N/A</v>
      </c>
      <c r="BV312" s="60" cm="1">
        <f t="array" aca="1" ref="BV312" ca="1">SQRT(SUMSQ(_xlfn._xlws.FILTER(AV312:BT312,ISNUMBER(AV312:BT312)))/COUNT(_xlfn._xlws.FILTER(AV312:BT312,ISNUMBER(AV312:BT312))))</f>
        <v>21.846115881415027</v>
      </c>
    </row>
    <row r="313" spans="3:74" x14ac:dyDescent="0.2">
      <c r="C313" s="60" t="s">
        <v>289</v>
      </c>
      <c r="D313" s="60">
        <v>0</v>
      </c>
      <c r="E313" s="60">
        <v>2</v>
      </c>
      <c r="F313" s="60">
        <v>4</v>
      </c>
      <c r="G313" s="60">
        <v>-16</v>
      </c>
      <c r="H313" s="60">
        <v>-14</v>
      </c>
      <c r="I313" s="60">
        <v>-12</v>
      </c>
      <c r="J313" s="60">
        <v>-10</v>
      </c>
      <c r="K313" s="60">
        <v>-30</v>
      </c>
      <c r="L313" s="60">
        <v>-28</v>
      </c>
      <c r="M313" s="60">
        <v>-26</v>
      </c>
      <c r="N313" s="60">
        <v>18</v>
      </c>
      <c r="O313" s="60">
        <v>-2</v>
      </c>
      <c r="P313" s="60">
        <v>0</v>
      </c>
      <c r="R313" s="61">
        <f>(ROW(R313)-ROW($C$6))</f>
        <v>307</v>
      </c>
      <c r="S313" s="60">
        <f ca="1">100+HLOOKUP(S$4,$D$7:$P$336,$R313,FALSE)-HLOOKUP(S$3,$D$7:$P$336,$R313,FALSE)</f>
        <v>112</v>
      </c>
      <c r="T313" s="60">
        <f ca="1">100+HLOOKUP(T$4,$D$7:$P$336,$R313,FALSE)-HLOOKUP(T$3,$D$7:$P$336,$R313,FALSE)</f>
        <v>92</v>
      </c>
      <c r="U313" s="60">
        <f ca="1">100+HLOOKUP(U$4,$D$7:$P$336,$R313,FALSE)-HLOOKUP(U$3,$D$7:$P$336,$R313,FALSE)</f>
        <v>70</v>
      </c>
      <c r="V313" s="60">
        <f ca="1">100+HLOOKUP(V$4,$D$7:$P$336,$R313,FALSE)-HLOOKUP(V$3,$D$7:$P$336,$R313,FALSE)</f>
        <v>70</v>
      </c>
      <c r="W313" s="60">
        <f ca="1">100+HLOOKUP(W$4,$D$7:$P$336,$R313,FALSE)-HLOOKUP(W$3,$D$7:$P$336,$R313,FALSE)</f>
        <v>70</v>
      </c>
      <c r="X313" s="60">
        <f ca="1">100+HLOOKUP(X$4,$D$7:$P$336,$R313,FALSE)-HLOOKUP(X$3,$D$7:$P$336,$R313,FALSE)</f>
        <v>112</v>
      </c>
      <c r="Y313" s="60">
        <f ca="1">100+HLOOKUP(Y$4,$D$7:$P$336,$R313,FALSE)-HLOOKUP(Y$3,$D$7:$P$336,$R313,FALSE)</f>
        <v>92</v>
      </c>
      <c r="Z313" s="60">
        <f ca="1">100+HLOOKUP(Z$4,$D$7:$P$336,$R313,FALSE)-HLOOKUP(Z$3,$D$7:$P$336,$R313,FALSE)</f>
        <v>70</v>
      </c>
      <c r="AA313" s="60">
        <f ca="1">100+HLOOKUP(AA$4,$D$7:$P$336,$R313,FALSE)-HLOOKUP(AA$3,$D$7:$P$336,$R313,FALSE)</f>
        <v>70</v>
      </c>
      <c r="AB313" s="60">
        <f ca="1">100+HLOOKUP(AB$4,$D$7:$P$336,$R313,FALSE)-HLOOKUP(AB$3,$D$7:$P$336,$R313,FALSE)</f>
        <v>70</v>
      </c>
      <c r="AC313" s="60">
        <f ca="1">100+HLOOKUP(AC$4,$D$7:$P$336,$R313,FALSE)-HLOOKUP(AC$3,$D$7:$P$336,$R313,FALSE)</f>
        <v>70</v>
      </c>
      <c r="AD313" s="60">
        <f ca="1">100+HLOOKUP(AD$4,$D$7:$P$336,$R313,FALSE)-HLOOKUP(AD$3,$D$7:$P$336,$R313,FALSE)</f>
        <v>112</v>
      </c>
      <c r="AE313" s="60">
        <f ca="1">100+HLOOKUP(AE$4,$D$7:$P$336,$R313,FALSE)-HLOOKUP(AE$3,$D$7:$P$336,$R313,FALSE)</f>
        <v>112</v>
      </c>
      <c r="AF313" s="60">
        <f ca="1">100+HLOOKUP(AF$4,$D$7:$P$336,$R313,FALSE)-HLOOKUP(AF$3,$D$7:$P$336,$R313,FALSE)</f>
        <v>112</v>
      </c>
      <c r="AG313" s="60">
        <f ca="1">100+HLOOKUP(AG$4,$D$7:$P$336,$R313,FALSE)-HLOOKUP(AG$3,$D$7:$P$336,$R313,FALSE)</f>
        <v>70</v>
      </c>
      <c r="AH313" s="60" t="e">
        <f>100+HLOOKUP(AH$4,$D$7:$P$336,$R313,FALSE)-HLOOKUP(AH$3,$D$7:$P$336,$R313,FALSE)</f>
        <v>#N/A</v>
      </c>
      <c r="AI313" s="60" t="e">
        <f>100+HLOOKUP(AI$4,$D$7:$P$336,$R313,FALSE)-HLOOKUP(AI$3,$D$7:$P$336,$R313,FALSE)</f>
        <v>#N/A</v>
      </c>
      <c r="AJ313" s="60" t="e">
        <f>100+HLOOKUP(AJ$4,$D$7:$P$336,$R313,FALSE)-HLOOKUP(AJ$3,$D$7:$P$336,$R313,FALSE)</f>
        <v>#N/A</v>
      </c>
      <c r="AK313" s="60" t="e">
        <f>100+HLOOKUP(AK$4,$D$7:$P$336,$R313,FALSE)-HLOOKUP(AK$3,$D$7:$P$336,$R313,FALSE)</f>
        <v>#N/A</v>
      </c>
      <c r="AL313" s="60" t="e">
        <f>100+HLOOKUP(AL$4,$D$7:$P$336,$R313,FALSE)-HLOOKUP(AL$3,$D$7:$P$336,$R313,FALSE)</f>
        <v>#N/A</v>
      </c>
      <c r="AM313" s="60" t="e">
        <f>100+HLOOKUP(AM$4,$D$7:$P$336,$R313,FALSE)-HLOOKUP(AM$3,$D$7:$P$336,$R313,FALSE)</f>
        <v>#N/A</v>
      </c>
      <c r="AN313" s="60" t="e">
        <f>100+HLOOKUP(AN$4,$D$7:$P$336,$R313,FALSE)-HLOOKUP(AN$3,$D$7:$P$336,$R313,FALSE)</f>
        <v>#N/A</v>
      </c>
      <c r="AO313" s="60" t="e">
        <f>100+HLOOKUP(AO$4,$D$7:$P$336,$R313,FALSE)-HLOOKUP(AO$3,$D$7:$P$336,$R313,FALSE)</f>
        <v>#N/A</v>
      </c>
      <c r="AP313" s="60" t="e">
        <f>100+HLOOKUP(AP$4,$D$7:$P$336,$R313,FALSE)-HLOOKUP(AP$3,$D$7:$P$336,$R313,FALSE)</f>
        <v>#N/A</v>
      </c>
      <c r="AQ313" s="60" t="e">
        <f>100+HLOOKUP(AQ$4,$D$7:$P$336,$R313,FALSE)-HLOOKUP(AQ$3,$D$7:$P$336,$R313,FALSE)</f>
        <v>#N/A</v>
      </c>
      <c r="AV313" s="60">
        <f ca="1">AV$5-S313</f>
        <v>-8.8096005732035678</v>
      </c>
      <c r="AW313" s="60">
        <f ca="1">AW$5-T313</f>
        <v>2.2206505297577479</v>
      </c>
      <c r="AX313" s="60">
        <f ca="1">AX$5-U313</f>
        <v>31.775915403668051</v>
      </c>
      <c r="AY313" s="60">
        <f ca="1">AY$5-V313</f>
        <v>23.603014401527801</v>
      </c>
      <c r="AZ313" s="60">
        <f ca="1">AZ$5-W313</f>
        <v>27.45448217259603</v>
      </c>
      <c r="BA313" s="60">
        <f ca="1">BA$5-X313</f>
        <v>-13.534940941017297</v>
      </c>
      <c r="BB313" s="60">
        <f ca="1">BB$5-Y313</f>
        <v>1.3505927273811267</v>
      </c>
      <c r="BC313" s="60">
        <f ca="1">BC$5-Z313</f>
        <v>37.437465909882164</v>
      </c>
      <c r="BD313" s="60">
        <f ca="1">BD$5-AA313</f>
        <v>27.936518664382362</v>
      </c>
      <c r="BE313" s="60">
        <f ca="1">BE$5-AB313</f>
        <v>21.829390591992194</v>
      </c>
      <c r="BF313" s="60">
        <f ca="1">BF$5-AC313</f>
        <v>31.01730431647708</v>
      </c>
      <c r="BG313" s="60">
        <f ca="1">BG$5-AD313</f>
        <v>-8.0147412949814907</v>
      </c>
      <c r="BH313" s="60">
        <f ca="1">BH$5-AE313</f>
        <v>-13.045407769632433</v>
      </c>
      <c r="BI313" s="60">
        <f ca="1">BI$5-AF313</f>
        <v>-21.391494488745195</v>
      </c>
      <c r="BJ313" s="60">
        <f ca="1">BJ$5-AG313</f>
        <v>21.43955105767877</v>
      </c>
      <c r="BK313" s="60" t="e">
        <f>BK$5-AH313</f>
        <v>#N/A</v>
      </c>
      <c r="BL313" s="60" t="e">
        <f>BL$5-AI313</f>
        <v>#N/A</v>
      </c>
      <c r="BM313" s="60" t="e">
        <f>BM$5-AJ313</f>
        <v>#N/A</v>
      </c>
      <c r="BN313" s="60" t="e">
        <f>BN$5-AK313</f>
        <v>#N/A</v>
      </c>
      <c r="BO313" s="60" t="e">
        <f>BO$5-AL313</f>
        <v>#N/A</v>
      </c>
      <c r="BP313" s="60" t="e">
        <f>BP$5-AM313</f>
        <v>#N/A</v>
      </c>
      <c r="BQ313" s="60" t="e">
        <f>BQ$5-AN313</f>
        <v>#N/A</v>
      </c>
      <c r="BR313" s="60" t="e">
        <f>BR$5-AO313</f>
        <v>#N/A</v>
      </c>
      <c r="BS313" s="60" t="e">
        <f>BS$5-AP313</f>
        <v>#N/A</v>
      </c>
      <c r="BT313" s="60" t="e">
        <f>BT$5-AQ313</f>
        <v>#N/A</v>
      </c>
      <c r="BV313" s="60" cm="1">
        <f t="array" aca="1" ref="BV313" ca="1">SQRT(SUMSQ(_xlfn._xlws.FILTER(AV313:BT313,ISNUMBER(AV313:BT313)))/COUNT(_xlfn._xlws.FILTER(AV313:BT313,ISNUMBER(AV313:BT313))))</f>
        <v>22.151593284167998</v>
      </c>
    </row>
    <row r="314" spans="3:74" x14ac:dyDescent="0.2">
      <c r="C314" s="60" t="s">
        <v>213</v>
      </c>
      <c r="D314" s="60">
        <v>0</v>
      </c>
      <c r="E314" s="60">
        <v>-2</v>
      </c>
      <c r="F314" s="60">
        <v>-9</v>
      </c>
      <c r="G314" s="60">
        <v>-11</v>
      </c>
      <c r="H314" s="60">
        <v>-14</v>
      </c>
      <c r="I314" s="60">
        <v>-16</v>
      </c>
      <c r="J314" s="60">
        <v>-23</v>
      </c>
      <c r="K314" s="60">
        <v>-25</v>
      </c>
      <c r="L314" s="60">
        <v>-27</v>
      </c>
      <c r="M314" s="60">
        <v>11</v>
      </c>
      <c r="N314" s="60">
        <v>9</v>
      </c>
      <c r="O314" s="60">
        <v>2</v>
      </c>
      <c r="P314" s="60">
        <v>0</v>
      </c>
      <c r="R314" s="61">
        <f>(ROW(R314)-ROW($C$6))</f>
        <v>308</v>
      </c>
      <c r="S314" s="60">
        <f ca="1">100+HLOOKUP(S$4,$D$7:$P$336,$R314,FALSE)-HLOOKUP(S$3,$D$7:$P$336,$R314,FALSE)</f>
        <v>75</v>
      </c>
      <c r="T314" s="60">
        <f ca="1">100+HLOOKUP(T$4,$D$7:$P$336,$R314,FALSE)-HLOOKUP(T$3,$D$7:$P$336,$R314,FALSE)</f>
        <v>75</v>
      </c>
      <c r="U314" s="60">
        <f ca="1">100+HLOOKUP(U$4,$D$7:$P$336,$R314,FALSE)-HLOOKUP(U$3,$D$7:$P$336,$R314,FALSE)</f>
        <v>75</v>
      </c>
      <c r="V314" s="60">
        <f ca="1">100+HLOOKUP(V$4,$D$7:$P$336,$R314,FALSE)-HLOOKUP(V$3,$D$7:$P$336,$R314,FALSE)</f>
        <v>75</v>
      </c>
      <c r="W314" s="60">
        <f ca="1">100+HLOOKUP(W$4,$D$7:$P$336,$R314,FALSE)-HLOOKUP(W$3,$D$7:$P$336,$R314,FALSE)</f>
        <v>75</v>
      </c>
      <c r="X314" s="60">
        <f ca="1">100+HLOOKUP(X$4,$D$7:$P$336,$R314,FALSE)-HLOOKUP(X$3,$D$7:$P$336,$R314,FALSE)</f>
        <v>75</v>
      </c>
      <c r="Y314" s="60">
        <f ca="1">100+HLOOKUP(Y$4,$D$7:$P$336,$R314,FALSE)-HLOOKUP(Y$3,$D$7:$P$336,$R314,FALSE)</f>
        <v>75</v>
      </c>
      <c r="Z314" s="60">
        <f ca="1">100+HLOOKUP(Z$4,$D$7:$P$336,$R314,FALSE)-HLOOKUP(Z$3,$D$7:$P$336,$R314,FALSE)</f>
        <v>75</v>
      </c>
      <c r="AA314" s="60">
        <f ca="1">100+HLOOKUP(AA$4,$D$7:$P$336,$R314,FALSE)-HLOOKUP(AA$3,$D$7:$P$336,$R314,FALSE)</f>
        <v>75</v>
      </c>
      <c r="AB314" s="60">
        <f ca="1">100+HLOOKUP(AB$4,$D$7:$P$336,$R314,FALSE)-HLOOKUP(AB$3,$D$7:$P$336,$R314,FALSE)</f>
        <v>75</v>
      </c>
      <c r="AC314" s="60">
        <f ca="1">100+HLOOKUP(AC$4,$D$7:$P$336,$R314,FALSE)-HLOOKUP(AC$3,$D$7:$P$336,$R314,FALSE)</f>
        <v>120</v>
      </c>
      <c r="AD314" s="60">
        <f ca="1">100+HLOOKUP(AD$4,$D$7:$P$336,$R314,FALSE)-HLOOKUP(AD$3,$D$7:$P$336,$R314,FALSE)</f>
        <v>116</v>
      </c>
      <c r="AE314" s="60">
        <f ca="1">100+HLOOKUP(AE$4,$D$7:$P$336,$R314,FALSE)-HLOOKUP(AE$3,$D$7:$P$336,$R314,FALSE)</f>
        <v>121</v>
      </c>
      <c r="AF314" s="60">
        <f ca="1">100+HLOOKUP(AF$4,$D$7:$P$336,$R314,FALSE)-HLOOKUP(AF$3,$D$7:$P$336,$R314,FALSE)</f>
        <v>116</v>
      </c>
      <c r="AG314" s="60">
        <f ca="1">100+HLOOKUP(AG$4,$D$7:$P$336,$R314,FALSE)-HLOOKUP(AG$3,$D$7:$P$336,$R314,FALSE)</f>
        <v>75</v>
      </c>
      <c r="AH314" s="60" t="e">
        <f>100+HLOOKUP(AH$4,$D$7:$P$336,$R314,FALSE)-HLOOKUP(AH$3,$D$7:$P$336,$R314,FALSE)</f>
        <v>#N/A</v>
      </c>
      <c r="AI314" s="60" t="e">
        <f>100+HLOOKUP(AI$4,$D$7:$P$336,$R314,FALSE)-HLOOKUP(AI$3,$D$7:$P$336,$R314,FALSE)</f>
        <v>#N/A</v>
      </c>
      <c r="AJ314" s="60" t="e">
        <f>100+HLOOKUP(AJ$4,$D$7:$P$336,$R314,FALSE)-HLOOKUP(AJ$3,$D$7:$P$336,$R314,FALSE)</f>
        <v>#N/A</v>
      </c>
      <c r="AK314" s="60" t="e">
        <f>100+HLOOKUP(AK$4,$D$7:$P$336,$R314,FALSE)-HLOOKUP(AK$3,$D$7:$P$336,$R314,FALSE)</f>
        <v>#N/A</v>
      </c>
      <c r="AL314" s="60" t="e">
        <f>100+HLOOKUP(AL$4,$D$7:$P$336,$R314,FALSE)-HLOOKUP(AL$3,$D$7:$P$336,$R314,FALSE)</f>
        <v>#N/A</v>
      </c>
      <c r="AM314" s="60" t="e">
        <f>100+HLOOKUP(AM$4,$D$7:$P$336,$R314,FALSE)-HLOOKUP(AM$3,$D$7:$P$336,$R314,FALSE)</f>
        <v>#N/A</v>
      </c>
      <c r="AN314" s="60" t="e">
        <f>100+HLOOKUP(AN$4,$D$7:$P$336,$R314,FALSE)-HLOOKUP(AN$3,$D$7:$P$336,$R314,FALSE)</f>
        <v>#N/A</v>
      </c>
      <c r="AO314" s="60" t="e">
        <f>100+HLOOKUP(AO$4,$D$7:$P$336,$R314,FALSE)-HLOOKUP(AO$3,$D$7:$P$336,$R314,FALSE)</f>
        <v>#N/A</v>
      </c>
      <c r="AP314" s="60" t="e">
        <f>100+HLOOKUP(AP$4,$D$7:$P$336,$R314,FALSE)-HLOOKUP(AP$3,$D$7:$P$336,$R314,FALSE)</f>
        <v>#N/A</v>
      </c>
      <c r="AQ314" s="60" t="e">
        <f>100+HLOOKUP(AQ$4,$D$7:$P$336,$R314,FALSE)-HLOOKUP(AQ$3,$D$7:$P$336,$R314,FALSE)</f>
        <v>#N/A</v>
      </c>
      <c r="AV314" s="60">
        <f ca="1">AV$5-S314</f>
        <v>28.190399426796432</v>
      </c>
      <c r="AW314" s="60">
        <f ca="1">AW$5-T314</f>
        <v>19.220650529757748</v>
      </c>
      <c r="AX314" s="60">
        <f ca="1">AX$5-U314</f>
        <v>26.775915403668051</v>
      </c>
      <c r="AY314" s="60">
        <f ca="1">AY$5-V314</f>
        <v>18.603014401527801</v>
      </c>
      <c r="AZ314" s="60">
        <f ca="1">AZ$5-W314</f>
        <v>22.45448217259603</v>
      </c>
      <c r="BA314" s="60">
        <f ca="1">BA$5-X314</f>
        <v>23.465059058982703</v>
      </c>
      <c r="BB314" s="60">
        <f ca="1">BB$5-Y314</f>
        <v>18.350592727381127</v>
      </c>
      <c r="BC314" s="60">
        <f ca="1">BC$5-Z314</f>
        <v>32.437465909882164</v>
      </c>
      <c r="BD314" s="60">
        <f ca="1">BD$5-AA314</f>
        <v>22.936518664382362</v>
      </c>
      <c r="BE314" s="60">
        <f ca="1">BE$5-AB314</f>
        <v>16.829390591992194</v>
      </c>
      <c r="BF314" s="60">
        <f ca="1">BF$5-AC314</f>
        <v>-18.98269568352292</v>
      </c>
      <c r="BG314" s="60">
        <f ca="1">BG$5-AD314</f>
        <v>-12.014741294981491</v>
      </c>
      <c r="BH314" s="60">
        <f ca="1">BH$5-AE314</f>
        <v>-22.045407769632433</v>
      </c>
      <c r="BI314" s="60">
        <f ca="1">BI$5-AF314</f>
        <v>-25.391494488745195</v>
      </c>
      <c r="BJ314" s="60">
        <f ca="1">BJ$5-AG314</f>
        <v>16.43955105767877</v>
      </c>
      <c r="BK314" s="60" t="e">
        <f>BK$5-AH314</f>
        <v>#N/A</v>
      </c>
      <c r="BL314" s="60" t="e">
        <f>BL$5-AI314</f>
        <v>#N/A</v>
      </c>
      <c r="BM314" s="60" t="e">
        <f>BM$5-AJ314</f>
        <v>#N/A</v>
      </c>
      <c r="BN314" s="60" t="e">
        <f>BN$5-AK314</f>
        <v>#N/A</v>
      </c>
      <c r="BO314" s="60" t="e">
        <f>BO$5-AL314</f>
        <v>#N/A</v>
      </c>
      <c r="BP314" s="60" t="e">
        <f>BP$5-AM314</f>
        <v>#N/A</v>
      </c>
      <c r="BQ314" s="60" t="e">
        <f>BQ$5-AN314</f>
        <v>#N/A</v>
      </c>
      <c r="BR314" s="60" t="e">
        <f>BR$5-AO314</f>
        <v>#N/A</v>
      </c>
      <c r="BS314" s="60" t="e">
        <f>BS$5-AP314</f>
        <v>#N/A</v>
      </c>
      <c r="BT314" s="60" t="e">
        <f>BT$5-AQ314</f>
        <v>#N/A</v>
      </c>
      <c r="BV314" s="60" cm="1">
        <f t="array" aca="1" ref="BV314" ca="1">SQRT(SUMSQ(_xlfn._xlws.FILTER(AV314:BT314,ISNUMBER(AV314:BT314)))/COUNT(_xlfn._xlws.FILTER(AV314:BT314,ISNUMBER(AV314:BT314))))</f>
        <v>22.189931480375723</v>
      </c>
    </row>
    <row r="315" spans="3:74" x14ac:dyDescent="0.2">
      <c r="C315" s="60" t="s">
        <v>374</v>
      </c>
      <c r="D315" s="60">
        <v>0</v>
      </c>
      <c r="E315" s="60">
        <v>1.9550000000000001</v>
      </c>
      <c r="F315" s="60">
        <v>-3.2589999999999999</v>
      </c>
      <c r="G315" s="60">
        <v>-8.4730000000000008</v>
      </c>
      <c r="H315" s="60">
        <v>-13.686999999999999</v>
      </c>
      <c r="I315" s="60">
        <v>-11.731999999999999</v>
      </c>
      <c r="J315" s="60">
        <v>-16.946000000000002</v>
      </c>
      <c r="K315" s="60">
        <v>-22.16</v>
      </c>
      <c r="L315" s="60">
        <v>-27.373999999999999</v>
      </c>
      <c r="M315" s="60">
        <v>15.641999999999999</v>
      </c>
      <c r="N315" s="60">
        <v>10.428000000000001</v>
      </c>
      <c r="O315" s="60">
        <v>5.2140000000000004</v>
      </c>
      <c r="P315" s="60">
        <v>0</v>
      </c>
      <c r="R315" s="61">
        <f>(ROW(R315)-ROW($C$6))</f>
        <v>309</v>
      </c>
      <c r="S315" s="60">
        <f ca="1">100+HLOOKUP(S$4,$D$7:$P$336,$R315,FALSE)-HLOOKUP(S$3,$D$7:$P$336,$R315,FALSE)</f>
        <v>70.671000000000006</v>
      </c>
      <c r="T315" s="60">
        <f ca="1">100+HLOOKUP(T$4,$D$7:$P$336,$R315,FALSE)-HLOOKUP(T$3,$D$7:$P$336,$R315,FALSE)</f>
        <v>77.84</v>
      </c>
      <c r="U315" s="60">
        <f ca="1">100+HLOOKUP(U$4,$D$7:$P$336,$R315,FALSE)-HLOOKUP(U$3,$D$7:$P$336,$R315,FALSE)</f>
        <v>70.671000000000006</v>
      </c>
      <c r="V315" s="60">
        <f ca="1">100+HLOOKUP(V$4,$D$7:$P$336,$R315,FALSE)-HLOOKUP(V$3,$D$7:$P$336,$R315,FALSE)</f>
        <v>77.84</v>
      </c>
      <c r="W315" s="60">
        <f ca="1">100+HLOOKUP(W$4,$D$7:$P$336,$R315,FALSE)-HLOOKUP(W$3,$D$7:$P$336,$R315,FALSE)</f>
        <v>77.84</v>
      </c>
      <c r="X315" s="60">
        <f ca="1">100+HLOOKUP(X$4,$D$7:$P$336,$R315,FALSE)-HLOOKUP(X$3,$D$7:$P$336,$R315,FALSE)</f>
        <v>70.671000000000006</v>
      </c>
      <c r="Y315" s="60">
        <f ca="1">100+HLOOKUP(Y$4,$D$7:$P$336,$R315,FALSE)-HLOOKUP(Y$3,$D$7:$P$336,$R315,FALSE)</f>
        <v>77.84</v>
      </c>
      <c r="Z315" s="60">
        <f ca="1">100+HLOOKUP(Z$4,$D$7:$P$336,$R315,FALSE)-HLOOKUP(Z$3,$D$7:$P$336,$R315,FALSE)</f>
        <v>70.671000000000006</v>
      </c>
      <c r="AA315" s="60">
        <f ca="1">100+HLOOKUP(AA$4,$D$7:$P$336,$R315,FALSE)-HLOOKUP(AA$3,$D$7:$P$336,$R315,FALSE)</f>
        <v>77.84</v>
      </c>
      <c r="AB315" s="60">
        <f ca="1">100+HLOOKUP(AB$4,$D$7:$P$336,$R315,FALSE)-HLOOKUP(AB$3,$D$7:$P$336,$R315,FALSE)</f>
        <v>77.84</v>
      </c>
      <c r="AC315" s="60">
        <f ca="1">100+HLOOKUP(AC$4,$D$7:$P$336,$R315,FALSE)-HLOOKUP(AC$3,$D$7:$P$336,$R315,FALSE)</f>
        <v>118.901</v>
      </c>
      <c r="AD315" s="60">
        <f ca="1">100+HLOOKUP(AD$4,$D$7:$P$336,$R315,FALSE)-HLOOKUP(AD$3,$D$7:$P$336,$R315,FALSE)</f>
        <v>118.901</v>
      </c>
      <c r="AE315" s="60">
        <f ca="1">100+HLOOKUP(AE$4,$D$7:$P$336,$R315,FALSE)-HLOOKUP(AE$3,$D$7:$P$336,$R315,FALSE)</f>
        <v>118.901</v>
      </c>
      <c r="AF315" s="60">
        <f ca="1">100+HLOOKUP(AF$4,$D$7:$P$336,$R315,FALSE)-HLOOKUP(AF$3,$D$7:$P$336,$R315,FALSE)</f>
        <v>118.901</v>
      </c>
      <c r="AG315" s="60">
        <f ca="1">100+HLOOKUP(AG$4,$D$7:$P$336,$R315,FALSE)-HLOOKUP(AG$3,$D$7:$P$336,$R315,FALSE)</f>
        <v>77.84</v>
      </c>
      <c r="AH315" s="60" t="e">
        <f>100+HLOOKUP(AH$4,$D$7:$P$336,$R315,FALSE)-HLOOKUP(AH$3,$D$7:$P$336,$R315,FALSE)</f>
        <v>#N/A</v>
      </c>
      <c r="AI315" s="60" t="e">
        <f>100+HLOOKUP(AI$4,$D$7:$P$336,$R315,FALSE)-HLOOKUP(AI$3,$D$7:$P$336,$R315,FALSE)</f>
        <v>#N/A</v>
      </c>
      <c r="AJ315" s="60" t="e">
        <f>100+HLOOKUP(AJ$4,$D$7:$P$336,$R315,FALSE)-HLOOKUP(AJ$3,$D$7:$P$336,$R315,FALSE)</f>
        <v>#N/A</v>
      </c>
      <c r="AK315" s="60" t="e">
        <f>100+HLOOKUP(AK$4,$D$7:$P$336,$R315,FALSE)-HLOOKUP(AK$3,$D$7:$P$336,$R315,FALSE)</f>
        <v>#N/A</v>
      </c>
      <c r="AL315" s="60" t="e">
        <f>100+HLOOKUP(AL$4,$D$7:$P$336,$R315,FALSE)-HLOOKUP(AL$3,$D$7:$P$336,$R315,FALSE)</f>
        <v>#N/A</v>
      </c>
      <c r="AM315" s="60" t="e">
        <f>100+HLOOKUP(AM$4,$D$7:$P$336,$R315,FALSE)-HLOOKUP(AM$3,$D$7:$P$336,$R315,FALSE)</f>
        <v>#N/A</v>
      </c>
      <c r="AN315" s="60" t="e">
        <f>100+HLOOKUP(AN$4,$D$7:$P$336,$R315,FALSE)-HLOOKUP(AN$3,$D$7:$P$336,$R315,FALSE)</f>
        <v>#N/A</v>
      </c>
      <c r="AO315" s="60" t="e">
        <f>100+HLOOKUP(AO$4,$D$7:$P$336,$R315,FALSE)-HLOOKUP(AO$3,$D$7:$P$336,$R315,FALSE)</f>
        <v>#N/A</v>
      </c>
      <c r="AP315" s="60" t="e">
        <f>100+HLOOKUP(AP$4,$D$7:$P$336,$R315,FALSE)-HLOOKUP(AP$3,$D$7:$P$336,$R315,FALSE)</f>
        <v>#N/A</v>
      </c>
      <c r="AQ315" s="60" t="e">
        <f>100+HLOOKUP(AQ$4,$D$7:$P$336,$R315,FALSE)-HLOOKUP(AQ$3,$D$7:$P$336,$R315,FALSE)</f>
        <v>#N/A</v>
      </c>
      <c r="AV315" s="60">
        <f ca="1">AV$5-S315</f>
        <v>32.519399426796426</v>
      </c>
      <c r="AW315" s="60">
        <f ca="1">AW$5-T315</f>
        <v>16.380650529757744</v>
      </c>
      <c r="AX315" s="60">
        <f ca="1">AX$5-U315</f>
        <v>31.104915403668045</v>
      </c>
      <c r="AY315" s="60">
        <f ca="1">AY$5-V315</f>
        <v>15.763014401527798</v>
      </c>
      <c r="AZ315" s="60">
        <f ca="1">AZ$5-W315</f>
        <v>19.614482172596027</v>
      </c>
      <c r="BA315" s="60">
        <f ca="1">BA$5-X315</f>
        <v>27.794059058982697</v>
      </c>
      <c r="BB315" s="60">
        <f ca="1">BB$5-Y315</f>
        <v>15.510592727381123</v>
      </c>
      <c r="BC315" s="60">
        <f ca="1">BC$5-Z315</f>
        <v>36.766465909882157</v>
      </c>
      <c r="BD315" s="60">
        <f ca="1">BD$5-AA315</f>
        <v>20.096518664382359</v>
      </c>
      <c r="BE315" s="60">
        <f ca="1">BE$5-AB315</f>
        <v>13.989390591992191</v>
      </c>
      <c r="BF315" s="60">
        <f ca="1">BF$5-AC315</f>
        <v>-17.883695683522916</v>
      </c>
      <c r="BG315" s="60">
        <f ca="1">BG$5-AD315</f>
        <v>-14.915741294981487</v>
      </c>
      <c r="BH315" s="60">
        <f ca="1">BH$5-AE315</f>
        <v>-19.94640776963243</v>
      </c>
      <c r="BI315" s="60">
        <f ca="1">BI$5-AF315</f>
        <v>-28.292494488745191</v>
      </c>
      <c r="BJ315" s="60">
        <f ca="1">BJ$5-AG315</f>
        <v>13.599551057678767</v>
      </c>
      <c r="BK315" s="60" t="e">
        <f>BK$5-AH315</f>
        <v>#N/A</v>
      </c>
      <c r="BL315" s="60" t="e">
        <f>BL$5-AI315</f>
        <v>#N/A</v>
      </c>
      <c r="BM315" s="60" t="e">
        <f>BM$5-AJ315</f>
        <v>#N/A</v>
      </c>
      <c r="BN315" s="60" t="e">
        <f>BN$5-AK315</f>
        <v>#N/A</v>
      </c>
      <c r="BO315" s="60" t="e">
        <f>BO$5-AL315</f>
        <v>#N/A</v>
      </c>
      <c r="BP315" s="60" t="e">
        <f>BP$5-AM315</f>
        <v>#N/A</v>
      </c>
      <c r="BQ315" s="60" t="e">
        <f>BQ$5-AN315</f>
        <v>#N/A</v>
      </c>
      <c r="BR315" s="60" t="e">
        <f>BR$5-AO315</f>
        <v>#N/A</v>
      </c>
      <c r="BS315" s="60" t="e">
        <f>BS$5-AP315</f>
        <v>#N/A</v>
      </c>
      <c r="BT315" s="60" t="e">
        <f>BT$5-AQ315</f>
        <v>#N/A</v>
      </c>
      <c r="BV315" s="60" cm="1">
        <f t="array" aca="1" ref="BV315" ca="1">SQRT(SUMSQ(_xlfn._xlws.FILTER(AV315:BT315,ISNUMBER(AV315:BT315)))/COUNT(_xlfn._xlws.FILTER(AV315:BT315,ISNUMBER(AV315:BT315))))</f>
        <v>22.827710946423018</v>
      </c>
    </row>
    <row r="316" spans="3:74" x14ac:dyDescent="0.2">
      <c r="C316" s="60" t="s">
        <v>471</v>
      </c>
      <c r="D316" s="60">
        <v>0</v>
      </c>
      <c r="E316" s="60">
        <v>-4.1900000000000004</v>
      </c>
      <c r="F316" s="60">
        <v>-8.3789999999999996</v>
      </c>
      <c r="G316" s="60">
        <v>-12.567</v>
      </c>
      <c r="H316" s="60">
        <v>-16.759</v>
      </c>
      <c r="I316" s="60">
        <v>-20.948</v>
      </c>
      <c r="J316" s="60">
        <v>-25.138000000000002</v>
      </c>
      <c r="K316" s="60">
        <v>-29.327999999999999</v>
      </c>
      <c r="L316" s="60">
        <v>16.759</v>
      </c>
      <c r="M316" s="60">
        <v>12.567</v>
      </c>
      <c r="N316" s="60">
        <v>8.3789999999999996</v>
      </c>
      <c r="O316" s="60">
        <v>4.1900000000000004</v>
      </c>
      <c r="P316" s="60">
        <v>0</v>
      </c>
      <c r="R316" s="61">
        <f>(ROW(R316)-ROW($C$6))</f>
        <v>310</v>
      </c>
      <c r="S316" s="60">
        <f ca="1">100+HLOOKUP(S$4,$D$7:$P$336,$R316,FALSE)-HLOOKUP(S$3,$D$7:$P$336,$R316,FALSE)</f>
        <v>70.674000000000007</v>
      </c>
      <c r="T316" s="60">
        <f ca="1">100+HLOOKUP(T$4,$D$7:$P$336,$R316,FALSE)-HLOOKUP(T$3,$D$7:$P$336,$R316,FALSE)</f>
        <v>70.671999999999997</v>
      </c>
      <c r="U316" s="60">
        <f ca="1">100+HLOOKUP(U$4,$D$7:$P$336,$R316,FALSE)-HLOOKUP(U$3,$D$7:$P$336,$R316,FALSE)</f>
        <v>120.949</v>
      </c>
      <c r="V316" s="60">
        <f ca="1">100+HLOOKUP(V$4,$D$7:$P$336,$R316,FALSE)-HLOOKUP(V$3,$D$7:$P$336,$R316,FALSE)</f>
        <v>70.672999999999988</v>
      </c>
      <c r="W316" s="60">
        <f ca="1">100+HLOOKUP(W$4,$D$7:$P$336,$R316,FALSE)-HLOOKUP(W$3,$D$7:$P$336,$R316,FALSE)</f>
        <v>70.671999999999997</v>
      </c>
      <c r="X316" s="60">
        <f ca="1">100+HLOOKUP(X$4,$D$7:$P$336,$R316,FALSE)-HLOOKUP(X$3,$D$7:$P$336,$R316,FALSE)</f>
        <v>70.674000000000007</v>
      </c>
      <c r="Y316" s="60">
        <f ca="1">100+HLOOKUP(Y$4,$D$7:$P$336,$R316,FALSE)-HLOOKUP(Y$3,$D$7:$P$336,$R316,FALSE)</f>
        <v>70.671999999999997</v>
      </c>
      <c r="Z316" s="60">
        <f ca="1">100+HLOOKUP(Z$4,$D$7:$P$336,$R316,FALSE)-HLOOKUP(Z$3,$D$7:$P$336,$R316,FALSE)</f>
        <v>120.949</v>
      </c>
      <c r="AA316" s="60">
        <f ca="1">100+HLOOKUP(AA$4,$D$7:$P$336,$R316,FALSE)-HLOOKUP(AA$3,$D$7:$P$336,$R316,FALSE)</f>
        <v>70.672999999999988</v>
      </c>
      <c r="AB316" s="60">
        <f ca="1">100+HLOOKUP(AB$4,$D$7:$P$336,$R316,FALSE)-HLOOKUP(AB$3,$D$7:$P$336,$R316,FALSE)</f>
        <v>70.671999999999997</v>
      </c>
      <c r="AC316" s="60">
        <f ca="1">100+HLOOKUP(AC$4,$D$7:$P$336,$R316,FALSE)-HLOOKUP(AC$3,$D$7:$P$336,$R316,FALSE)</f>
        <v>120.94600000000001</v>
      </c>
      <c r="AD316" s="60">
        <f ca="1">100+HLOOKUP(AD$4,$D$7:$P$336,$R316,FALSE)-HLOOKUP(AD$3,$D$7:$P$336,$R316,FALSE)</f>
        <v>120.949</v>
      </c>
      <c r="AE316" s="60">
        <f ca="1">100+HLOOKUP(AE$4,$D$7:$P$336,$R316,FALSE)-HLOOKUP(AE$3,$D$7:$P$336,$R316,FALSE)</f>
        <v>120.94800000000001</v>
      </c>
      <c r="AF316" s="60">
        <f ca="1">100+HLOOKUP(AF$4,$D$7:$P$336,$R316,FALSE)-HLOOKUP(AF$3,$D$7:$P$336,$R316,FALSE)</f>
        <v>70.673999999999992</v>
      </c>
      <c r="AG316" s="60">
        <f ca="1">100+HLOOKUP(AG$4,$D$7:$P$336,$R316,FALSE)-HLOOKUP(AG$3,$D$7:$P$336,$R316,FALSE)</f>
        <v>70.672999999999988</v>
      </c>
      <c r="AH316" s="60" t="e">
        <f>100+HLOOKUP(AH$4,$D$7:$P$336,$R316,FALSE)-HLOOKUP(AH$3,$D$7:$P$336,$R316,FALSE)</f>
        <v>#N/A</v>
      </c>
      <c r="AI316" s="60" t="e">
        <f>100+HLOOKUP(AI$4,$D$7:$P$336,$R316,FALSE)-HLOOKUP(AI$3,$D$7:$P$336,$R316,FALSE)</f>
        <v>#N/A</v>
      </c>
      <c r="AJ316" s="60" t="e">
        <f>100+HLOOKUP(AJ$4,$D$7:$P$336,$R316,FALSE)-HLOOKUP(AJ$3,$D$7:$P$336,$R316,FALSE)</f>
        <v>#N/A</v>
      </c>
      <c r="AK316" s="60" t="e">
        <f>100+HLOOKUP(AK$4,$D$7:$P$336,$R316,FALSE)-HLOOKUP(AK$3,$D$7:$P$336,$R316,FALSE)</f>
        <v>#N/A</v>
      </c>
      <c r="AL316" s="60" t="e">
        <f>100+HLOOKUP(AL$4,$D$7:$P$336,$R316,FALSE)-HLOOKUP(AL$3,$D$7:$P$336,$R316,FALSE)</f>
        <v>#N/A</v>
      </c>
      <c r="AM316" s="60" t="e">
        <f>100+HLOOKUP(AM$4,$D$7:$P$336,$R316,FALSE)-HLOOKUP(AM$3,$D$7:$P$336,$R316,FALSE)</f>
        <v>#N/A</v>
      </c>
      <c r="AN316" s="60" t="e">
        <f>100+HLOOKUP(AN$4,$D$7:$P$336,$R316,FALSE)-HLOOKUP(AN$3,$D$7:$P$336,$R316,FALSE)</f>
        <v>#N/A</v>
      </c>
      <c r="AO316" s="60" t="e">
        <f>100+HLOOKUP(AO$4,$D$7:$P$336,$R316,FALSE)-HLOOKUP(AO$3,$D$7:$P$336,$R316,FALSE)</f>
        <v>#N/A</v>
      </c>
      <c r="AP316" s="60" t="e">
        <f>100+HLOOKUP(AP$4,$D$7:$P$336,$R316,FALSE)-HLOOKUP(AP$3,$D$7:$P$336,$R316,FALSE)</f>
        <v>#N/A</v>
      </c>
      <c r="AQ316" s="60" t="e">
        <f>100+HLOOKUP(AQ$4,$D$7:$P$336,$R316,FALSE)-HLOOKUP(AQ$3,$D$7:$P$336,$R316,FALSE)</f>
        <v>#N/A</v>
      </c>
      <c r="AV316" s="60">
        <f ca="1">AV$5-S316</f>
        <v>32.516399426796426</v>
      </c>
      <c r="AW316" s="60">
        <f ca="1">AW$5-T316</f>
        <v>23.548650529757751</v>
      </c>
      <c r="AX316" s="60">
        <f ca="1">AX$5-U316</f>
        <v>-19.173084596331947</v>
      </c>
      <c r="AY316" s="60">
        <f ca="1">AY$5-V316</f>
        <v>22.930014401527814</v>
      </c>
      <c r="AZ316" s="60">
        <f ca="1">AZ$5-W316</f>
        <v>26.782482172596033</v>
      </c>
      <c r="BA316" s="60">
        <f ca="1">BA$5-X316</f>
        <v>27.791059058982697</v>
      </c>
      <c r="BB316" s="60">
        <f ca="1">BB$5-Y316</f>
        <v>22.67859272738113</v>
      </c>
      <c r="BC316" s="60">
        <f ca="1">BC$5-Z316</f>
        <v>-13.511534090117834</v>
      </c>
      <c r="BD316" s="60">
        <f ca="1">BD$5-AA316</f>
        <v>27.263518664382374</v>
      </c>
      <c r="BE316" s="60">
        <f ca="1">BE$5-AB316</f>
        <v>21.157390591992197</v>
      </c>
      <c r="BF316" s="60">
        <f ca="1">BF$5-AC316</f>
        <v>-19.928695683522932</v>
      </c>
      <c r="BG316" s="60">
        <f ca="1">BG$5-AD316</f>
        <v>-16.963741294981489</v>
      </c>
      <c r="BH316" s="60">
        <f ca="1">BH$5-AE316</f>
        <v>-21.993407769632441</v>
      </c>
      <c r="BI316" s="60">
        <f ca="1">BI$5-AF316</f>
        <v>19.934505511254812</v>
      </c>
      <c r="BJ316" s="60">
        <f ca="1">BJ$5-AG316</f>
        <v>20.766551057678782</v>
      </c>
      <c r="BK316" s="60" t="e">
        <f>BK$5-AH316</f>
        <v>#N/A</v>
      </c>
      <c r="BL316" s="60" t="e">
        <f>BL$5-AI316</f>
        <v>#N/A</v>
      </c>
      <c r="BM316" s="60" t="e">
        <f>BM$5-AJ316</f>
        <v>#N/A</v>
      </c>
      <c r="BN316" s="60" t="e">
        <f>BN$5-AK316</f>
        <v>#N/A</v>
      </c>
      <c r="BO316" s="60" t="e">
        <f>BO$5-AL316</f>
        <v>#N/A</v>
      </c>
      <c r="BP316" s="60" t="e">
        <f>BP$5-AM316</f>
        <v>#N/A</v>
      </c>
      <c r="BQ316" s="60" t="e">
        <f>BQ$5-AN316</f>
        <v>#N/A</v>
      </c>
      <c r="BR316" s="60" t="e">
        <f>BR$5-AO316</f>
        <v>#N/A</v>
      </c>
      <c r="BS316" s="60" t="e">
        <f>BS$5-AP316</f>
        <v>#N/A</v>
      </c>
      <c r="BT316" s="60" t="e">
        <f>BT$5-AQ316</f>
        <v>#N/A</v>
      </c>
      <c r="BV316" s="60" cm="1">
        <f t="array" aca="1" ref="BV316" ca="1">SQRT(SUMSQ(_xlfn._xlws.FILTER(AV316:BT316,ISNUMBER(AV316:BT316)))/COUNT(_xlfn._xlws.FILTER(AV316:BT316,ISNUMBER(AV316:BT316))))</f>
        <v>22.920111312239385</v>
      </c>
    </row>
    <row r="317" spans="3:74" x14ac:dyDescent="0.2">
      <c r="C317" s="60" t="s">
        <v>470</v>
      </c>
      <c r="D317" s="60">
        <v>0</v>
      </c>
      <c r="E317" s="60">
        <v>-4</v>
      </c>
      <c r="F317" s="60">
        <v>-8</v>
      </c>
      <c r="G317" s="60">
        <v>-13</v>
      </c>
      <c r="H317" s="60">
        <v>-17</v>
      </c>
      <c r="I317" s="60">
        <v>-21</v>
      </c>
      <c r="J317" s="60">
        <v>-25</v>
      </c>
      <c r="K317" s="60">
        <v>-29</v>
      </c>
      <c r="L317" s="60">
        <v>17</v>
      </c>
      <c r="M317" s="60">
        <v>13</v>
      </c>
      <c r="N317" s="60">
        <v>8</v>
      </c>
      <c r="O317" s="60">
        <v>4</v>
      </c>
      <c r="P317" s="60">
        <v>0</v>
      </c>
      <c r="R317" s="61">
        <f>(ROW(R317)-ROW($C$6))</f>
        <v>311</v>
      </c>
      <c r="S317" s="60">
        <f ca="1">100+HLOOKUP(S$4,$D$7:$P$336,$R317,FALSE)-HLOOKUP(S$3,$D$7:$P$336,$R317,FALSE)</f>
        <v>70</v>
      </c>
      <c r="T317" s="60">
        <f ca="1">100+HLOOKUP(T$4,$D$7:$P$336,$R317,FALSE)-HLOOKUP(T$3,$D$7:$P$336,$R317,FALSE)</f>
        <v>71</v>
      </c>
      <c r="U317" s="60">
        <f ca="1">100+HLOOKUP(U$4,$D$7:$P$336,$R317,FALSE)-HLOOKUP(U$3,$D$7:$P$336,$R317,FALSE)</f>
        <v>121</v>
      </c>
      <c r="V317" s="60">
        <f ca="1">100+HLOOKUP(V$4,$D$7:$P$336,$R317,FALSE)-HLOOKUP(V$3,$D$7:$P$336,$R317,FALSE)</f>
        <v>71</v>
      </c>
      <c r="W317" s="60">
        <f ca="1">100+HLOOKUP(W$4,$D$7:$P$336,$R317,FALSE)-HLOOKUP(W$3,$D$7:$P$336,$R317,FALSE)</f>
        <v>71</v>
      </c>
      <c r="X317" s="60">
        <f ca="1">100+HLOOKUP(X$4,$D$7:$P$336,$R317,FALSE)-HLOOKUP(X$3,$D$7:$P$336,$R317,FALSE)</f>
        <v>70</v>
      </c>
      <c r="Y317" s="60">
        <f ca="1">100+HLOOKUP(Y$4,$D$7:$P$336,$R317,FALSE)-HLOOKUP(Y$3,$D$7:$P$336,$R317,FALSE)</f>
        <v>71</v>
      </c>
      <c r="Z317" s="60">
        <f ca="1">100+HLOOKUP(Z$4,$D$7:$P$336,$R317,FALSE)-HLOOKUP(Z$3,$D$7:$P$336,$R317,FALSE)</f>
        <v>121</v>
      </c>
      <c r="AA317" s="60">
        <f ca="1">100+HLOOKUP(AA$4,$D$7:$P$336,$R317,FALSE)-HLOOKUP(AA$3,$D$7:$P$336,$R317,FALSE)</f>
        <v>71</v>
      </c>
      <c r="AB317" s="60">
        <f ca="1">100+HLOOKUP(AB$4,$D$7:$P$336,$R317,FALSE)-HLOOKUP(AB$3,$D$7:$P$336,$R317,FALSE)</f>
        <v>71</v>
      </c>
      <c r="AC317" s="60">
        <f ca="1">100+HLOOKUP(AC$4,$D$7:$P$336,$R317,FALSE)-HLOOKUP(AC$3,$D$7:$P$336,$R317,FALSE)</f>
        <v>121</v>
      </c>
      <c r="AD317" s="60">
        <f ca="1">100+HLOOKUP(AD$4,$D$7:$P$336,$R317,FALSE)-HLOOKUP(AD$3,$D$7:$P$336,$R317,FALSE)</f>
        <v>121</v>
      </c>
      <c r="AE317" s="60">
        <f ca="1">100+HLOOKUP(AE$4,$D$7:$P$336,$R317,FALSE)-HLOOKUP(AE$3,$D$7:$P$336,$R317,FALSE)</f>
        <v>121</v>
      </c>
      <c r="AF317" s="60">
        <f ca="1">100+HLOOKUP(AF$4,$D$7:$P$336,$R317,FALSE)-HLOOKUP(AF$3,$D$7:$P$336,$R317,FALSE)</f>
        <v>70</v>
      </c>
      <c r="AG317" s="60">
        <f ca="1">100+HLOOKUP(AG$4,$D$7:$P$336,$R317,FALSE)-HLOOKUP(AG$3,$D$7:$P$336,$R317,FALSE)</f>
        <v>71</v>
      </c>
      <c r="AH317" s="60" t="e">
        <f>100+HLOOKUP(AH$4,$D$7:$P$336,$R317,FALSE)-HLOOKUP(AH$3,$D$7:$P$336,$R317,FALSE)</f>
        <v>#N/A</v>
      </c>
      <c r="AI317" s="60" t="e">
        <f>100+HLOOKUP(AI$4,$D$7:$P$336,$R317,FALSE)-HLOOKUP(AI$3,$D$7:$P$336,$R317,FALSE)</f>
        <v>#N/A</v>
      </c>
      <c r="AJ317" s="60" t="e">
        <f>100+HLOOKUP(AJ$4,$D$7:$P$336,$R317,FALSE)-HLOOKUP(AJ$3,$D$7:$P$336,$R317,FALSE)</f>
        <v>#N/A</v>
      </c>
      <c r="AK317" s="60" t="e">
        <f>100+HLOOKUP(AK$4,$D$7:$P$336,$R317,FALSE)-HLOOKUP(AK$3,$D$7:$P$336,$R317,FALSE)</f>
        <v>#N/A</v>
      </c>
      <c r="AL317" s="60" t="e">
        <f>100+HLOOKUP(AL$4,$D$7:$P$336,$R317,FALSE)-HLOOKUP(AL$3,$D$7:$P$336,$R317,FALSE)</f>
        <v>#N/A</v>
      </c>
      <c r="AM317" s="60" t="e">
        <f>100+HLOOKUP(AM$4,$D$7:$P$336,$R317,FALSE)-HLOOKUP(AM$3,$D$7:$P$336,$R317,FALSE)</f>
        <v>#N/A</v>
      </c>
      <c r="AN317" s="60" t="e">
        <f>100+HLOOKUP(AN$4,$D$7:$P$336,$R317,FALSE)-HLOOKUP(AN$3,$D$7:$P$336,$R317,FALSE)</f>
        <v>#N/A</v>
      </c>
      <c r="AO317" s="60" t="e">
        <f>100+HLOOKUP(AO$4,$D$7:$P$336,$R317,FALSE)-HLOOKUP(AO$3,$D$7:$P$336,$R317,FALSE)</f>
        <v>#N/A</v>
      </c>
      <c r="AP317" s="60" t="e">
        <f>100+HLOOKUP(AP$4,$D$7:$P$336,$R317,FALSE)-HLOOKUP(AP$3,$D$7:$P$336,$R317,FALSE)</f>
        <v>#N/A</v>
      </c>
      <c r="AQ317" s="60" t="e">
        <f>100+HLOOKUP(AQ$4,$D$7:$P$336,$R317,FALSE)-HLOOKUP(AQ$3,$D$7:$P$336,$R317,FALSE)</f>
        <v>#N/A</v>
      </c>
      <c r="AV317" s="60">
        <f ca="1">AV$5-S317</f>
        <v>33.190399426796432</v>
      </c>
      <c r="AW317" s="60">
        <f ca="1">AW$5-T317</f>
        <v>23.220650529757748</v>
      </c>
      <c r="AX317" s="60">
        <f ca="1">AX$5-U317</f>
        <v>-19.224084596331949</v>
      </c>
      <c r="AY317" s="60">
        <f ca="1">AY$5-V317</f>
        <v>22.603014401527801</v>
      </c>
      <c r="AZ317" s="60">
        <f ca="1">AZ$5-W317</f>
        <v>26.45448217259603</v>
      </c>
      <c r="BA317" s="60">
        <f ca="1">BA$5-X317</f>
        <v>28.465059058982703</v>
      </c>
      <c r="BB317" s="60">
        <f ca="1">BB$5-Y317</f>
        <v>22.350592727381127</v>
      </c>
      <c r="BC317" s="60">
        <f ca="1">BC$5-Z317</f>
        <v>-13.562534090117836</v>
      </c>
      <c r="BD317" s="60">
        <f ca="1">BD$5-AA317</f>
        <v>26.936518664382362</v>
      </c>
      <c r="BE317" s="60">
        <f ca="1">BE$5-AB317</f>
        <v>20.829390591992194</v>
      </c>
      <c r="BF317" s="60">
        <f ca="1">BF$5-AC317</f>
        <v>-19.98269568352292</v>
      </c>
      <c r="BG317" s="60">
        <f ca="1">BG$5-AD317</f>
        <v>-17.014741294981491</v>
      </c>
      <c r="BH317" s="60">
        <f ca="1">BH$5-AE317</f>
        <v>-22.045407769632433</v>
      </c>
      <c r="BI317" s="60">
        <f ca="1">BI$5-AF317</f>
        <v>20.608505511254805</v>
      </c>
      <c r="BJ317" s="60">
        <f ca="1">BJ$5-AG317</f>
        <v>20.43955105767877</v>
      </c>
      <c r="BK317" s="60" t="e">
        <f>BK$5-AH317</f>
        <v>#N/A</v>
      </c>
      <c r="BL317" s="60" t="e">
        <f>BL$5-AI317</f>
        <v>#N/A</v>
      </c>
      <c r="BM317" s="60" t="e">
        <f>BM$5-AJ317</f>
        <v>#N/A</v>
      </c>
      <c r="BN317" s="60" t="e">
        <f>BN$5-AK317</f>
        <v>#N/A</v>
      </c>
      <c r="BO317" s="60" t="e">
        <f>BO$5-AL317</f>
        <v>#N/A</v>
      </c>
      <c r="BP317" s="60" t="e">
        <f>BP$5-AM317</f>
        <v>#N/A</v>
      </c>
      <c r="BQ317" s="60" t="e">
        <f>BQ$5-AN317</f>
        <v>#N/A</v>
      </c>
      <c r="BR317" s="60" t="e">
        <f>BR$5-AO317</f>
        <v>#N/A</v>
      </c>
      <c r="BS317" s="60" t="e">
        <f>BS$5-AP317</f>
        <v>#N/A</v>
      </c>
      <c r="BT317" s="60" t="e">
        <f>BT$5-AQ317</f>
        <v>#N/A</v>
      </c>
      <c r="BV317" s="60" cm="1">
        <f t="array" aca="1" ref="BV317" ca="1">SQRT(SUMSQ(_xlfn._xlws.FILTER(AV317:BT317,ISNUMBER(AV317:BT317)))/COUNT(_xlfn._xlws.FILTER(AV317:BT317,ISNUMBER(AV317:BT317))))</f>
        <v>22.936998209708474</v>
      </c>
    </row>
    <row r="318" spans="3:74" x14ac:dyDescent="0.2">
      <c r="C318" s="60" t="s">
        <v>469</v>
      </c>
      <c r="D318" s="60">
        <v>0</v>
      </c>
      <c r="E318" s="60">
        <v>2</v>
      </c>
      <c r="F318" s="60">
        <v>4</v>
      </c>
      <c r="G318" s="60">
        <v>-16</v>
      </c>
      <c r="H318" s="60">
        <v>-14</v>
      </c>
      <c r="I318" s="60">
        <v>-12</v>
      </c>
      <c r="J318" s="60">
        <v>-10</v>
      </c>
      <c r="K318" s="60">
        <v>-29</v>
      </c>
      <c r="L318" s="60">
        <v>-27</v>
      </c>
      <c r="M318" s="60">
        <v>16</v>
      </c>
      <c r="N318" s="60">
        <v>18</v>
      </c>
      <c r="O318" s="60">
        <v>-2</v>
      </c>
      <c r="P318" s="60">
        <v>0</v>
      </c>
      <c r="R318" s="61">
        <f>(ROW(R318)-ROW($C$6))</f>
        <v>312</v>
      </c>
      <c r="S318" s="60">
        <f ca="1">100+HLOOKUP(S$4,$D$7:$P$336,$R318,FALSE)-HLOOKUP(S$3,$D$7:$P$336,$R318,FALSE)</f>
        <v>70</v>
      </c>
      <c r="T318" s="60">
        <f ca="1">100+HLOOKUP(T$4,$D$7:$P$336,$R318,FALSE)-HLOOKUP(T$3,$D$7:$P$336,$R318,FALSE)</f>
        <v>92</v>
      </c>
      <c r="U318" s="60">
        <f ca="1">100+HLOOKUP(U$4,$D$7:$P$336,$R318,FALSE)-HLOOKUP(U$3,$D$7:$P$336,$R318,FALSE)</f>
        <v>71</v>
      </c>
      <c r="V318" s="60">
        <f ca="1">100+HLOOKUP(V$4,$D$7:$P$336,$R318,FALSE)-HLOOKUP(V$3,$D$7:$P$336,$R318,FALSE)</f>
        <v>70</v>
      </c>
      <c r="W318" s="60">
        <f ca="1">100+HLOOKUP(W$4,$D$7:$P$336,$R318,FALSE)-HLOOKUP(W$3,$D$7:$P$336,$R318,FALSE)</f>
        <v>71</v>
      </c>
      <c r="X318" s="60">
        <f ca="1">100+HLOOKUP(X$4,$D$7:$P$336,$R318,FALSE)-HLOOKUP(X$3,$D$7:$P$336,$R318,FALSE)</f>
        <v>70</v>
      </c>
      <c r="Y318" s="60">
        <f ca="1">100+HLOOKUP(Y$4,$D$7:$P$336,$R318,FALSE)-HLOOKUP(Y$3,$D$7:$P$336,$R318,FALSE)</f>
        <v>92</v>
      </c>
      <c r="Z318" s="60">
        <f ca="1">100+HLOOKUP(Z$4,$D$7:$P$336,$R318,FALSE)-HLOOKUP(Z$3,$D$7:$P$336,$R318,FALSE)</f>
        <v>71</v>
      </c>
      <c r="AA318" s="60">
        <f ca="1">100+HLOOKUP(AA$4,$D$7:$P$336,$R318,FALSE)-HLOOKUP(AA$3,$D$7:$P$336,$R318,FALSE)</f>
        <v>70</v>
      </c>
      <c r="AB318" s="60">
        <f ca="1">100+HLOOKUP(AB$4,$D$7:$P$336,$R318,FALSE)-HLOOKUP(AB$3,$D$7:$P$336,$R318,FALSE)</f>
        <v>71</v>
      </c>
      <c r="AC318" s="60">
        <f ca="1">100+HLOOKUP(AC$4,$D$7:$P$336,$R318,FALSE)-HLOOKUP(AC$3,$D$7:$P$336,$R318,FALSE)</f>
        <v>112</v>
      </c>
      <c r="AD318" s="60">
        <f ca="1">100+HLOOKUP(AD$4,$D$7:$P$336,$R318,FALSE)-HLOOKUP(AD$3,$D$7:$P$336,$R318,FALSE)</f>
        <v>112</v>
      </c>
      <c r="AE318" s="60">
        <f ca="1">100+HLOOKUP(AE$4,$D$7:$P$336,$R318,FALSE)-HLOOKUP(AE$3,$D$7:$P$336,$R318,FALSE)</f>
        <v>112</v>
      </c>
      <c r="AF318" s="60">
        <f ca="1">100+HLOOKUP(AF$4,$D$7:$P$336,$R318,FALSE)-HLOOKUP(AF$3,$D$7:$P$336,$R318,FALSE)</f>
        <v>111</v>
      </c>
      <c r="AG318" s="60">
        <f ca="1">100+HLOOKUP(AG$4,$D$7:$P$336,$R318,FALSE)-HLOOKUP(AG$3,$D$7:$P$336,$R318,FALSE)</f>
        <v>70</v>
      </c>
      <c r="AH318" s="60" t="e">
        <f>100+HLOOKUP(AH$4,$D$7:$P$336,$R318,FALSE)-HLOOKUP(AH$3,$D$7:$P$336,$R318,FALSE)</f>
        <v>#N/A</v>
      </c>
      <c r="AI318" s="60" t="e">
        <f>100+HLOOKUP(AI$4,$D$7:$P$336,$R318,FALSE)-HLOOKUP(AI$3,$D$7:$P$336,$R318,FALSE)</f>
        <v>#N/A</v>
      </c>
      <c r="AJ318" s="60" t="e">
        <f>100+HLOOKUP(AJ$4,$D$7:$P$336,$R318,FALSE)-HLOOKUP(AJ$3,$D$7:$P$336,$R318,FALSE)</f>
        <v>#N/A</v>
      </c>
      <c r="AK318" s="60" t="e">
        <f>100+HLOOKUP(AK$4,$D$7:$P$336,$R318,FALSE)-HLOOKUP(AK$3,$D$7:$P$336,$R318,FALSE)</f>
        <v>#N/A</v>
      </c>
      <c r="AL318" s="60" t="e">
        <f>100+HLOOKUP(AL$4,$D$7:$P$336,$R318,FALSE)-HLOOKUP(AL$3,$D$7:$P$336,$R318,FALSE)</f>
        <v>#N/A</v>
      </c>
      <c r="AM318" s="60" t="e">
        <f>100+HLOOKUP(AM$4,$D$7:$P$336,$R318,FALSE)-HLOOKUP(AM$3,$D$7:$P$336,$R318,FALSE)</f>
        <v>#N/A</v>
      </c>
      <c r="AN318" s="60" t="e">
        <f>100+HLOOKUP(AN$4,$D$7:$P$336,$R318,FALSE)-HLOOKUP(AN$3,$D$7:$P$336,$R318,FALSE)</f>
        <v>#N/A</v>
      </c>
      <c r="AO318" s="60" t="e">
        <f>100+HLOOKUP(AO$4,$D$7:$P$336,$R318,FALSE)-HLOOKUP(AO$3,$D$7:$P$336,$R318,FALSE)</f>
        <v>#N/A</v>
      </c>
      <c r="AP318" s="60" t="e">
        <f>100+HLOOKUP(AP$4,$D$7:$P$336,$R318,FALSE)-HLOOKUP(AP$3,$D$7:$P$336,$R318,FALSE)</f>
        <v>#N/A</v>
      </c>
      <c r="AQ318" s="60" t="e">
        <f>100+HLOOKUP(AQ$4,$D$7:$P$336,$R318,FALSE)-HLOOKUP(AQ$3,$D$7:$P$336,$R318,FALSE)</f>
        <v>#N/A</v>
      </c>
      <c r="AV318" s="60">
        <f ca="1">AV$5-S318</f>
        <v>33.190399426796432</v>
      </c>
      <c r="AW318" s="60">
        <f ca="1">AW$5-T318</f>
        <v>2.2206505297577479</v>
      </c>
      <c r="AX318" s="60">
        <f ca="1">AX$5-U318</f>
        <v>30.775915403668051</v>
      </c>
      <c r="AY318" s="60">
        <f ca="1">AY$5-V318</f>
        <v>23.603014401527801</v>
      </c>
      <c r="AZ318" s="60">
        <f ca="1">AZ$5-W318</f>
        <v>26.45448217259603</v>
      </c>
      <c r="BA318" s="60">
        <f ca="1">BA$5-X318</f>
        <v>28.465059058982703</v>
      </c>
      <c r="BB318" s="60">
        <f ca="1">BB$5-Y318</f>
        <v>1.3505927273811267</v>
      </c>
      <c r="BC318" s="60">
        <f ca="1">BC$5-Z318</f>
        <v>36.437465909882164</v>
      </c>
      <c r="BD318" s="60">
        <f ca="1">BD$5-AA318</f>
        <v>27.936518664382362</v>
      </c>
      <c r="BE318" s="60">
        <f ca="1">BE$5-AB318</f>
        <v>20.829390591992194</v>
      </c>
      <c r="BF318" s="60">
        <f ca="1">BF$5-AC318</f>
        <v>-10.98269568352292</v>
      </c>
      <c r="BG318" s="60">
        <f ca="1">BG$5-AD318</f>
        <v>-8.0147412949814907</v>
      </c>
      <c r="BH318" s="60">
        <f ca="1">BH$5-AE318</f>
        <v>-13.045407769632433</v>
      </c>
      <c r="BI318" s="60">
        <f ca="1">BI$5-AF318</f>
        <v>-20.391494488745195</v>
      </c>
      <c r="BJ318" s="60">
        <f ca="1">BJ$5-AG318</f>
        <v>21.43955105767877</v>
      </c>
      <c r="BK318" s="60" t="e">
        <f>BK$5-AH318</f>
        <v>#N/A</v>
      </c>
      <c r="BL318" s="60" t="e">
        <f>BL$5-AI318</f>
        <v>#N/A</v>
      </c>
      <c r="BM318" s="60" t="e">
        <f>BM$5-AJ318</f>
        <v>#N/A</v>
      </c>
      <c r="BN318" s="60" t="e">
        <f>BN$5-AK318</f>
        <v>#N/A</v>
      </c>
      <c r="BO318" s="60" t="e">
        <f>BO$5-AL318</f>
        <v>#N/A</v>
      </c>
      <c r="BP318" s="60" t="e">
        <f>BP$5-AM318</f>
        <v>#N/A</v>
      </c>
      <c r="BQ318" s="60" t="e">
        <f>BQ$5-AN318</f>
        <v>#N/A</v>
      </c>
      <c r="BR318" s="60" t="e">
        <f>BR$5-AO318</f>
        <v>#N/A</v>
      </c>
      <c r="BS318" s="60" t="e">
        <f>BS$5-AP318</f>
        <v>#N/A</v>
      </c>
      <c r="BT318" s="60" t="e">
        <f>BT$5-AQ318</f>
        <v>#N/A</v>
      </c>
      <c r="BV318" s="60" cm="1">
        <f t="array" aca="1" ref="BV318" ca="1">SQRT(SUMSQ(_xlfn._xlws.FILTER(AV318:BT318,ISNUMBER(AV318:BT318)))/COUNT(_xlfn._xlws.FILTER(AV318:BT318,ISNUMBER(AV318:BT318))))</f>
        <v>22.942280805673406</v>
      </c>
    </row>
    <row r="319" spans="3:74" x14ac:dyDescent="0.2">
      <c r="C319" s="60" t="s">
        <v>372</v>
      </c>
      <c r="D319" s="60">
        <v>0</v>
      </c>
      <c r="E319" s="60">
        <v>1.9550000000000001</v>
      </c>
      <c r="F319" s="60">
        <v>3.91</v>
      </c>
      <c r="G319" s="60">
        <v>-4.8879999999999999</v>
      </c>
      <c r="H319" s="60">
        <v>-13.686</v>
      </c>
      <c r="I319" s="60">
        <v>-11.731</v>
      </c>
      <c r="J319" s="60">
        <v>-9.7759999999999998</v>
      </c>
      <c r="K319" s="60">
        <v>-18.574000000000002</v>
      </c>
      <c r="L319" s="60">
        <v>-27.372</v>
      </c>
      <c r="M319" s="60">
        <v>15.641</v>
      </c>
      <c r="N319" s="60">
        <v>17.596</v>
      </c>
      <c r="O319" s="60">
        <v>8.798</v>
      </c>
      <c r="P319" s="60">
        <v>0</v>
      </c>
      <c r="R319" s="61">
        <f>(ROW(R319)-ROW($C$6))</f>
        <v>313</v>
      </c>
      <c r="S319" s="60">
        <f ca="1">100+HLOOKUP(S$4,$D$7:$P$336,$R319,FALSE)-HLOOKUP(S$3,$D$7:$P$336,$R319,FALSE)</f>
        <v>70.672999999999988</v>
      </c>
      <c r="T319" s="60">
        <f ca="1">100+HLOOKUP(T$4,$D$7:$P$336,$R319,FALSE)-HLOOKUP(T$3,$D$7:$P$336,$R319,FALSE)</f>
        <v>81.426000000000002</v>
      </c>
      <c r="U319" s="60">
        <f ca="1">100+HLOOKUP(U$4,$D$7:$P$336,$R319,FALSE)-HLOOKUP(U$3,$D$7:$P$336,$R319,FALSE)</f>
        <v>70.673000000000002</v>
      </c>
      <c r="V319" s="60">
        <f ca="1">100+HLOOKUP(V$4,$D$7:$P$336,$R319,FALSE)-HLOOKUP(V$3,$D$7:$P$336,$R319,FALSE)</f>
        <v>70.673000000000002</v>
      </c>
      <c r="W319" s="60">
        <f ca="1">100+HLOOKUP(W$4,$D$7:$P$336,$R319,FALSE)-HLOOKUP(W$3,$D$7:$P$336,$R319,FALSE)</f>
        <v>81.426000000000002</v>
      </c>
      <c r="X319" s="60">
        <f ca="1">100+HLOOKUP(X$4,$D$7:$P$336,$R319,FALSE)-HLOOKUP(X$3,$D$7:$P$336,$R319,FALSE)</f>
        <v>70.672999999999988</v>
      </c>
      <c r="Y319" s="60">
        <f ca="1">100+HLOOKUP(Y$4,$D$7:$P$336,$R319,FALSE)-HLOOKUP(Y$3,$D$7:$P$336,$R319,FALSE)</f>
        <v>81.426000000000002</v>
      </c>
      <c r="Z319" s="60">
        <f ca="1">100+HLOOKUP(Z$4,$D$7:$P$336,$R319,FALSE)-HLOOKUP(Z$3,$D$7:$P$336,$R319,FALSE)</f>
        <v>70.673000000000002</v>
      </c>
      <c r="AA319" s="60">
        <f ca="1">100+HLOOKUP(AA$4,$D$7:$P$336,$R319,FALSE)-HLOOKUP(AA$3,$D$7:$P$336,$R319,FALSE)</f>
        <v>70.673000000000002</v>
      </c>
      <c r="AB319" s="60">
        <f ca="1">100+HLOOKUP(AB$4,$D$7:$P$336,$R319,FALSE)-HLOOKUP(AB$3,$D$7:$P$336,$R319,FALSE)</f>
        <v>81.426000000000002</v>
      </c>
      <c r="AC319" s="60">
        <f ca="1">100+HLOOKUP(AC$4,$D$7:$P$336,$R319,FALSE)-HLOOKUP(AC$3,$D$7:$P$336,$R319,FALSE)</f>
        <v>111.73100000000001</v>
      </c>
      <c r="AD319" s="60">
        <f ca="1">100+HLOOKUP(AD$4,$D$7:$P$336,$R319,FALSE)-HLOOKUP(AD$3,$D$7:$P$336,$R319,FALSE)</f>
        <v>122.48400000000001</v>
      </c>
      <c r="AE319" s="60">
        <f ca="1">100+HLOOKUP(AE$4,$D$7:$P$336,$R319,FALSE)-HLOOKUP(AE$3,$D$7:$P$336,$R319,FALSE)</f>
        <v>111.73099999999999</v>
      </c>
      <c r="AF319" s="60">
        <f ca="1">100+HLOOKUP(AF$4,$D$7:$P$336,$R319,FALSE)-HLOOKUP(AF$3,$D$7:$P$336,$R319,FALSE)</f>
        <v>122.48399999999999</v>
      </c>
      <c r="AG319" s="60">
        <f ca="1">100+HLOOKUP(AG$4,$D$7:$P$336,$R319,FALSE)-HLOOKUP(AG$3,$D$7:$P$336,$R319,FALSE)</f>
        <v>70.673000000000002</v>
      </c>
      <c r="AH319" s="60" t="e">
        <f>100+HLOOKUP(AH$4,$D$7:$P$336,$R319,FALSE)-HLOOKUP(AH$3,$D$7:$P$336,$R319,FALSE)</f>
        <v>#N/A</v>
      </c>
      <c r="AI319" s="60" t="e">
        <f>100+HLOOKUP(AI$4,$D$7:$P$336,$R319,FALSE)-HLOOKUP(AI$3,$D$7:$P$336,$R319,FALSE)</f>
        <v>#N/A</v>
      </c>
      <c r="AJ319" s="60" t="e">
        <f>100+HLOOKUP(AJ$4,$D$7:$P$336,$R319,FALSE)-HLOOKUP(AJ$3,$D$7:$P$336,$R319,FALSE)</f>
        <v>#N/A</v>
      </c>
      <c r="AK319" s="60" t="e">
        <f>100+HLOOKUP(AK$4,$D$7:$P$336,$R319,FALSE)-HLOOKUP(AK$3,$D$7:$P$336,$R319,FALSE)</f>
        <v>#N/A</v>
      </c>
      <c r="AL319" s="60" t="e">
        <f>100+HLOOKUP(AL$4,$D$7:$P$336,$R319,FALSE)-HLOOKUP(AL$3,$D$7:$P$336,$R319,FALSE)</f>
        <v>#N/A</v>
      </c>
      <c r="AM319" s="60" t="e">
        <f>100+HLOOKUP(AM$4,$D$7:$P$336,$R319,FALSE)-HLOOKUP(AM$3,$D$7:$P$336,$R319,FALSE)</f>
        <v>#N/A</v>
      </c>
      <c r="AN319" s="60" t="e">
        <f>100+HLOOKUP(AN$4,$D$7:$P$336,$R319,FALSE)-HLOOKUP(AN$3,$D$7:$P$336,$R319,FALSE)</f>
        <v>#N/A</v>
      </c>
      <c r="AO319" s="60" t="e">
        <f>100+HLOOKUP(AO$4,$D$7:$P$336,$R319,FALSE)-HLOOKUP(AO$3,$D$7:$P$336,$R319,FALSE)</f>
        <v>#N/A</v>
      </c>
      <c r="AP319" s="60" t="e">
        <f>100+HLOOKUP(AP$4,$D$7:$P$336,$R319,FALSE)-HLOOKUP(AP$3,$D$7:$P$336,$R319,FALSE)</f>
        <v>#N/A</v>
      </c>
      <c r="AQ319" s="60" t="e">
        <f>100+HLOOKUP(AQ$4,$D$7:$P$336,$R319,FALSE)-HLOOKUP(AQ$3,$D$7:$P$336,$R319,FALSE)</f>
        <v>#N/A</v>
      </c>
      <c r="AV319" s="60">
        <f ca="1">AV$5-S319</f>
        <v>32.517399426796445</v>
      </c>
      <c r="AW319" s="60">
        <f ca="1">AW$5-T319</f>
        <v>12.794650529757746</v>
      </c>
      <c r="AX319" s="60">
        <f ca="1">AX$5-U319</f>
        <v>31.10291540366805</v>
      </c>
      <c r="AY319" s="60">
        <f ca="1">AY$5-V319</f>
        <v>22.930014401527799</v>
      </c>
      <c r="AZ319" s="60">
        <f ca="1">AZ$5-W319</f>
        <v>16.028482172596028</v>
      </c>
      <c r="BA319" s="60">
        <f ca="1">BA$5-X319</f>
        <v>27.792059058982716</v>
      </c>
      <c r="BB319" s="60">
        <f ca="1">BB$5-Y319</f>
        <v>11.924592727381125</v>
      </c>
      <c r="BC319" s="60">
        <f ca="1">BC$5-Z319</f>
        <v>36.764465909882162</v>
      </c>
      <c r="BD319" s="60">
        <f ca="1">BD$5-AA319</f>
        <v>27.26351866438236</v>
      </c>
      <c r="BE319" s="60">
        <f ca="1">BE$5-AB319</f>
        <v>10.403390591992192</v>
      </c>
      <c r="BF319" s="60">
        <f ca="1">BF$5-AC319</f>
        <v>-10.713695683522928</v>
      </c>
      <c r="BG319" s="60">
        <f ca="1">BG$5-AD319</f>
        <v>-18.4987412949815</v>
      </c>
      <c r="BH319" s="60">
        <f ca="1">BH$5-AE319</f>
        <v>-12.776407769632428</v>
      </c>
      <c r="BI319" s="60">
        <f ca="1">BI$5-AF319</f>
        <v>-31.87549448874519</v>
      </c>
      <c r="BJ319" s="60">
        <f ca="1">BJ$5-AG319</f>
        <v>20.766551057678768</v>
      </c>
      <c r="BK319" s="60" t="e">
        <f>BK$5-AH319</f>
        <v>#N/A</v>
      </c>
      <c r="BL319" s="60" t="e">
        <f>BL$5-AI319</f>
        <v>#N/A</v>
      </c>
      <c r="BM319" s="60" t="e">
        <f>BM$5-AJ319</f>
        <v>#N/A</v>
      </c>
      <c r="BN319" s="60" t="e">
        <f>BN$5-AK319</f>
        <v>#N/A</v>
      </c>
      <c r="BO319" s="60" t="e">
        <f>BO$5-AL319</f>
        <v>#N/A</v>
      </c>
      <c r="BP319" s="60" t="e">
        <f>BP$5-AM319</f>
        <v>#N/A</v>
      </c>
      <c r="BQ319" s="60" t="e">
        <f>BQ$5-AN319</f>
        <v>#N/A</v>
      </c>
      <c r="BR319" s="60" t="e">
        <f>BR$5-AO319</f>
        <v>#N/A</v>
      </c>
      <c r="BS319" s="60" t="e">
        <f>BS$5-AP319</f>
        <v>#N/A</v>
      </c>
      <c r="BT319" s="60" t="e">
        <f>BT$5-AQ319</f>
        <v>#N/A</v>
      </c>
      <c r="BV319" s="60" cm="1">
        <f t="array" aca="1" ref="BV319" ca="1">SQRT(SUMSQ(_xlfn._xlws.FILTER(AV319:BT319,ISNUMBER(AV319:BT319)))/COUNT(_xlfn._xlws.FILTER(AV319:BT319,ISNUMBER(AV319:BT319))))</f>
        <v>23.318724929792744</v>
      </c>
    </row>
    <row r="320" spans="3:74" x14ac:dyDescent="0.2">
      <c r="C320" s="60" t="s">
        <v>268</v>
      </c>
      <c r="D320" s="60">
        <v>0</v>
      </c>
      <c r="E320" s="60">
        <v>2</v>
      </c>
      <c r="F320" s="60">
        <v>4</v>
      </c>
      <c r="G320" s="60">
        <v>-16</v>
      </c>
      <c r="H320" s="60">
        <v>-14</v>
      </c>
      <c r="I320" s="60">
        <v>-12</v>
      </c>
      <c r="J320" s="60">
        <v>-10</v>
      </c>
      <c r="K320" s="60">
        <v>-30</v>
      </c>
      <c r="L320" s="60">
        <v>-28</v>
      </c>
      <c r="M320" s="60">
        <v>16</v>
      </c>
      <c r="N320" s="60">
        <v>18</v>
      </c>
      <c r="O320" s="60">
        <v>-2</v>
      </c>
      <c r="P320" s="60">
        <v>0</v>
      </c>
      <c r="R320" s="61">
        <f>(ROW(R320)-ROW($C$6))</f>
        <v>314</v>
      </c>
      <c r="S320" s="60">
        <f ca="1">100+HLOOKUP(S$4,$D$7:$P$336,$R320,FALSE)-HLOOKUP(S$3,$D$7:$P$336,$R320,FALSE)</f>
        <v>70</v>
      </c>
      <c r="T320" s="60">
        <f ca="1">100+HLOOKUP(T$4,$D$7:$P$336,$R320,FALSE)-HLOOKUP(T$3,$D$7:$P$336,$R320,FALSE)</f>
        <v>92</v>
      </c>
      <c r="U320" s="60">
        <f ca="1">100+HLOOKUP(U$4,$D$7:$P$336,$R320,FALSE)-HLOOKUP(U$3,$D$7:$P$336,$R320,FALSE)</f>
        <v>70</v>
      </c>
      <c r="V320" s="60">
        <f ca="1">100+HLOOKUP(V$4,$D$7:$P$336,$R320,FALSE)-HLOOKUP(V$3,$D$7:$P$336,$R320,FALSE)</f>
        <v>70</v>
      </c>
      <c r="W320" s="60">
        <f ca="1">100+HLOOKUP(W$4,$D$7:$P$336,$R320,FALSE)-HLOOKUP(W$3,$D$7:$P$336,$R320,FALSE)</f>
        <v>70</v>
      </c>
      <c r="X320" s="60">
        <f ca="1">100+HLOOKUP(X$4,$D$7:$P$336,$R320,FALSE)-HLOOKUP(X$3,$D$7:$P$336,$R320,FALSE)</f>
        <v>70</v>
      </c>
      <c r="Y320" s="60">
        <f ca="1">100+HLOOKUP(Y$4,$D$7:$P$336,$R320,FALSE)-HLOOKUP(Y$3,$D$7:$P$336,$R320,FALSE)</f>
        <v>92</v>
      </c>
      <c r="Z320" s="60">
        <f ca="1">100+HLOOKUP(Z$4,$D$7:$P$336,$R320,FALSE)-HLOOKUP(Z$3,$D$7:$P$336,$R320,FALSE)</f>
        <v>70</v>
      </c>
      <c r="AA320" s="60">
        <f ca="1">100+HLOOKUP(AA$4,$D$7:$P$336,$R320,FALSE)-HLOOKUP(AA$3,$D$7:$P$336,$R320,FALSE)</f>
        <v>70</v>
      </c>
      <c r="AB320" s="60">
        <f ca="1">100+HLOOKUP(AB$4,$D$7:$P$336,$R320,FALSE)-HLOOKUP(AB$3,$D$7:$P$336,$R320,FALSE)</f>
        <v>70</v>
      </c>
      <c r="AC320" s="60">
        <f ca="1">100+HLOOKUP(AC$4,$D$7:$P$336,$R320,FALSE)-HLOOKUP(AC$3,$D$7:$P$336,$R320,FALSE)</f>
        <v>112</v>
      </c>
      <c r="AD320" s="60">
        <f ca="1">100+HLOOKUP(AD$4,$D$7:$P$336,$R320,FALSE)-HLOOKUP(AD$3,$D$7:$P$336,$R320,FALSE)</f>
        <v>112</v>
      </c>
      <c r="AE320" s="60">
        <f ca="1">100+HLOOKUP(AE$4,$D$7:$P$336,$R320,FALSE)-HLOOKUP(AE$3,$D$7:$P$336,$R320,FALSE)</f>
        <v>112</v>
      </c>
      <c r="AF320" s="60">
        <f ca="1">100+HLOOKUP(AF$4,$D$7:$P$336,$R320,FALSE)-HLOOKUP(AF$3,$D$7:$P$336,$R320,FALSE)</f>
        <v>112</v>
      </c>
      <c r="AG320" s="60">
        <f ca="1">100+HLOOKUP(AG$4,$D$7:$P$336,$R320,FALSE)-HLOOKUP(AG$3,$D$7:$P$336,$R320,FALSE)</f>
        <v>70</v>
      </c>
      <c r="AH320" s="60" t="e">
        <f>100+HLOOKUP(AH$4,$D$7:$P$336,$R320,FALSE)-HLOOKUP(AH$3,$D$7:$P$336,$R320,FALSE)</f>
        <v>#N/A</v>
      </c>
      <c r="AI320" s="60" t="e">
        <f>100+HLOOKUP(AI$4,$D$7:$P$336,$R320,FALSE)-HLOOKUP(AI$3,$D$7:$P$336,$R320,FALSE)</f>
        <v>#N/A</v>
      </c>
      <c r="AJ320" s="60" t="e">
        <f>100+HLOOKUP(AJ$4,$D$7:$P$336,$R320,FALSE)-HLOOKUP(AJ$3,$D$7:$P$336,$R320,FALSE)</f>
        <v>#N/A</v>
      </c>
      <c r="AK320" s="60" t="e">
        <f>100+HLOOKUP(AK$4,$D$7:$P$336,$R320,FALSE)-HLOOKUP(AK$3,$D$7:$P$336,$R320,FALSE)</f>
        <v>#N/A</v>
      </c>
      <c r="AL320" s="60" t="e">
        <f>100+HLOOKUP(AL$4,$D$7:$P$336,$R320,FALSE)-HLOOKUP(AL$3,$D$7:$P$336,$R320,FALSE)</f>
        <v>#N/A</v>
      </c>
      <c r="AM320" s="60" t="e">
        <f>100+HLOOKUP(AM$4,$D$7:$P$336,$R320,FALSE)-HLOOKUP(AM$3,$D$7:$P$336,$R320,FALSE)</f>
        <v>#N/A</v>
      </c>
      <c r="AN320" s="60" t="e">
        <f>100+HLOOKUP(AN$4,$D$7:$P$336,$R320,FALSE)-HLOOKUP(AN$3,$D$7:$P$336,$R320,FALSE)</f>
        <v>#N/A</v>
      </c>
      <c r="AO320" s="60" t="e">
        <f>100+HLOOKUP(AO$4,$D$7:$P$336,$R320,FALSE)-HLOOKUP(AO$3,$D$7:$P$336,$R320,FALSE)</f>
        <v>#N/A</v>
      </c>
      <c r="AP320" s="60" t="e">
        <f>100+HLOOKUP(AP$4,$D$7:$P$336,$R320,FALSE)-HLOOKUP(AP$3,$D$7:$P$336,$R320,FALSE)</f>
        <v>#N/A</v>
      </c>
      <c r="AQ320" s="60" t="e">
        <f>100+HLOOKUP(AQ$4,$D$7:$P$336,$R320,FALSE)-HLOOKUP(AQ$3,$D$7:$P$336,$R320,FALSE)</f>
        <v>#N/A</v>
      </c>
      <c r="AV320" s="60">
        <f ca="1">AV$5-S320</f>
        <v>33.190399426796432</v>
      </c>
      <c r="AW320" s="60">
        <f ca="1">AW$5-T320</f>
        <v>2.2206505297577479</v>
      </c>
      <c r="AX320" s="60">
        <f ca="1">AX$5-U320</f>
        <v>31.775915403668051</v>
      </c>
      <c r="AY320" s="60">
        <f ca="1">AY$5-V320</f>
        <v>23.603014401527801</v>
      </c>
      <c r="AZ320" s="60">
        <f ca="1">AZ$5-W320</f>
        <v>27.45448217259603</v>
      </c>
      <c r="BA320" s="60">
        <f ca="1">BA$5-X320</f>
        <v>28.465059058982703</v>
      </c>
      <c r="BB320" s="60">
        <f ca="1">BB$5-Y320</f>
        <v>1.3505927273811267</v>
      </c>
      <c r="BC320" s="60">
        <f ca="1">BC$5-Z320</f>
        <v>37.437465909882164</v>
      </c>
      <c r="BD320" s="60">
        <f ca="1">BD$5-AA320</f>
        <v>27.936518664382362</v>
      </c>
      <c r="BE320" s="60">
        <f ca="1">BE$5-AB320</f>
        <v>21.829390591992194</v>
      </c>
      <c r="BF320" s="60">
        <f ca="1">BF$5-AC320</f>
        <v>-10.98269568352292</v>
      </c>
      <c r="BG320" s="60">
        <f ca="1">BG$5-AD320</f>
        <v>-8.0147412949814907</v>
      </c>
      <c r="BH320" s="60">
        <f ca="1">BH$5-AE320</f>
        <v>-13.045407769632433</v>
      </c>
      <c r="BI320" s="60">
        <f ca="1">BI$5-AF320</f>
        <v>-21.391494488745195</v>
      </c>
      <c r="BJ320" s="60">
        <f ca="1">BJ$5-AG320</f>
        <v>21.43955105767877</v>
      </c>
      <c r="BK320" s="60" t="e">
        <f>BK$5-AH320</f>
        <v>#N/A</v>
      </c>
      <c r="BL320" s="60" t="e">
        <f>BL$5-AI320</f>
        <v>#N/A</v>
      </c>
      <c r="BM320" s="60" t="e">
        <f>BM$5-AJ320</f>
        <v>#N/A</v>
      </c>
      <c r="BN320" s="60" t="e">
        <f>BN$5-AK320</f>
        <v>#N/A</v>
      </c>
      <c r="BO320" s="60" t="e">
        <f>BO$5-AL320</f>
        <v>#N/A</v>
      </c>
      <c r="BP320" s="60" t="e">
        <f>BP$5-AM320</f>
        <v>#N/A</v>
      </c>
      <c r="BQ320" s="60" t="e">
        <f>BQ$5-AN320</f>
        <v>#N/A</v>
      </c>
      <c r="BR320" s="60" t="e">
        <f>BR$5-AO320</f>
        <v>#N/A</v>
      </c>
      <c r="BS320" s="60" t="e">
        <f>BS$5-AP320</f>
        <v>#N/A</v>
      </c>
      <c r="BT320" s="60" t="e">
        <f>BT$5-AQ320</f>
        <v>#N/A</v>
      </c>
      <c r="BV320" s="60" cm="1">
        <f t="array" aca="1" ref="BV320" ca="1">SQRT(SUMSQ(_xlfn._xlws.FILTER(AV320:BT320,ISNUMBER(AV320:BT320)))/COUNT(_xlfn._xlws.FILTER(AV320:BT320,ISNUMBER(AV320:BT320))))</f>
        <v>23.338096502827479</v>
      </c>
    </row>
    <row r="321" spans="3:74" x14ac:dyDescent="0.2">
      <c r="C321" s="60" t="s">
        <v>387</v>
      </c>
      <c r="D321" s="60">
        <v>0</v>
      </c>
      <c r="E321" s="60">
        <v>2</v>
      </c>
      <c r="F321" s="60">
        <v>-5</v>
      </c>
      <c r="G321" s="60">
        <v>-5</v>
      </c>
      <c r="H321" s="60">
        <v>-12</v>
      </c>
      <c r="I321" s="60">
        <v>0</v>
      </c>
      <c r="J321" s="60">
        <v>-16</v>
      </c>
      <c r="K321" s="60">
        <v>-16</v>
      </c>
      <c r="L321" s="60">
        <v>-15</v>
      </c>
      <c r="M321" s="60">
        <v>20</v>
      </c>
      <c r="N321" s="60">
        <v>4</v>
      </c>
      <c r="O321" s="60">
        <v>25</v>
      </c>
      <c r="P321" s="60">
        <v>0</v>
      </c>
      <c r="R321" s="61">
        <f>(ROW(R321)-ROW($C$6))</f>
        <v>315</v>
      </c>
      <c r="S321" s="60">
        <f ca="1">100+HLOOKUP(S$4,$D$7:$P$336,$R321,FALSE)-HLOOKUP(S$3,$D$7:$P$336,$R321,FALSE)</f>
        <v>68</v>
      </c>
      <c r="T321" s="60">
        <f ca="1">100+HLOOKUP(T$4,$D$7:$P$336,$R321,FALSE)-HLOOKUP(T$3,$D$7:$P$336,$R321,FALSE)</f>
        <v>59</v>
      </c>
      <c r="U321" s="60">
        <f ca="1">100+HLOOKUP(U$4,$D$7:$P$336,$R321,FALSE)-HLOOKUP(U$3,$D$7:$P$336,$R321,FALSE)</f>
        <v>83</v>
      </c>
      <c r="V321" s="60">
        <f ca="1">100+HLOOKUP(V$4,$D$7:$P$336,$R321,FALSE)-HLOOKUP(V$3,$D$7:$P$336,$R321,FALSE)</f>
        <v>96</v>
      </c>
      <c r="W321" s="60">
        <f ca="1">100+HLOOKUP(W$4,$D$7:$P$336,$R321,FALSE)-HLOOKUP(W$3,$D$7:$P$336,$R321,FALSE)</f>
        <v>84</v>
      </c>
      <c r="X321" s="60">
        <f ca="1">100+HLOOKUP(X$4,$D$7:$P$336,$R321,FALSE)-HLOOKUP(X$3,$D$7:$P$336,$R321,FALSE)</f>
        <v>68</v>
      </c>
      <c r="Y321" s="60">
        <f ca="1">100+HLOOKUP(Y$4,$D$7:$P$336,$R321,FALSE)-HLOOKUP(Y$3,$D$7:$P$336,$R321,FALSE)</f>
        <v>59</v>
      </c>
      <c r="Z321" s="60">
        <f ca="1">100+HLOOKUP(Z$4,$D$7:$P$336,$R321,FALSE)-HLOOKUP(Z$3,$D$7:$P$336,$R321,FALSE)</f>
        <v>83</v>
      </c>
      <c r="AA321" s="60">
        <f ca="1">100+HLOOKUP(AA$4,$D$7:$P$336,$R321,FALSE)-HLOOKUP(AA$3,$D$7:$P$336,$R321,FALSE)</f>
        <v>96</v>
      </c>
      <c r="AB321" s="60">
        <f ca="1">100+HLOOKUP(AB$4,$D$7:$P$336,$R321,FALSE)-HLOOKUP(AB$3,$D$7:$P$336,$R321,FALSE)</f>
        <v>84</v>
      </c>
      <c r="AC321" s="60">
        <f ca="1">100+HLOOKUP(AC$4,$D$7:$P$336,$R321,FALSE)-HLOOKUP(AC$3,$D$7:$P$336,$R321,FALSE)</f>
        <v>125</v>
      </c>
      <c r="AD321" s="60">
        <f ca="1">100+HLOOKUP(AD$4,$D$7:$P$336,$R321,FALSE)-HLOOKUP(AD$3,$D$7:$P$336,$R321,FALSE)</f>
        <v>137</v>
      </c>
      <c r="AE321" s="60">
        <f ca="1">100+HLOOKUP(AE$4,$D$7:$P$336,$R321,FALSE)-HLOOKUP(AE$3,$D$7:$P$336,$R321,FALSE)</f>
        <v>118</v>
      </c>
      <c r="AF321" s="60">
        <f ca="1">100+HLOOKUP(AF$4,$D$7:$P$336,$R321,FALSE)-HLOOKUP(AF$3,$D$7:$P$336,$R321,FALSE)</f>
        <v>110</v>
      </c>
      <c r="AG321" s="60">
        <f ca="1">100+HLOOKUP(AG$4,$D$7:$P$336,$R321,FALSE)-HLOOKUP(AG$3,$D$7:$P$336,$R321,FALSE)</f>
        <v>96</v>
      </c>
      <c r="AH321" s="60" t="e">
        <f>100+HLOOKUP(AH$4,$D$7:$P$336,$R321,FALSE)-HLOOKUP(AH$3,$D$7:$P$336,$R321,FALSE)</f>
        <v>#N/A</v>
      </c>
      <c r="AI321" s="60" t="e">
        <f>100+HLOOKUP(AI$4,$D$7:$P$336,$R321,FALSE)-HLOOKUP(AI$3,$D$7:$P$336,$R321,FALSE)</f>
        <v>#N/A</v>
      </c>
      <c r="AJ321" s="60" t="e">
        <f>100+HLOOKUP(AJ$4,$D$7:$P$336,$R321,FALSE)-HLOOKUP(AJ$3,$D$7:$P$336,$R321,FALSE)</f>
        <v>#N/A</v>
      </c>
      <c r="AK321" s="60" t="e">
        <f>100+HLOOKUP(AK$4,$D$7:$P$336,$R321,FALSE)-HLOOKUP(AK$3,$D$7:$P$336,$R321,FALSE)</f>
        <v>#N/A</v>
      </c>
      <c r="AL321" s="60" t="e">
        <f>100+HLOOKUP(AL$4,$D$7:$P$336,$R321,FALSE)-HLOOKUP(AL$3,$D$7:$P$336,$R321,FALSE)</f>
        <v>#N/A</v>
      </c>
      <c r="AM321" s="60" t="e">
        <f>100+HLOOKUP(AM$4,$D$7:$P$336,$R321,FALSE)-HLOOKUP(AM$3,$D$7:$P$336,$R321,FALSE)</f>
        <v>#N/A</v>
      </c>
      <c r="AN321" s="60" t="e">
        <f>100+HLOOKUP(AN$4,$D$7:$P$336,$R321,FALSE)-HLOOKUP(AN$3,$D$7:$P$336,$R321,FALSE)</f>
        <v>#N/A</v>
      </c>
      <c r="AO321" s="60" t="e">
        <f>100+HLOOKUP(AO$4,$D$7:$P$336,$R321,FALSE)-HLOOKUP(AO$3,$D$7:$P$336,$R321,FALSE)</f>
        <v>#N/A</v>
      </c>
      <c r="AP321" s="60" t="e">
        <f>100+HLOOKUP(AP$4,$D$7:$P$336,$R321,FALSE)-HLOOKUP(AP$3,$D$7:$P$336,$R321,FALSE)</f>
        <v>#N/A</v>
      </c>
      <c r="AQ321" s="60" t="e">
        <f>100+HLOOKUP(AQ$4,$D$7:$P$336,$R321,FALSE)-HLOOKUP(AQ$3,$D$7:$P$336,$R321,FALSE)</f>
        <v>#N/A</v>
      </c>
      <c r="AV321" s="60">
        <f ca="1">AV$5-S321</f>
        <v>35.190399426796432</v>
      </c>
      <c r="AW321" s="60">
        <f ca="1">AW$5-T321</f>
        <v>35.220650529757748</v>
      </c>
      <c r="AX321" s="60">
        <f ca="1">AX$5-U321</f>
        <v>18.775915403668051</v>
      </c>
      <c r="AY321" s="60">
        <f ca="1">AY$5-V321</f>
        <v>-2.3969855984721988</v>
      </c>
      <c r="AZ321" s="60">
        <f ca="1">AZ$5-W321</f>
        <v>13.45448217259603</v>
      </c>
      <c r="BA321" s="60">
        <f ca="1">BA$5-X321</f>
        <v>30.465059058982703</v>
      </c>
      <c r="BB321" s="60">
        <f ca="1">BB$5-Y321</f>
        <v>34.350592727381127</v>
      </c>
      <c r="BC321" s="60">
        <f ca="1">BC$5-Z321</f>
        <v>24.437465909882164</v>
      </c>
      <c r="BD321" s="60">
        <f ca="1">BD$5-AA321</f>
        <v>1.936518664382362</v>
      </c>
      <c r="BE321" s="60">
        <f ca="1">BE$5-AB321</f>
        <v>7.829390591992194</v>
      </c>
      <c r="BF321" s="60">
        <f ca="1">BF$5-AC321</f>
        <v>-23.98269568352292</v>
      </c>
      <c r="BG321" s="60">
        <f ca="1">BG$5-AD321</f>
        <v>-33.014741294981491</v>
      </c>
      <c r="BH321" s="60">
        <f ca="1">BH$5-AE321</f>
        <v>-19.045407769632433</v>
      </c>
      <c r="BI321" s="60">
        <f ca="1">BI$5-AF321</f>
        <v>-19.391494488745195</v>
      </c>
      <c r="BJ321" s="60">
        <f ca="1">BJ$5-AG321</f>
        <v>-4.56044894232123</v>
      </c>
      <c r="BK321" s="60" t="e">
        <f>BK$5-AH321</f>
        <v>#N/A</v>
      </c>
      <c r="BL321" s="60" t="e">
        <f>BL$5-AI321</f>
        <v>#N/A</v>
      </c>
      <c r="BM321" s="60" t="e">
        <f>BM$5-AJ321</f>
        <v>#N/A</v>
      </c>
      <c r="BN321" s="60" t="e">
        <f>BN$5-AK321</f>
        <v>#N/A</v>
      </c>
      <c r="BO321" s="60" t="e">
        <f>BO$5-AL321</f>
        <v>#N/A</v>
      </c>
      <c r="BP321" s="60" t="e">
        <f>BP$5-AM321</f>
        <v>#N/A</v>
      </c>
      <c r="BQ321" s="60" t="e">
        <f>BQ$5-AN321</f>
        <v>#N/A</v>
      </c>
      <c r="BR321" s="60" t="e">
        <f>BR$5-AO321</f>
        <v>#N/A</v>
      </c>
      <c r="BS321" s="60" t="e">
        <f>BS$5-AP321</f>
        <v>#N/A</v>
      </c>
      <c r="BT321" s="60" t="e">
        <f>BT$5-AQ321</f>
        <v>#N/A</v>
      </c>
      <c r="BV321" s="60" cm="1">
        <f t="array" aca="1" ref="BV321" ca="1">SQRT(SUMSQ(_xlfn._xlws.FILTER(AV321:BT321,ISNUMBER(AV321:BT321)))/COUNT(_xlfn._xlws.FILTER(AV321:BT321,ISNUMBER(AV321:BT321))))</f>
        <v>23.399690106719337</v>
      </c>
    </row>
    <row r="322" spans="3:74" x14ac:dyDescent="0.2">
      <c r="C322" s="60" t="s">
        <v>373</v>
      </c>
      <c r="D322" s="60">
        <v>0</v>
      </c>
      <c r="E322" s="60">
        <v>2</v>
      </c>
      <c r="F322" s="60">
        <v>-3</v>
      </c>
      <c r="G322" s="60">
        <v>-8</v>
      </c>
      <c r="H322" s="60">
        <v>-14</v>
      </c>
      <c r="I322" s="60">
        <v>-12</v>
      </c>
      <c r="J322" s="60">
        <v>-17</v>
      </c>
      <c r="K322" s="60">
        <v>-22</v>
      </c>
      <c r="L322" s="60">
        <v>-28</v>
      </c>
      <c r="M322" s="60">
        <v>16</v>
      </c>
      <c r="N322" s="60">
        <v>11</v>
      </c>
      <c r="O322" s="60">
        <v>6</v>
      </c>
      <c r="P322" s="60">
        <v>0</v>
      </c>
      <c r="R322" s="61">
        <f>(ROW(R322)-ROW($C$6))</f>
        <v>316</v>
      </c>
      <c r="S322" s="60">
        <f ca="1">100+HLOOKUP(S$4,$D$7:$P$336,$R322,FALSE)-HLOOKUP(S$3,$D$7:$P$336,$R322,FALSE)</f>
        <v>70</v>
      </c>
      <c r="T322" s="60">
        <f ca="1">100+HLOOKUP(T$4,$D$7:$P$336,$R322,FALSE)-HLOOKUP(T$3,$D$7:$P$336,$R322,FALSE)</f>
        <v>77</v>
      </c>
      <c r="U322" s="60">
        <f ca="1">100+HLOOKUP(U$4,$D$7:$P$336,$R322,FALSE)-HLOOKUP(U$3,$D$7:$P$336,$R322,FALSE)</f>
        <v>70</v>
      </c>
      <c r="V322" s="60">
        <f ca="1">100+HLOOKUP(V$4,$D$7:$P$336,$R322,FALSE)-HLOOKUP(V$3,$D$7:$P$336,$R322,FALSE)</f>
        <v>77</v>
      </c>
      <c r="W322" s="60">
        <f ca="1">100+HLOOKUP(W$4,$D$7:$P$336,$R322,FALSE)-HLOOKUP(W$3,$D$7:$P$336,$R322,FALSE)</f>
        <v>78</v>
      </c>
      <c r="X322" s="60">
        <f ca="1">100+HLOOKUP(X$4,$D$7:$P$336,$R322,FALSE)-HLOOKUP(X$3,$D$7:$P$336,$R322,FALSE)</f>
        <v>70</v>
      </c>
      <c r="Y322" s="60">
        <f ca="1">100+HLOOKUP(Y$4,$D$7:$P$336,$R322,FALSE)-HLOOKUP(Y$3,$D$7:$P$336,$R322,FALSE)</f>
        <v>77</v>
      </c>
      <c r="Z322" s="60">
        <f ca="1">100+HLOOKUP(Z$4,$D$7:$P$336,$R322,FALSE)-HLOOKUP(Z$3,$D$7:$P$336,$R322,FALSE)</f>
        <v>70</v>
      </c>
      <c r="AA322" s="60">
        <f ca="1">100+HLOOKUP(AA$4,$D$7:$P$336,$R322,FALSE)-HLOOKUP(AA$3,$D$7:$P$336,$R322,FALSE)</f>
        <v>77</v>
      </c>
      <c r="AB322" s="60">
        <f ca="1">100+HLOOKUP(AB$4,$D$7:$P$336,$R322,FALSE)-HLOOKUP(AB$3,$D$7:$P$336,$R322,FALSE)</f>
        <v>78</v>
      </c>
      <c r="AC322" s="60">
        <f ca="1">100+HLOOKUP(AC$4,$D$7:$P$336,$R322,FALSE)-HLOOKUP(AC$3,$D$7:$P$336,$R322,FALSE)</f>
        <v>119</v>
      </c>
      <c r="AD322" s="60">
        <f ca="1">100+HLOOKUP(AD$4,$D$7:$P$336,$R322,FALSE)-HLOOKUP(AD$3,$D$7:$P$336,$R322,FALSE)</f>
        <v>120</v>
      </c>
      <c r="AE322" s="60">
        <f ca="1">100+HLOOKUP(AE$4,$D$7:$P$336,$R322,FALSE)-HLOOKUP(AE$3,$D$7:$P$336,$R322,FALSE)</f>
        <v>119</v>
      </c>
      <c r="AF322" s="60">
        <f ca="1">100+HLOOKUP(AF$4,$D$7:$P$336,$R322,FALSE)-HLOOKUP(AF$3,$D$7:$P$336,$R322,FALSE)</f>
        <v>120</v>
      </c>
      <c r="AG322" s="60">
        <f ca="1">100+HLOOKUP(AG$4,$D$7:$P$336,$R322,FALSE)-HLOOKUP(AG$3,$D$7:$P$336,$R322,FALSE)</f>
        <v>77</v>
      </c>
      <c r="AH322" s="60" t="e">
        <f>100+HLOOKUP(AH$4,$D$7:$P$336,$R322,FALSE)-HLOOKUP(AH$3,$D$7:$P$336,$R322,FALSE)</f>
        <v>#N/A</v>
      </c>
      <c r="AI322" s="60" t="e">
        <f>100+HLOOKUP(AI$4,$D$7:$P$336,$R322,FALSE)-HLOOKUP(AI$3,$D$7:$P$336,$R322,FALSE)</f>
        <v>#N/A</v>
      </c>
      <c r="AJ322" s="60" t="e">
        <f>100+HLOOKUP(AJ$4,$D$7:$P$336,$R322,FALSE)-HLOOKUP(AJ$3,$D$7:$P$336,$R322,FALSE)</f>
        <v>#N/A</v>
      </c>
      <c r="AK322" s="60" t="e">
        <f>100+HLOOKUP(AK$4,$D$7:$P$336,$R322,FALSE)-HLOOKUP(AK$3,$D$7:$P$336,$R322,FALSE)</f>
        <v>#N/A</v>
      </c>
      <c r="AL322" s="60" t="e">
        <f>100+HLOOKUP(AL$4,$D$7:$P$336,$R322,FALSE)-HLOOKUP(AL$3,$D$7:$P$336,$R322,FALSE)</f>
        <v>#N/A</v>
      </c>
      <c r="AM322" s="60" t="e">
        <f>100+HLOOKUP(AM$4,$D$7:$P$336,$R322,FALSE)-HLOOKUP(AM$3,$D$7:$P$336,$R322,FALSE)</f>
        <v>#N/A</v>
      </c>
      <c r="AN322" s="60" t="e">
        <f>100+HLOOKUP(AN$4,$D$7:$P$336,$R322,FALSE)-HLOOKUP(AN$3,$D$7:$P$336,$R322,FALSE)</f>
        <v>#N/A</v>
      </c>
      <c r="AO322" s="60" t="e">
        <f>100+HLOOKUP(AO$4,$D$7:$P$336,$R322,FALSE)-HLOOKUP(AO$3,$D$7:$P$336,$R322,FALSE)</f>
        <v>#N/A</v>
      </c>
      <c r="AP322" s="60" t="e">
        <f>100+HLOOKUP(AP$4,$D$7:$P$336,$R322,FALSE)-HLOOKUP(AP$3,$D$7:$P$336,$R322,FALSE)</f>
        <v>#N/A</v>
      </c>
      <c r="AQ322" s="60" t="e">
        <f>100+HLOOKUP(AQ$4,$D$7:$P$336,$R322,FALSE)-HLOOKUP(AQ$3,$D$7:$P$336,$R322,FALSE)</f>
        <v>#N/A</v>
      </c>
      <c r="AV322" s="60">
        <f ca="1">AV$5-S322</f>
        <v>33.190399426796432</v>
      </c>
      <c r="AW322" s="60">
        <f ca="1">AW$5-T322</f>
        <v>17.220650529757748</v>
      </c>
      <c r="AX322" s="60">
        <f ca="1">AX$5-U322</f>
        <v>31.775915403668051</v>
      </c>
      <c r="AY322" s="60">
        <f ca="1">AY$5-V322</f>
        <v>16.603014401527801</v>
      </c>
      <c r="AZ322" s="60">
        <f ca="1">AZ$5-W322</f>
        <v>19.45448217259603</v>
      </c>
      <c r="BA322" s="60">
        <f ca="1">BA$5-X322</f>
        <v>28.465059058982703</v>
      </c>
      <c r="BB322" s="60">
        <f ca="1">BB$5-Y322</f>
        <v>16.350592727381127</v>
      </c>
      <c r="BC322" s="60">
        <f ca="1">BC$5-Z322</f>
        <v>37.437465909882164</v>
      </c>
      <c r="BD322" s="60">
        <f ca="1">BD$5-AA322</f>
        <v>20.936518664382362</v>
      </c>
      <c r="BE322" s="60">
        <f ca="1">BE$5-AB322</f>
        <v>13.829390591992194</v>
      </c>
      <c r="BF322" s="60">
        <f ca="1">BF$5-AC322</f>
        <v>-17.98269568352292</v>
      </c>
      <c r="BG322" s="60">
        <f ca="1">BG$5-AD322</f>
        <v>-16.014741294981491</v>
      </c>
      <c r="BH322" s="60">
        <f ca="1">BH$5-AE322</f>
        <v>-20.045407769632433</v>
      </c>
      <c r="BI322" s="60">
        <f ca="1">BI$5-AF322</f>
        <v>-29.391494488745195</v>
      </c>
      <c r="BJ322" s="60">
        <f ca="1">BJ$5-AG322</f>
        <v>14.43955105767877</v>
      </c>
      <c r="BK322" s="60" t="e">
        <f>BK$5-AH322</f>
        <v>#N/A</v>
      </c>
      <c r="BL322" s="60" t="e">
        <f>BL$5-AI322</f>
        <v>#N/A</v>
      </c>
      <c r="BM322" s="60" t="e">
        <f>BM$5-AJ322</f>
        <v>#N/A</v>
      </c>
      <c r="BN322" s="60" t="e">
        <f>BN$5-AK322</f>
        <v>#N/A</v>
      </c>
      <c r="BO322" s="60" t="e">
        <f>BO$5-AL322</f>
        <v>#N/A</v>
      </c>
      <c r="BP322" s="60" t="e">
        <f>BP$5-AM322</f>
        <v>#N/A</v>
      </c>
      <c r="BQ322" s="60" t="e">
        <f>BQ$5-AN322</f>
        <v>#N/A</v>
      </c>
      <c r="BR322" s="60" t="e">
        <f>BR$5-AO322</f>
        <v>#N/A</v>
      </c>
      <c r="BS322" s="60" t="e">
        <f>BS$5-AP322</f>
        <v>#N/A</v>
      </c>
      <c r="BT322" s="60" t="e">
        <f>BT$5-AQ322</f>
        <v>#N/A</v>
      </c>
      <c r="BV322" s="60" cm="1">
        <f t="array" aca="1" ref="BV322" ca="1">SQRT(SUMSQ(_xlfn._xlws.FILTER(AV322:BT322,ISNUMBER(AV322:BT322)))/COUNT(_xlfn._xlws.FILTER(AV322:BT322,ISNUMBER(AV322:BT322))))</f>
        <v>23.416208919270193</v>
      </c>
    </row>
    <row r="323" spans="3:74" x14ac:dyDescent="0.2">
      <c r="C323" s="60" t="s">
        <v>376</v>
      </c>
      <c r="D323" s="60">
        <v>0</v>
      </c>
      <c r="E323" s="60">
        <v>2</v>
      </c>
      <c r="F323" s="60">
        <v>4</v>
      </c>
      <c r="G323" s="60">
        <v>-4</v>
      </c>
      <c r="H323" s="60">
        <v>-14</v>
      </c>
      <c r="I323" s="60">
        <v>-11</v>
      </c>
      <c r="J323" s="60">
        <v>-9</v>
      </c>
      <c r="K323" s="60">
        <v>-19</v>
      </c>
      <c r="L323" s="60">
        <v>-28</v>
      </c>
      <c r="M323" s="60">
        <v>16</v>
      </c>
      <c r="N323" s="60">
        <v>19</v>
      </c>
      <c r="O323" s="60">
        <v>9</v>
      </c>
      <c r="P323" s="60">
        <v>0</v>
      </c>
      <c r="R323" s="61">
        <f>(ROW(R323)-ROW($C$6))</f>
        <v>317</v>
      </c>
      <c r="S323" s="60">
        <f ca="1">100+HLOOKUP(S$4,$D$7:$P$336,$R323,FALSE)-HLOOKUP(S$3,$D$7:$P$336,$R323,FALSE)</f>
        <v>70</v>
      </c>
      <c r="T323" s="60">
        <f ca="1">100+HLOOKUP(T$4,$D$7:$P$336,$R323,FALSE)-HLOOKUP(T$3,$D$7:$P$336,$R323,FALSE)</f>
        <v>82</v>
      </c>
      <c r="U323" s="60">
        <f ca="1">100+HLOOKUP(U$4,$D$7:$P$336,$R323,FALSE)-HLOOKUP(U$3,$D$7:$P$336,$R323,FALSE)</f>
        <v>70</v>
      </c>
      <c r="V323" s="60">
        <f ca="1">100+HLOOKUP(V$4,$D$7:$P$336,$R323,FALSE)-HLOOKUP(V$3,$D$7:$P$336,$R323,FALSE)</f>
        <v>70</v>
      </c>
      <c r="W323" s="60">
        <f ca="1">100+HLOOKUP(W$4,$D$7:$P$336,$R323,FALSE)-HLOOKUP(W$3,$D$7:$P$336,$R323,FALSE)</f>
        <v>81</v>
      </c>
      <c r="X323" s="60">
        <f ca="1">100+HLOOKUP(X$4,$D$7:$P$336,$R323,FALSE)-HLOOKUP(X$3,$D$7:$P$336,$R323,FALSE)</f>
        <v>70</v>
      </c>
      <c r="Y323" s="60">
        <f ca="1">100+HLOOKUP(Y$4,$D$7:$P$336,$R323,FALSE)-HLOOKUP(Y$3,$D$7:$P$336,$R323,FALSE)</f>
        <v>82</v>
      </c>
      <c r="Z323" s="60">
        <f ca="1">100+HLOOKUP(Z$4,$D$7:$P$336,$R323,FALSE)-HLOOKUP(Z$3,$D$7:$P$336,$R323,FALSE)</f>
        <v>70</v>
      </c>
      <c r="AA323" s="60">
        <f ca="1">100+HLOOKUP(AA$4,$D$7:$P$336,$R323,FALSE)-HLOOKUP(AA$3,$D$7:$P$336,$R323,FALSE)</f>
        <v>70</v>
      </c>
      <c r="AB323" s="60">
        <f ca="1">100+HLOOKUP(AB$4,$D$7:$P$336,$R323,FALSE)-HLOOKUP(AB$3,$D$7:$P$336,$R323,FALSE)</f>
        <v>81</v>
      </c>
      <c r="AC323" s="60">
        <f ca="1">100+HLOOKUP(AC$4,$D$7:$P$336,$R323,FALSE)-HLOOKUP(AC$3,$D$7:$P$336,$R323,FALSE)</f>
        <v>112</v>
      </c>
      <c r="AD323" s="60">
        <f ca="1">100+HLOOKUP(AD$4,$D$7:$P$336,$R323,FALSE)-HLOOKUP(AD$3,$D$7:$P$336,$R323,FALSE)</f>
        <v>123</v>
      </c>
      <c r="AE323" s="60">
        <f ca="1">100+HLOOKUP(AE$4,$D$7:$P$336,$R323,FALSE)-HLOOKUP(AE$3,$D$7:$P$336,$R323,FALSE)</f>
        <v>111</v>
      </c>
      <c r="AF323" s="60">
        <f ca="1">100+HLOOKUP(AF$4,$D$7:$P$336,$R323,FALSE)-HLOOKUP(AF$3,$D$7:$P$336,$R323,FALSE)</f>
        <v>124</v>
      </c>
      <c r="AG323" s="60">
        <f ca="1">100+HLOOKUP(AG$4,$D$7:$P$336,$R323,FALSE)-HLOOKUP(AG$3,$D$7:$P$336,$R323,FALSE)</f>
        <v>70</v>
      </c>
      <c r="AH323" s="60" t="e">
        <f>100+HLOOKUP(AH$4,$D$7:$P$336,$R323,FALSE)-HLOOKUP(AH$3,$D$7:$P$336,$R323,FALSE)</f>
        <v>#N/A</v>
      </c>
      <c r="AI323" s="60" t="e">
        <f>100+HLOOKUP(AI$4,$D$7:$P$336,$R323,FALSE)-HLOOKUP(AI$3,$D$7:$P$336,$R323,FALSE)</f>
        <v>#N/A</v>
      </c>
      <c r="AJ323" s="60" t="e">
        <f>100+HLOOKUP(AJ$4,$D$7:$P$336,$R323,FALSE)-HLOOKUP(AJ$3,$D$7:$P$336,$R323,FALSE)</f>
        <v>#N/A</v>
      </c>
      <c r="AK323" s="60" t="e">
        <f>100+HLOOKUP(AK$4,$D$7:$P$336,$R323,FALSE)-HLOOKUP(AK$3,$D$7:$P$336,$R323,FALSE)</f>
        <v>#N/A</v>
      </c>
      <c r="AL323" s="60" t="e">
        <f>100+HLOOKUP(AL$4,$D$7:$P$336,$R323,FALSE)-HLOOKUP(AL$3,$D$7:$P$336,$R323,FALSE)</f>
        <v>#N/A</v>
      </c>
      <c r="AM323" s="60" t="e">
        <f>100+HLOOKUP(AM$4,$D$7:$P$336,$R323,FALSE)-HLOOKUP(AM$3,$D$7:$P$336,$R323,FALSE)</f>
        <v>#N/A</v>
      </c>
      <c r="AN323" s="60" t="e">
        <f>100+HLOOKUP(AN$4,$D$7:$P$336,$R323,FALSE)-HLOOKUP(AN$3,$D$7:$P$336,$R323,FALSE)</f>
        <v>#N/A</v>
      </c>
      <c r="AO323" s="60" t="e">
        <f>100+HLOOKUP(AO$4,$D$7:$P$336,$R323,FALSE)-HLOOKUP(AO$3,$D$7:$P$336,$R323,FALSE)</f>
        <v>#N/A</v>
      </c>
      <c r="AP323" s="60" t="e">
        <f>100+HLOOKUP(AP$4,$D$7:$P$336,$R323,FALSE)-HLOOKUP(AP$3,$D$7:$P$336,$R323,FALSE)</f>
        <v>#N/A</v>
      </c>
      <c r="AQ323" s="60" t="e">
        <f>100+HLOOKUP(AQ$4,$D$7:$P$336,$R323,FALSE)-HLOOKUP(AQ$3,$D$7:$P$336,$R323,FALSE)</f>
        <v>#N/A</v>
      </c>
      <c r="AV323" s="60">
        <f ca="1">AV$5-S323</f>
        <v>33.190399426796432</v>
      </c>
      <c r="AW323" s="60">
        <f ca="1">AW$5-T323</f>
        <v>12.220650529757748</v>
      </c>
      <c r="AX323" s="60">
        <f ca="1">AX$5-U323</f>
        <v>31.775915403668051</v>
      </c>
      <c r="AY323" s="60">
        <f ca="1">AY$5-V323</f>
        <v>23.603014401527801</v>
      </c>
      <c r="AZ323" s="60">
        <f ca="1">AZ$5-W323</f>
        <v>16.45448217259603</v>
      </c>
      <c r="BA323" s="60">
        <f ca="1">BA$5-X323</f>
        <v>28.465059058982703</v>
      </c>
      <c r="BB323" s="60">
        <f ca="1">BB$5-Y323</f>
        <v>11.350592727381127</v>
      </c>
      <c r="BC323" s="60">
        <f ca="1">BC$5-Z323</f>
        <v>37.437465909882164</v>
      </c>
      <c r="BD323" s="60">
        <f ca="1">BD$5-AA323</f>
        <v>27.936518664382362</v>
      </c>
      <c r="BE323" s="60">
        <f ca="1">BE$5-AB323</f>
        <v>10.829390591992194</v>
      </c>
      <c r="BF323" s="60">
        <f ca="1">BF$5-AC323</f>
        <v>-10.98269568352292</v>
      </c>
      <c r="BG323" s="60">
        <f ca="1">BG$5-AD323</f>
        <v>-19.014741294981491</v>
      </c>
      <c r="BH323" s="60">
        <f ca="1">BH$5-AE323</f>
        <v>-12.045407769632433</v>
      </c>
      <c r="BI323" s="60">
        <f ca="1">BI$5-AF323</f>
        <v>-33.391494488745195</v>
      </c>
      <c r="BJ323" s="60">
        <f ca="1">BJ$5-AG323</f>
        <v>21.43955105767877</v>
      </c>
      <c r="BK323" s="60" t="e">
        <f>BK$5-AH323</f>
        <v>#N/A</v>
      </c>
      <c r="BL323" s="60" t="e">
        <f>BL$5-AI323</f>
        <v>#N/A</v>
      </c>
      <c r="BM323" s="60" t="e">
        <f>BM$5-AJ323</f>
        <v>#N/A</v>
      </c>
      <c r="BN323" s="60" t="e">
        <f>BN$5-AK323</f>
        <v>#N/A</v>
      </c>
      <c r="BO323" s="60" t="e">
        <f>BO$5-AL323</f>
        <v>#N/A</v>
      </c>
      <c r="BP323" s="60" t="e">
        <f>BP$5-AM323</f>
        <v>#N/A</v>
      </c>
      <c r="BQ323" s="60" t="e">
        <f>BQ$5-AN323</f>
        <v>#N/A</v>
      </c>
      <c r="BR323" s="60" t="e">
        <f>BR$5-AO323</f>
        <v>#N/A</v>
      </c>
      <c r="BS323" s="60" t="e">
        <f>BS$5-AP323</f>
        <v>#N/A</v>
      </c>
      <c r="BT323" s="60" t="e">
        <f>BT$5-AQ323</f>
        <v>#N/A</v>
      </c>
      <c r="BV323" s="60" cm="1">
        <f t="array" aca="1" ref="BV323" ca="1">SQRT(SUMSQ(_xlfn._xlws.FILTER(AV323:BT323,ISNUMBER(AV323:BT323)))/COUNT(_xlfn._xlws.FILTER(AV323:BT323,ISNUMBER(AV323:BT323))))</f>
        <v>23.845069721896213</v>
      </c>
    </row>
    <row r="324" spans="3:74" x14ac:dyDescent="0.2">
      <c r="C324" s="60" t="s">
        <v>371</v>
      </c>
      <c r="D324" s="60">
        <v>0</v>
      </c>
      <c r="E324" s="60">
        <v>2</v>
      </c>
      <c r="F324" s="60">
        <v>4</v>
      </c>
      <c r="G324" s="60">
        <v>-5</v>
      </c>
      <c r="H324" s="60">
        <v>-14</v>
      </c>
      <c r="I324" s="60">
        <v>-12</v>
      </c>
      <c r="J324" s="60">
        <v>-10</v>
      </c>
      <c r="K324" s="60">
        <v>-19</v>
      </c>
      <c r="L324" s="60">
        <v>-28</v>
      </c>
      <c r="M324" s="60">
        <v>16</v>
      </c>
      <c r="N324" s="60">
        <v>18</v>
      </c>
      <c r="O324" s="60">
        <v>9</v>
      </c>
      <c r="P324" s="60">
        <v>0</v>
      </c>
      <c r="R324" s="61">
        <f>(ROW(R324)-ROW($C$6))</f>
        <v>318</v>
      </c>
      <c r="S324" s="60">
        <f ca="1">100+HLOOKUP(S$4,$D$7:$P$336,$R324,FALSE)-HLOOKUP(S$3,$D$7:$P$336,$R324,FALSE)</f>
        <v>70</v>
      </c>
      <c r="T324" s="60">
        <f ca="1">100+HLOOKUP(T$4,$D$7:$P$336,$R324,FALSE)-HLOOKUP(T$3,$D$7:$P$336,$R324,FALSE)</f>
        <v>81</v>
      </c>
      <c r="U324" s="60">
        <f ca="1">100+HLOOKUP(U$4,$D$7:$P$336,$R324,FALSE)-HLOOKUP(U$3,$D$7:$P$336,$R324,FALSE)</f>
        <v>70</v>
      </c>
      <c r="V324" s="60">
        <f ca="1">100+HLOOKUP(V$4,$D$7:$P$336,$R324,FALSE)-HLOOKUP(V$3,$D$7:$P$336,$R324,FALSE)</f>
        <v>70</v>
      </c>
      <c r="W324" s="60">
        <f ca="1">100+HLOOKUP(W$4,$D$7:$P$336,$R324,FALSE)-HLOOKUP(W$3,$D$7:$P$336,$R324,FALSE)</f>
        <v>81</v>
      </c>
      <c r="X324" s="60">
        <f ca="1">100+HLOOKUP(X$4,$D$7:$P$336,$R324,FALSE)-HLOOKUP(X$3,$D$7:$P$336,$R324,FALSE)</f>
        <v>70</v>
      </c>
      <c r="Y324" s="60">
        <f ca="1">100+HLOOKUP(Y$4,$D$7:$P$336,$R324,FALSE)-HLOOKUP(Y$3,$D$7:$P$336,$R324,FALSE)</f>
        <v>81</v>
      </c>
      <c r="Z324" s="60">
        <f ca="1">100+HLOOKUP(Z$4,$D$7:$P$336,$R324,FALSE)-HLOOKUP(Z$3,$D$7:$P$336,$R324,FALSE)</f>
        <v>70</v>
      </c>
      <c r="AA324" s="60">
        <f ca="1">100+HLOOKUP(AA$4,$D$7:$P$336,$R324,FALSE)-HLOOKUP(AA$3,$D$7:$P$336,$R324,FALSE)</f>
        <v>70</v>
      </c>
      <c r="AB324" s="60">
        <f ca="1">100+HLOOKUP(AB$4,$D$7:$P$336,$R324,FALSE)-HLOOKUP(AB$3,$D$7:$P$336,$R324,FALSE)</f>
        <v>81</v>
      </c>
      <c r="AC324" s="60">
        <f ca="1">100+HLOOKUP(AC$4,$D$7:$P$336,$R324,FALSE)-HLOOKUP(AC$3,$D$7:$P$336,$R324,FALSE)</f>
        <v>112</v>
      </c>
      <c r="AD324" s="60">
        <f ca="1">100+HLOOKUP(AD$4,$D$7:$P$336,$R324,FALSE)-HLOOKUP(AD$3,$D$7:$P$336,$R324,FALSE)</f>
        <v>123</v>
      </c>
      <c r="AE324" s="60">
        <f ca="1">100+HLOOKUP(AE$4,$D$7:$P$336,$R324,FALSE)-HLOOKUP(AE$3,$D$7:$P$336,$R324,FALSE)</f>
        <v>112</v>
      </c>
      <c r="AF324" s="60">
        <f ca="1">100+HLOOKUP(AF$4,$D$7:$P$336,$R324,FALSE)-HLOOKUP(AF$3,$D$7:$P$336,$R324,FALSE)</f>
        <v>123</v>
      </c>
      <c r="AG324" s="60">
        <f ca="1">100+HLOOKUP(AG$4,$D$7:$P$336,$R324,FALSE)-HLOOKUP(AG$3,$D$7:$P$336,$R324,FALSE)</f>
        <v>70</v>
      </c>
      <c r="AH324" s="60" t="e">
        <f>100+HLOOKUP(AH$4,$D$7:$P$336,$R324,FALSE)-HLOOKUP(AH$3,$D$7:$P$336,$R324,FALSE)</f>
        <v>#N/A</v>
      </c>
      <c r="AI324" s="60" t="e">
        <f>100+HLOOKUP(AI$4,$D$7:$P$336,$R324,FALSE)-HLOOKUP(AI$3,$D$7:$P$336,$R324,FALSE)</f>
        <v>#N/A</v>
      </c>
      <c r="AJ324" s="60" t="e">
        <f>100+HLOOKUP(AJ$4,$D$7:$P$336,$R324,FALSE)-HLOOKUP(AJ$3,$D$7:$P$336,$R324,FALSE)</f>
        <v>#N/A</v>
      </c>
      <c r="AK324" s="60" t="e">
        <f>100+HLOOKUP(AK$4,$D$7:$P$336,$R324,FALSE)-HLOOKUP(AK$3,$D$7:$P$336,$R324,FALSE)</f>
        <v>#N/A</v>
      </c>
      <c r="AL324" s="60" t="e">
        <f>100+HLOOKUP(AL$4,$D$7:$P$336,$R324,FALSE)-HLOOKUP(AL$3,$D$7:$P$336,$R324,FALSE)</f>
        <v>#N/A</v>
      </c>
      <c r="AM324" s="60" t="e">
        <f>100+HLOOKUP(AM$4,$D$7:$P$336,$R324,FALSE)-HLOOKUP(AM$3,$D$7:$P$336,$R324,FALSE)</f>
        <v>#N/A</v>
      </c>
      <c r="AN324" s="60" t="e">
        <f>100+HLOOKUP(AN$4,$D$7:$P$336,$R324,FALSE)-HLOOKUP(AN$3,$D$7:$P$336,$R324,FALSE)</f>
        <v>#N/A</v>
      </c>
      <c r="AO324" s="60" t="e">
        <f>100+HLOOKUP(AO$4,$D$7:$P$336,$R324,FALSE)-HLOOKUP(AO$3,$D$7:$P$336,$R324,FALSE)</f>
        <v>#N/A</v>
      </c>
      <c r="AP324" s="60" t="e">
        <f>100+HLOOKUP(AP$4,$D$7:$P$336,$R324,FALSE)-HLOOKUP(AP$3,$D$7:$P$336,$R324,FALSE)</f>
        <v>#N/A</v>
      </c>
      <c r="AQ324" s="60" t="e">
        <f>100+HLOOKUP(AQ$4,$D$7:$P$336,$R324,FALSE)-HLOOKUP(AQ$3,$D$7:$P$336,$R324,FALSE)</f>
        <v>#N/A</v>
      </c>
      <c r="AV324" s="60">
        <f ca="1">AV$5-S324</f>
        <v>33.190399426796432</v>
      </c>
      <c r="AW324" s="60">
        <f ca="1">AW$5-T324</f>
        <v>13.220650529757748</v>
      </c>
      <c r="AX324" s="60">
        <f ca="1">AX$5-U324</f>
        <v>31.775915403668051</v>
      </c>
      <c r="AY324" s="60">
        <f ca="1">AY$5-V324</f>
        <v>23.603014401527801</v>
      </c>
      <c r="AZ324" s="60">
        <f ca="1">AZ$5-W324</f>
        <v>16.45448217259603</v>
      </c>
      <c r="BA324" s="60">
        <f ca="1">BA$5-X324</f>
        <v>28.465059058982703</v>
      </c>
      <c r="BB324" s="60">
        <f ca="1">BB$5-Y324</f>
        <v>12.350592727381127</v>
      </c>
      <c r="BC324" s="60">
        <f ca="1">BC$5-Z324</f>
        <v>37.437465909882164</v>
      </c>
      <c r="BD324" s="60">
        <f ca="1">BD$5-AA324</f>
        <v>27.936518664382362</v>
      </c>
      <c r="BE324" s="60">
        <f ca="1">BE$5-AB324</f>
        <v>10.829390591992194</v>
      </c>
      <c r="BF324" s="60">
        <f ca="1">BF$5-AC324</f>
        <v>-10.98269568352292</v>
      </c>
      <c r="BG324" s="60">
        <f ca="1">BG$5-AD324</f>
        <v>-19.014741294981491</v>
      </c>
      <c r="BH324" s="60">
        <f ca="1">BH$5-AE324</f>
        <v>-13.045407769632433</v>
      </c>
      <c r="BI324" s="60">
        <f ca="1">BI$5-AF324</f>
        <v>-32.391494488745195</v>
      </c>
      <c r="BJ324" s="60">
        <f ca="1">BJ$5-AG324</f>
        <v>21.43955105767877</v>
      </c>
      <c r="BK324" s="60" t="e">
        <f>BK$5-AH324</f>
        <v>#N/A</v>
      </c>
      <c r="BL324" s="60" t="e">
        <f>BL$5-AI324</f>
        <v>#N/A</v>
      </c>
      <c r="BM324" s="60" t="e">
        <f>BM$5-AJ324</f>
        <v>#N/A</v>
      </c>
      <c r="BN324" s="60" t="e">
        <f>BN$5-AK324</f>
        <v>#N/A</v>
      </c>
      <c r="BO324" s="60" t="e">
        <f>BO$5-AL324</f>
        <v>#N/A</v>
      </c>
      <c r="BP324" s="60" t="e">
        <f>BP$5-AM324</f>
        <v>#N/A</v>
      </c>
      <c r="BQ324" s="60" t="e">
        <f>BQ$5-AN324</f>
        <v>#N/A</v>
      </c>
      <c r="BR324" s="60" t="e">
        <f>BR$5-AO324</f>
        <v>#N/A</v>
      </c>
      <c r="BS324" s="60" t="e">
        <f>BS$5-AP324</f>
        <v>#N/A</v>
      </c>
      <c r="BT324" s="60" t="e">
        <f>BT$5-AQ324</f>
        <v>#N/A</v>
      </c>
      <c r="BV324" s="60" cm="1">
        <f t="array" aca="1" ref="BV324" ca="1">SQRT(SUMSQ(_xlfn._xlws.FILTER(AV324:BT324,ISNUMBER(AV324:BT324)))/COUNT(_xlfn._xlws.FILTER(AV324:BT324,ISNUMBER(AV324:BT324))))</f>
        <v>23.856879599963644</v>
      </c>
    </row>
    <row r="325" spans="3:74" x14ac:dyDescent="0.2">
      <c r="C325" s="60" t="s">
        <v>318</v>
      </c>
      <c r="D325" s="60">
        <v>0</v>
      </c>
      <c r="E325" s="60">
        <v>-3.91</v>
      </c>
      <c r="F325" s="60">
        <v>-7.8209999999999997</v>
      </c>
      <c r="G325" s="60">
        <v>-11.731</v>
      </c>
      <c r="H325" s="60">
        <v>-15.641</v>
      </c>
      <c r="I325" s="60">
        <v>-19.552</v>
      </c>
      <c r="J325" s="60">
        <v>-23.462</v>
      </c>
      <c r="K325" s="60">
        <v>-27.372</v>
      </c>
      <c r="L325" s="60">
        <v>-31.283000000000001</v>
      </c>
      <c r="M325" s="60">
        <v>11.731</v>
      </c>
      <c r="N325" s="60">
        <v>7.8209999999999997</v>
      </c>
      <c r="O325" s="60">
        <v>3.91</v>
      </c>
      <c r="P325" s="60">
        <v>0</v>
      </c>
      <c r="R325" s="61">
        <f>(ROW(R325)-ROW($C$6))</f>
        <v>319</v>
      </c>
      <c r="S325" s="60">
        <f ca="1">100+HLOOKUP(S$4,$D$7:$P$336,$R325,FALSE)-HLOOKUP(S$3,$D$7:$P$336,$R325,FALSE)</f>
        <v>72.628</v>
      </c>
      <c r="T325" s="60">
        <f ca="1">100+HLOOKUP(T$4,$D$7:$P$336,$R325,FALSE)-HLOOKUP(T$3,$D$7:$P$336,$R325,FALSE)</f>
        <v>72.628</v>
      </c>
      <c r="U325" s="60">
        <f ca="1">100+HLOOKUP(U$4,$D$7:$P$336,$R325,FALSE)-HLOOKUP(U$3,$D$7:$P$336,$R325,FALSE)</f>
        <v>72.626999999999995</v>
      </c>
      <c r="V325" s="60">
        <f ca="1">100+HLOOKUP(V$4,$D$7:$P$336,$R325,FALSE)-HLOOKUP(V$3,$D$7:$P$336,$R325,FALSE)</f>
        <v>72.62700000000001</v>
      </c>
      <c r="W325" s="60">
        <f ca="1">100+HLOOKUP(W$4,$D$7:$P$336,$R325,FALSE)-HLOOKUP(W$3,$D$7:$P$336,$R325,FALSE)</f>
        <v>72.628</v>
      </c>
      <c r="X325" s="60">
        <f ca="1">100+HLOOKUP(X$4,$D$7:$P$336,$R325,FALSE)-HLOOKUP(X$3,$D$7:$P$336,$R325,FALSE)</f>
        <v>72.628</v>
      </c>
      <c r="Y325" s="60">
        <f ca="1">100+HLOOKUP(Y$4,$D$7:$P$336,$R325,FALSE)-HLOOKUP(Y$3,$D$7:$P$336,$R325,FALSE)</f>
        <v>72.628</v>
      </c>
      <c r="Z325" s="60">
        <f ca="1">100+HLOOKUP(Z$4,$D$7:$P$336,$R325,FALSE)-HLOOKUP(Z$3,$D$7:$P$336,$R325,FALSE)</f>
        <v>72.626999999999995</v>
      </c>
      <c r="AA325" s="60">
        <f ca="1">100+HLOOKUP(AA$4,$D$7:$P$336,$R325,FALSE)-HLOOKUP(AA$3,$D$7:$P$336,$R325,FALSE)</f>
        <v>72.62700000000001</v>
      </c>
      <c r="AB325" s="60">
        <f ca="1">100+HLOOKUP(AB$4,$D$7:$P$336,$R325,FALSE)-HLOOKUP(AB$3,$D$7:$P$336,$R325,FALSE)</f>
        <v>72.628</v>
      </c>
      <c r="AC325" s="60">
        <f ca="1">100+HLOOKUP(AC$4,$D$7:$P$336,$R325,FALSE)-HLOOKUP(AC$3,$D$7:$P$336,$R325,FALSE)</f>
        <v>119.55199999999999</v>
      </c>
      <c r="AD325" s="60">
        <f ca="1">100+HLOOKUP(AD$4,$D$7:$P$336,$R325,FALSE)-HLOOKUP(AD$3,$D$7:$P$336,$R325,FALSE)</f>
        <v>119.551</v>
      </c>
      <c r="AE325" s="60">
        <f ca="1">100+HLOOKUP(AE$4,$D$7:$P$336,$R325,FALSE)-HLOOKUP(AE$3,$D$7:$P$336,$R325,FALSE)</f>
        <v>119.55200000000001</v>
      </c>
      <c r="AF325" s="60">
        <f ca="1">100+HLOOKUP(AF$4,$D$7:$P$336,$R325,FALSE)-HLOOKUP(AF$3,$D$7:$P$336,$R325,FALSE)</f>
        <v>119.55200000000001</v>
      </c>
      <c r="AG325" s="60">
        <f ca="1">100+HLOOKUP(AG$4,$D$7:$P$336,$R325,FALSE)-HLOOKUP(AG$3,$D$7:$P$336,$R325,FALSE)</f>
        <v>72.62700000000001</v>
      </c>
      <c r="AH325" s="60" t="e">
        <f>100+HLOOKUP(AH$4,$D$7:$P$336,$R325,FALSE)-HLOOKUP(AH$3,$D$7:$P$336,$R325,FALSE)</f>
        <v>#N/A</v>
      </c>
      <c r="AI325" s="60" t="e">
        <f>100+HLOOKUP(AI$4,$D$7:$P$336,$R325,FALSE)-HLOOKUP(AI$3,$D$7:$P$336,$R325,FALSE)</f>
        <v>#N/A</v>
      </c>
      <c r="AJ325" s="60" t="e">
        <f>100+HLOOKUP(AJ$4,$D$7:$P$336,$R325,FALSE)-HLOOKUP(AJ$3,$D$7:$P$336,$R325,FALSE)</f>
        <v>#N/A</v>
      </c>
      <c r="AK325" s="60" t="e">
        <f>100+HLOOKUP(AK$4,$D$7:$P$336,$R325,FALSE)-HLOOKUP(AK$3,$D$7:$P$336,$R325,FALSE)</f>
        <v>#N/A</v>
      </c>
      <c r="AL325" s="60" t="e">
        <f>100+HLOOKUP(AL$4,$D$7:$P$336,$R325,FALSE)-HLOOKUP(AL$3,$D$7:$P$336,$R325,FALSE)</f>
        <v>#N/A</v>
      </c>
      <c r="AM325" s="60" t="e">
        <f>100+HLOOKUP(AM$4,$D$7:$P$336,$R325,FALSE)-HLOOKUP(AM$3,$D$7:$P$336,$R325,FALSE)</f>
        <v>#N/A</v>
      </c>
      <c r="AN325" s="60" t="e">
        <f>100+HLOOKUP(AN$4,$D$7:$P$336,$R325,FALSE)-HLOOKUP(AN$3,$D$7:$P$336,$R325,FALSE)</f>
        <v>#N/A</v>
      </c>
      <c r="AO325" s="60" t="e">
        <f>100+HLOOKUP(AO$4,$D$7:$P$336,$R325,FALSE)-HLOOKUP(AO$3,$D$7:$P$336,$R325,FALSE)</f>
        <v>#N/A</v>
      </c>
      <c r="AP325" s="60" t="e">
        <f>100+HLOOKUP(AP$4,$D$7:$P$336,$R325,FALSE)-HLOOKUP(AP$3,$D$7:$P$336,$R325,FALSE)</f>
        <v>#N/A</v>
      </c>
      <c r="AQ325" s="60" t="e">
        <f>100+HLOOKUP(AQ$4,$D$7:$P$336,$R325,FALSE)-HLOOKUP(AQ$3,$D$7:$P$336,$R325,FALSE)</f>
        <v>#N/A</v>
      </c>
      <c r="AV325" s="60">
        <f ca="1">AV$5-S325</f>
        <v>30.562399426796432</v>
      </c>
      <c r="AW325" s="60">
        <f ca="1">AW$5-T325</f>
        <v>21.592650529757748</v>
      </c>
      <c r="AX325" s="60">
        <f ca="1">AX$5-U325</f>
        <v>29.148915403668056</v>
      </c>
      <c r="AY325" s="60">
        <f ca="1">AY$5-V325</f>
        <v>20.976014401527792</v>
      </c>
      <c r="AZ325" s="60">
        <f ca="1">AZ$5-W325</f>
        <v>24.82648217259603</v>
      </c>
      <c r="BA325" s="60">
        <f ca="1">BA$5-X325</f>
        <v>25.837059058982703</v>
      </c>
      <c r="BB325" s="60">
        <f ca="1">BB$5-Y325</f>
        <v>20.722592727381127</v>
      </c>
      <c r="BC325" s="60">
        <f ca="1">BC$5-Z325</f>
        <v>34.810465909882168</v>
      </c>
      <c r="BD325" s="60">
        <f ca="1">BD$5-AA325</f>
        <v>25.309518664382352</v>
      </c>
      <c r="BE325" s="60">
        <f ca="1">BE$5-AB325</f>
        <v>19.201390591992194</v>
      </c>
      <c r="BF325" s="60">
        <f ca="1">BF$5-AC325</f>
        <v>-18.534695683522912</v>
      </c>
      <c r="BG325" s="60">
        <f ca="1">BG$5-AD325</f>
        <v>-15.565741294981493</v>
      </c>
      <c r="BH325" s="60">
        <f ca="1">BH$5-AE325</f>
        <v>-20.59740776963244</v>
      </c>
      <c r="BI325" s="60">
        <f ca="1">BI$5-AF325</f>
        <v>-28.943494488745202</v>
      </c>
      <c r="BJ325" s="60">
        <f ca="1">BJ$5-AG325</f>
        <v>18.81255105767876</v>
      </c>
      <c r="BK325" s="60" t="e">
        <f>BK$5-AH325</f>
        <v>#N/A</v>
      </c>
      <c r="BL325" s="60" t="e">
        <f>BL$5-AI325</f>
        <v>#N/A</v>
      </c>
      <c r="BM325" s="60" t="e">
        <f>BM$5-AJ325</f>
        <v>#N/A</v>
      </c>
      <c r="BN325" s="60" t="e">
        <f>BN$5-AK325</f>
        <v>#N/A</v>
      </c>
      <c r="BO325" s="60" t="e">
        <f>BO$5-AL325</f>
        <v>#N/A</v>
      </c>
      <c r="BP325" s="60" t="e">
        <f>BP$5-AM325</f>
        <v>#N/A</v>
      </c>
      <c r="BQ325" s="60" t="e">
        <f>BQ$5-AN325</f>
        <v>#N/A</v>
      </c>
      <c r="BR325" s="60" t="e">
        <f>BR$5-AO325</f>
        <v>#N/A</v>
      </c>
      <c r="BS325" s="60" t="e">
        <f>BS$5-AP325</f>
        <v>#N/A</v>
      </c>
      <c r="BT325" s="60" t="e">
        <f>BT$5-AQ325</f>
        <v>#N/A</v>
      </c>
      <c r="BV325" s="60" cm="1">
        <f t="array" aca="1" ref="BV325" ca="1">SQRT(SUMSQ(_xlfn._xlws.FILTER(AV325:BT325,ISNUMBER(AV325:BT325)))/COUNT(_xlfn._xlws.FILTER(AV325:BT325,ISNUMBER(AV325:BT325))))</f>
        <v>24.25701414474657</v>
      </c>
    </row>
    <row r="326" spans="3:74" x14ac:dyDescent="0.2">
      <c r="C326" s="60" t="s">
        <v>317</v>
      </c>
      <c r="D326" s="60">
        <v>0</v>
      </c>
      <c r="E326" s="60">
        <v>-4</v>
      </c>
      <c r="F326" s="60">
        <v>-8</v>
      </c>
      <c r="G326" s="60">
        <v>-12</v>
      </c>
      <c r="H326" s="60">
        <v>-16</v>
      </c>
      <c r="I326" s="60">
        <v>-20</v>
      </c>
      <c r="J326" s="60">
        <v>-23</v>
      </c>
      <c r="K326" s="60">
        <v>-27</v>
      </c>
      <c r="L326" s="60">
        <v>-31</v>
      </c>
      <c r="M326" s="60">
        <v>12</v>
      </c>
      <c r="N326" s="60">
        <v>8</v>
      </c>
      <c r="O326" s="60">
        <v>4</v>
      </c>
      <c r="P326" s="60">
        <v>0</v>
      </c>
      <c r="R326" s="61">
        <f>(ROW(R326)-ROW($C$6))</f>
        <v>320</v>
      </c>
      <c r="S326" s="60">
        <f ca="1">100+HLOOKUP(S$4,$D$7:$P$336,$R326,FALSE)-HLOOKUP(S$3,$D$7:$P$336,$R326,FALSE)</f>
        <v>72</v>
      </c>
      <c r="T326" s="60">
        <f ca="1">100+HLOOKUP(T$4,$D$7:$P$336,$R326,FALSE)-HLOOKUP(T$3,$D$7:$P$336,$R326,FALSE)</f>
        <v>73</v>
      </c>
      <c r="U326" s="60">
        <f ca="1">100+HLOOKUP(U$4,$D$7:$P$336,$R326,FALSE)-HLOOKUP(U$3,$D$7:$P$336,$R326,FALSE)</f>
        <v>73</v>
      </c>
      <c r="V326" s="60">
        <f ca="1">100+HLOOKUP(V$4,$D$7:$P$336,$R326,FALSE)-HLOOKUP(V$3,$D$7:$P$336,$R326,FALSE)</f>
        <v>72</v>
      </c>
      <c r="W326" s="60">
        <f ca="1">100+HLOOKUP(W$4,$D$7:$P$336,$R326,FALSE)-HLOOKUP(W$3,$D$7:$P$336,$R326,FALSE)</f>
        <v>73</v>
      </c>
      <c r="X326" s="60">
        <f ca="1">100+HLOOKUP(X$4,$D$7:$P$336,$R326,FALSE)-HLOOKUP(X$3,$D$7:$P$336,$R326,FALSE)</f>
        <v>72</v>
      </c>
      <c r="Y326" s="60">
        <f ca="1">100+HLOOKUP(Y$4,$D$7:$P$336,$R326,FALSE)-HLOOKUP(Y$3,$D$7:$P$336,$R326,FALSE)</f>
        <v>73</v>
      </c>
      <c r="Z326" s="60">
        <f ca="1">100+HLOOKUP(Z$4,$D$7:$P$336,$R326,FALSE)-HLOOKUP(Z$3,$D$7:$P$336,$R326,FALSE)</f>
        <v>73</v>
      </c>
      <c r="AA326" s="60">
        <f ca="1">100+HLOOKUP(AA$4,$D$7:$P$336,$R326,FALSE)-HLOOKUP(AA$3,$D$7:$P$336,$R326,FALSE)</f>
        <v>72</v>
      </c>
      <c r="AB326" s="60">
        <f ca="1">100+HLOOKUP(AB$4,$D$7:$P$336,$R326,FALSE)-HLOOKUP(AB$3,$D$7:$P$336,$R326,FALSE)</f>
        <v>73</v>
      </c>
      <c r="AC326" s="60">
        <f ca="1">100+HLOOKUP(AC$4,$D$7:$P$336,$R326,FALSE)-HLOOKUP(AC$3,$D$7:$P$336,$R326,FALSE)</f>
        <v>120</v>
      </c>
      <c r="AD326" s="60">
        <f ca="1">100+HLOOKUP(AD$4,$D$7:$P$336,$R326,FALSE)-HLOOKUP(AD$3,$D$7:$P$336,$R326,FALSE)</f>
        <v>120</v>
      </c>
      <c r="AE326" s="60">
        <f ca="1">100+HLOOKUP(AE$4,$D$7:$P$336,$R326,FALSE)-HLOOKUP(AE$3,$D$7:$P$336,$R326,FALSE)</f>
        <v>119</v>
      </c>
      <c r="AF326" s="60">
        <f ca="1">100+HLOOKUP(AF$4,$D$7:$P$336,$R326,FALSE)-HLOOKUP(AF$3,$D$7:$P$336,$R326,FALSE)</f>
        <v>119</v>
      </c>
      <c r="AG326" s="60">
        <f ca="1">100+HLOOKUP(AG$4,$D$7:$P$336,$R326,FALSE)-HLOOKUP(AG$3,$D$7:$P$336,$R326,FALSE)</f>
        <v>72</v>
      </c>
      <c r="AH326" s="60" t="e">
        <f>100+HLOOKUP(AH$4,$D$7:$P$336,$R326,FALSE)-HLOOKUP(AH$3,$D$7:$P$336,$R326,FALSE)</f>
        <v>#N/A</v>
      </c>
      <c r="AI326" s="60" t="e">
        <f>100+HLOOKUP(AI$4,$D$7:$P$336,$R326,FALSE)-HLOOKUP(AI$3,$D$7:$P$336,$R326,FALSE)</f>
        <v>#N/A</v>
      </c>
      <c r="AJ326" s="60" t="e">
        <f>100+HLOOKUP(AJ$4,$D$7:$P$336,$R326,FALSE)-HLOOKUP(AJ$3,$D$7:$P$336,$R326,FALSE)</f>
        <v>#N/A</v>
      </c>
      <c r="AK326" s="60" t="e">
        <f>100+HLOOKUP(AK$4,$D$7:$P$336,$R326,FALSE)-HLOOKUP(AK$3,$D$7:$P$336,$R326,FALSE)</f>
        <v>#N/A</v>
      </c>
      <c r="AL326" s="60" t="e">
        <f>100+HLOOKUP(AL$4,$D$7:$P$336,$R326,FALSE)-HLOOKUP(AL$3,$D$7:$P$336,$R326,FALSE)</f>
        <v>#N/A</v>
      </c>
      <c r="AM326" s="60" t="e">
        <f>100+HLOOKUP(AM$4,$D$7:$P$336,$R326,FALSE)-HLOOKUP(AM$3,$D$7:$P$336,$R326,FALSE)</f>
        <v>#N/A</v>
      </c>
      <c r="AN326" s="60" t="e">
        <f>100+HLOOKUP(AN$4,$D$7:$P$336,$R326,FALSE)-HLOOKUP(AN$3,$D$7:$P$336,$R326,FALSE)</f>
        <v>#N/A</v>
      </c>
      <c r="AO326" s="60" t="e">
        <f>100+HLOOKUP(AO$4,$D$7:$P$336,$R326,FALSE)-HLOOKUP(AO$3,$D$7:$P$336,$R326,FALSE)</f>
        <v>#N/A</v>
      </c>
      <c r="AP326" s="60" t="e">
        <f>100+HLOOKUP(AP$4,$D$7:$P$336,$R326,FALSE)-HLOOKUP(AP$3,$D$7:$P$336,$R326,FALSE)</f>
        <v>#N/A</v>
      </c>
      <c r="AQ326" s="60" t="e">
        <f>100+HLOOKUP(AQ$4,$D$7:$P$336,$R326,FALSE)-HLOOKUP(AQ$3,$D$7:$P$336,$R326,FALSE)</f>
        <v>#N/A</v>
      </c>
      <c r="AV326" s="60">
        <f ca="1">AV$5-S326</f>
        <v>31.190399426796432</v>
      </c>
      <c r="AW326" s="60">
        <f ca="1">AW$5-T326</f>
        <v>21.220650529757748</v>
      </c>
      <c r="AX326" s="60">
        <f ca="1">AX$5-U326</f>
        <v>28.775915403668051</v>
      </c>
      <c r="AY326" s="60">
        <f ca="1">AY$5-V326</f>
        <v>21.603014401527801</v>
      </c>
      <c r="AZ326" s="60">
        <f ca="1">AZ$5-W326</f>
        <v>24.45448217259603</v>
      </c>
      <c r="BA326" s="60">
        <f ca="1">BA$5-X326</f>
        <v>26.465059058982703</v>
      </c>
      <c r="BB326" s="60">
        <f ca="1">BB$5-Y326</f>
        <v>20.350592727381127</v>
      </c>
      <c r="BC326" s="60">
        <f ca="1">BC$5-Z326</f>
        <v>34.437465909882164</v>
      </c>
      <c r="BD326" s="60">
        <f ca="1">BD$5-AA326</f>
        <v>25.936518664382362</v>
      </c>
      <c r="BE326" s="60">
        <f ca="1">BE$5-AB326</f>
        <v>18.829390591992194</v>
      </c>
      <c r="BF326" s="60">
        <f ca="1">BF$5-AC326</f>
        <v>-18.98269568352292</v>
      </c>
      <c r="BG326" s="60">
        <f ca="1">BG$5-AD326</f>
        <v>-16.014741294981491</v>
      </c>
      <c r="BH326" s="60">
        <f ca="1">BH$5-AE326</f>
        <v>-20.045407769632433</v>
      </c>
      <c r="BI326" s="60">
        <f ca="1">BI$5-AF326</f>
        <v>-28.391494488745195</v>
      </c>
      <c r="BJ326" s="60">
        <f ca="1">BJ$5-AG326</f>
        <v>19.43955105767877</v>
      </c>
      <c r="BK326" s="60" t="e">
        <f>BK$5-AH326</f>
        <v>#N/A</v>
      </c>
      <c r="BL326" s="60" t="e">
        <f>BL$5-AI326</f>
        <v>#N/A</v>
      </c>
      <c r="BM326" s="60" t="e">
        <f>BM$5-AJ326</f>
        <v>#N/A</v>
      </c>
      <c r="BN326" s="60" t="e">
        <f>BN$5-AK326</f>
        <v>#N/A</v>
      </c>
      <c r="BO326" s="60" t="e">
        <f>BO$5-AL326</f>
        <v>#N/A</v>
      </c>
      <c r="BP326" s="60" t="e">
        <f>BP$5-AM326</f>
        <v>#N/A</v>
      </c>
      <c r="BQ326" s="60" t="e">
        <f>BQ$5-AN326</f>
        <v>#N/A</v>
      </c>
      <c r="BR326" s="60" t="e">
        <f>BR$5-AO326</f>
        <v>#N/A</v>
      </c>
      <c r="BS326" s="60" t="e">
        <f>BS$5-AP326</f>
        <v>#N/A</v>
      </c>
      <c r="BT326" s="60" t="e">
        <f>BT$5-AQ326</f>
        <v>#N/A</v>
      </c>
      <c r="BV326" s="60" cm="1">
        <f t="array" aca="1" ref="BV326" ca="1">SQRT(SUMSQ(_xlfn._xlws.FILTER(AV326:BT326,ISNUMBER(AV326:BT326)))/COUNT(_xlfn._xlws.FILTER(AV326:BT326,ISNUMBER(AV326:BT326))))</f>
        <v>24.28478590636211</v>
      </c>
    </row>
    <row r="327" spans="3:74" x14ac:dyDescent="0.2">
      <c r="C327" s="60" t="s">
        <v>396</v>
      </c>
      <c r="D327" s="60">
        <v>0</v>
      </c>
      <c r="E327" s="60">
        <v>-4</v>
      </c>
      <c r="F327" s="60">
        <v>-8</v>
      </c>
      <c r="G327" s="60">
        <v>-12</v>
      </c>
      <c r="H327" s="60">
        <v>-16</v>
      </c>
      <c r="I327" s="60">
        <v>-20</v>
      </c>
      <c r="J327" s="60">
        <v>-24</v>
      </c>
      <c r="K327" s="60">
        <v>-28</v>
      </c>
      <c r="L327" s="60">
        <v>-32</v>
      </c>
      <c r="M327" s="60">
        <v>12</v>
      </c>
      <c r="N327" s="60">
        <v>8</v>
      </c>
      <c r="O327" s="60">
        <v>4</v>
      </c>
      <c r="P327" s="60">
        <v>0</v>
      </c>
      <c r="R327" s="61">
        <f>(ROW(R327)-ROW($C$6))</f>
        <v>321</v>
      </c>
      <c r="S327" s="60">
        <f ca="1">100+HLOOKUP(S$4,$D$7:$P$336,$R327,FALSE)-HLOOKUP(S$3,$D$7:$P$336,$R327,FALSE)</f>
        <v>72</v>
      </c>
      <c r="T327" s="60">
        <f ca="1">100+HLOOKUP(T$4,$D$7:$P$336,$R327,FALSE)-HLOOKUP(T$3,$D$7:$P$336,$R327,FALSE)</f>
        <v>72</v>
      </c>
      <c r="U327" s="60">
        <f ca="1">100+HLOOKUP(U$4,$D$7:$P$336,$R327,FALSE)-HLOOKUP(U$3,$D$7:$P$336,$R327,FALSE)</f>
        <v>72</v>
      </c>
      <c r="V327" s="60">
        <f ca="1">100+HLOOKUP(V$4,$D$7:$P$336,$R327,FALSE)-HLOOKUP(V$3,$D$7:$P$336,$R327,FALSE)</f>
        <v>72</v>
      </c>
      <c r="W327" s="60">
        <f ca="1">100+HLOOKUP(W$4,$D$7:$P$336,$R327,FALSE)-HLOOKUP(W$3,$D$7:$P$336,$R327,FALSE)</f>
        <v>72</v>
      </c>
      <c r="X327" s="60">
        <f ca="1">100+HLOOKUP(X$4,$D$7:$P$336,$R327,FALSE)-HLOOKUP(X$3,$D$7:$P$336,$R327,FALSE)</f>
        <v>72</v>
      </c>
      <c r="Y327" s="60">
        <f ca="1">100+HLOOKUP(Y$4,$D$7:$P$336,$R327,FALSE)-HLOOKUP(Y$3,$D$7:$P$336,$R327,FALSE)</f>
        <v>72</v>
      </c>
      <c r="Z327" s="60">
        <f ca="1">100+HLOOKUP(Z$4,$D$7:$P$336,$R327,FALSE)-HLOOKUP(Z$3,$D$7:$P$336,$R327,FALSE)</f>
        <v>72</v>
      </c>
      <c r="AA327" s="60">
        <f ca="1">100+HLOOKUP(AA$4,$D$7:$P$336,$R327,FALSE)-HLOOKUP(AA$3,$D$7:$P$336,$R327,FALSE)</f>
        <v>72</v>
      </c>
      <c r="AB327" s="60">
        <f ca="1">100+HLOOKUP(AB$4,$D$7:$P$336,$R327,FALSE)-HLOOKUP(AB$3,$D$7:$P$336,$R327,FALSE)</f>
        <v>72</v>
      </c>
      <c r="AC327" s="60">
        <f ca="1">100+HLOOKUP(AC$4,$D$7:$P$336,$R327,FALSE)-HLOOKUP(AC$3,$D$7:$P$336,$R327,FALSE)</f>
        <v>120</v>
      </c>
      <c r="AD327" s="60">
        <f ca="1">100+HLOOKUP(AD$4,$D$7:$P$336,$R327,FALSE)-HLOOKUP(AD$3,$D$7:$P$336,$R327,FALSE)</f>
        <v>120</v>
      </c>
      <c r="AE327" s="60">
        <f ca="1">100+HLOOKUP(AE$4,$D$7:$P$336,$R327,FALSE)-HLOOKUP(AE$3,$D$7:$P$336,$R327,FALSE)</f>
        <v>120</v>
      </c>
      <c r="AF327" s="60">
        <f ca="1">100+HLOOKUP(AF$4,$D$7:$P$336,$R327,FALSE)-HLOOKUP(AF$3,$D$7:$P$336,$R327,FALSE)</f>
        <v>120</v>
      </c>
      <c r="AG327" s="60">
        <f ca="1">100+HLOOKUP(AG$4,$D$7:$P$336,$R327,FALSE)-HLOOKUP(AG$3,$D$7:$P$336,$R327,FALSE)</f>
        <v>72</v>
      </c>
      <c r="AH327" s="60" t="e">
        <f>100+HLOOKUP(AH$4,$D$7:$P$336,$R327,FALSE)-HLOOKUP(AH$3,$D$7:$P$336,$R327,FALSE)</f>
        <v>#N/A</v>
      </c>
      <c r="AI327" s="60" t="e">
        <f>100+HLOOKUP(AI$4,$D$7:$P$336,$R327,FALSE)-HLOOKUP(AI$3,$D$7:$P$336,$R327,FALSE)</f>
        <v>#N/A</v>
      </c>
      <c r="AJ327" s="60" t="e">
        <f>100+HLOOKUP(AJ$4,$D$7:$P$336,$R327,FALSE)-HLOOKUP(AJ$3,$D$7:$P$336,$R327,FALSE)</f>
        <v>#N/A</v>
      </c>
      <c r="AK327" s="60" t="e">
        <f>100+HLOOKUP(AK$4,$D$7:$P$336,$R327,FALSE)-HLOOKUP(AK$3,$D$7:$P$336,$R327,FALSE)</f>
        <v>#N/A</v>
      </c>
      <c r="AL327" s="60" t="e">
        <f>100+HLOOKUP(AL$4,$D$7:$P$336,$R327,FALSE)-HLOOKUP(AL$3,$D$7:$P$336,$R327,FALSE)</f>
        <v>#N/A</v>
      </c>
      <c r="AM327" s="60" t="e">
        <f>100+HLOOKUP(AM$4,$D$7:$P$336,$R327,FALSE)-HLOOKUP(AM$3,$D$7:$P$336,$R327,FALSE)</f>
        <v>#N/A</v>
      </c>
      <c r="AN327" s="60" t="e">
        <f>100+HLOOKUP(AN$4,$D$7:$P$336,$R327,FALSE)-HLOOKUP(AN$3,$D$7:$P$336,$R327,FALSE)</f>
        <v>#N/A</v>
      </c>
      <c r="AO327" s="60" t="e">
        <f>100+HLOOKUP(AO$4,$D$7:$P$336,$R327,FALSE)-HLOOKUP(AO$3,$D$7:$P$336,$R327,FALSE)</f>
        <v>#N/A</v>
      </c>
      <c r="AP327" s="60" t="e">
        <f>100+HLOOKUP(AP$4,$D$7:$P$336,$R327,FALSE)-HLOOKUP(AP$3,$D$7:$P$336,$R327,FALSE)</f>
        <v>#N/A</v>
      </c>
      <c r="AQ327" s="60" t="e">
        <f>100+HLOOKUP(AQ$4,$D$7:$P$336,$R327,FALSE)-HLOOKUP(AQ$3,$D$7:$P$336,$R327,FALSE)</f>
        <v>#N/A</v>
      </c>
      <c r="AV327" s="60">
        <f ca="1">AV$5-S327</f>
        <v>31.190399426796432</v>
      </c>
      <c r="AW327" s="60">
        <f ca="1">AW$5-T327</f>
        <v>22.220650529757748</v>
      </c>
      <c r="AX327" s="60">
        <f ca="1">AX$5-U327</f>
        <v>29.775915403668051</v>
      </c>
      <c r="AY327" s="60">
        <f ca="1">AY$5-V327</f>
        <v>21.603014401527801</v>
      </c>
      <c r="AZ327" s="60">
        <f ca="1">AZ$5-W327</f>
        <v>25.45448217259603</v>
      </c>
      <c r="BA327" s="60">
        <f ca="1">BA$5-X327</f>
        <v>26.465059058982703</v>
      </c>
      <c r="BB327" s="60">
        <f ca="1">BB$5-Y327</f>
        <v>21.350592727381127</v>
      </c>
      <c r="BC327" s="60">
        <f ca="1">BC$5-Z327</f>
        <v>35.437465909882164</v>
      </c>
      <c r="BD327" s="60">
        <f ca="1">BD$5-AA327</f>
        <v>25.936518664382362</v>
      </c>
      <c r="BE327" s="60">
        <f ca="1">BE$5-AB327</f>
        <v>19.829390591992194</v>
      </c>
      <c r="BF327" s="60">
        <f ca="1">BF$5-AC327</f>
        <v>-18.98269568352292</v>
      </c>
      <c r="BG327" s="60">
        <f ca="1">BG$5-AD327</f>
        <v>-16.014741294981491</v>
      </c>
      <c r="BH327" s="60">
        <f ca="1">BH$5-AE327</f>
        <v>-21.045407769632433</v>
      </c>
      <c r="BI327" s="60">
        <f ca="1">BI$5-AF327</f>
        <v>-29.391494488745195</v>
      </c>
      <c r="BJ327" s="60">
        <f ca="1">BJ$5-AG327</f>
        <v>19.43955105767877</v>
      </c>
      <c r="BK327" s="60" t="e">
        <f>BK$5-AH327</f>
        <v>#N/A</v>
      </c>
      <c r="BL327" s="60" t="e">
        <f>BL$5-AI327</f>
        <v>#N/A</v>
      </c>
      <c r="BM327" s="60" t="e">
        <f>BM$5-AJ327</f>
        <v>#N/A</v>
      </c>
      <c r="BN327" s="60" t="e">
        <f>BN$5-AK327</f>
        <v>#N/A</v>
      </c>
      <c r="BO327" s="60" t="e">
        <f>BO$5-AL327</f>
        <v>#N/A</v>
      </c>
      <c r="BP327" s="60" t="e">
        <f>BP$5-AM327</f>
        <v>#N/A</v>
      </c>
      <c r="BQ327" s="60" t="e">
        <f>BQ$5-AN327</f>
        <v>#N/A</v>
      </c>
      <c r="BR327" s="60" t="e">
        <f>BR$5-AO327</f>
        <v>#N/A</v>
      </c>
      <c r="BS327" s="60" t="e">
        <f>BS$5-AP327</f>
        <v>#N/A</v>
      </c>
      <c r="BT327" s="60" t="e">
        <f>BT$5-AQ327</f>
        <v>#N/A</v>
      </c>
      <c r="BV327" s="60" cm="1">
        <f t="array" aca="1" ref="BV327" ca="1">SQRT(SUMSQ(_xlfn._xlws.FILTER(AV327:BT327,ISNUMBER(AV327:BT327)))/COUNT(_xlfn._xlws.FILTER(AV327:BT327,ISNUMBER(AV327:BT327))))</f>
        <v>24.829113552380349</v>
      </c>
    </row>
    <row r="328" spans="3:74" x14ac:dyDescent="0.2">
      <c r="C328" s="60" t="s">
        <v>397</v>
      </c>
      <c r="D328" s="60">
        <v>0</v>
      </c>
      <c r="E328" s="60">
        <v>-4.0190000000000001</v>
      </c>
      <c r="F328" s="60">
        <v>-8.0380000000000003</v>
      </c>
      <c r="G328" s="60">
        <v>-12.057</v>
      </c>
      <c r="H328" s="60">
        <v>-16.076000000000001</v>
      </c>
      <c r="I328" s="60">
        <v>-20.094999999999999</v>
      </c>
      <c r="J328" s="60">
        <v>-24.114000000000001</v>
      </c>
      <c r="K328" s="60">
        <v>-28.132000000000001</v>
      </c>
      <c r="L328" s="60">
        <v>-32.152000000000001</v>
      </c>
      <c r="M328" s="60">
        <v>12.057</v>
      </c>
      <c r="N328" s="60">
        <v>8.0380000000000003</v>
      </c>
      <c r="O328" s="60">
        <v>4.0190000000000001</v>
      </c>
      <c r="P328" s="60">
        <v>0</v>
      </c>
      <c r="R328" s="61">
        <f>(ROW(R328)-ROW($C$6))</f>
        <v>322</v>
      </c>
      <c r="S328" s="60">
        <f ca="1">100+HLOOKUP(S$4,$D$7:$P$336,$R328,FALSE)-HLOOKUP(S$3,$D$7:$P$336,$R328,FALSE)</f>
        <v>71.867000000000004</v>
      </c>
      <c r="T328" s="60">
        <f ca="1">100+HLOOKUP(T$4,$D$7:$P$336,$R328,FALSE)-HLOOKUP(T$3,$D$7:$P$336,$R328,FALSE)</f>
        <v>71.86699999999999</v>
      </c>
      <c r="U328" s="60">
        <f ca="1">100+HLOOKUP(U$4,$D$7:$P$336,$R328,FALSE)-HLOOKUP(U$3,$D$7:$P$336,$R328,FALSE)</f>
        <v>71.867000000000004</v>
      </c>
      <c r="V328" s="60">
        <f ca="1">100+HLOOKUP(V$4,$D$7:$P$336,$R328,FALSE)-HLOOKUP(V$3,$D$7:$P$336,$R328,FALSE)</f>
        <v>71.867000000000004</v>
      </c>
      <c r="W328" s="60">
        <f ca="1">100+HLOOKUP(W$4,$D$7:$P$336,$R328,FALSE)-HLOOKUP(W$3,$D$7:$P$336,$R328,FALSE)</f>
        <v>71.867999999999995</v>
      </c>
      <c r="X328" s="60">
        <f ca="1">100+HLOOKUP(X$4,$D$7:$P$336,$R328,FALSE)-HLOOKUP(X$3,$D$7:$P$336,$R328,FALSE)</f>
        <v>71.867000000000004</v>
      </c>
      <c r="Y328" s="60">
        <f ca="1">100+HLOOKUP(Y$4,$D$7:$P$336,$R328,FALSE)-HLOOKUP(Y$3,$D$7:$P$336,$R328,FALSE)</f>
        <v>71.86699999999999</v>
      </c>
      <c r="Z328" s="60">
        <f ca="1">100+HLOOKUP(Z$4,$D$7:$P$336,$R328,FALSE)-HLOOKUP(Z$3,$D$7:$P$336,$R328,FALSE)</f>
        <v>71.867000000000004</v>
      </c>
      <c r="AA328" s="60">
        <f ca="1">100+HLOOKUP(AA$4,$D$7:$P$336,$R328,FALSE)-HLOOKUP(AA$3,$D$7:$P$336,$R328,FALSE)</f>
        <v>71.867000000000004</v>
      </c>
      <c r="AB328" s="60">
        <f ca="1">100+HLOOKUP(AB$4,$D$7:$P$336,$R328,FALSE)-HLOOKUP(AB$3,$D$7:$P$336,$R328,FALSE)</f>
        <v>71.867999999999995</v>
      </c>
      <c r="AC328" s="60">
        <f ca="1">100+HLOOKUP(AC$4,$D$7:$P$336,$R328,FALSE)-HLOOKUP(AC$3,$D$7:$P$336,$R328,FALSE)</f>
        <v>120.095</v>
      </c>
      <c r="AD328" s="60">
        <f ca="1">100+HLOOKUP(AD$4,$D$7:$P$336,$R328,FALSE)-HLOOKUP(AD$3,$D$7:$P$336,$R328,FALSE)</f>
        <v>120.095</v>
      </c>
      <c r="AE328" s="60">
        <f ca="1">100+HLOOKUP(AE$4,$D$7:$P$336,$R328,FALSE)-HLOOKUP(AE$3,$D$7:$P$336,$R328,FALSE)</f>
        <v>120.095</v>
      </c>
      <c r="AF328" s="60">
        <f ca="1">100+HLOOKUP(AF$4,$D$7:$P$336,$R328,FALSE)-HLOOKUP(AF$3,$D$7:$P$336,$R328,FALSE)</f>
        <v>120.095</v>
      </c>
      <c r="AG328" s="60">
        <f ca="1">100+HLOOKUP(AG$4,$D$7:$P$336,$R328,FALSE)-HLOOKUP(AG$3,$D$7:$P$336,$R328,FALSE)</f>
        <v>71.867000000000004</v>
      </c>
      <c r="AH328" s="60" t="e">
        <f>100+HLOOKUP(AH$4,$D$7:$P$336,$R328,FALSE)-HLOOKUP(AH$3,$D$7:$P$336,$R328,FALSE)</f>
        <v>#N/A</v>
      </c>
      <c r="AI328" s="60" t="e">
        <f>100+HLOOKUP(AI$4,$D$7:$P$336,$R328,FALSE)-HLOOKUP(AI$3,$D$7:$P$336,$R328,FALSE)</f>
        <v>#N/A</v>
      </c>
      <c r="AJ328" s="60" t="e">
        <f>100+HLOOKUP(AJ$4,$D$7:$P$336,$R328,FALSE)-HLOOKUP(AJ$3,$D$7:$P$336,$R328,FALSE)</f>
        <v>#N/A</v>
      </c>
      <c r="AK328" s="60" t="e">
        <f>100+HLOOKUP(AK$4,$D$7:$P$336,$R328,FALSE)-HLOOKUP(AK$3,$D$7:$P$336,$R328,FALSE)</f>
        <v>#N/A</v>
      </c>
      <c r="AL328" s="60" t="e">
        <f>100+HLOOKUP(AL$4,$D$7:$P$336,$R328,FALSE)-HLOOKUP(AL$3,$D$7:$P$336,$R328,FALSE)</f>
        <v>#N/A</v>
      </c>
      <c r="AM328" s="60" t="e">
        <f>100+HLOOKUP(AM$4,$D$7:$P$336,$R328,FALSE)-HLOOKUP(AM$3,$D$7:$P$336,$R328,FALSE)</f>
        <v>#N/A</v>
      </c>
      <c r="AN328" s="60" t="e">
        <f>100+HLOOKUP(AN$4,$D$7:$P$336,$R328,FALSE)-HLOOKUP(AN$3,$D$7:$P$336,$R328,FALSE)</f>
        <v>#N/A</v>
      </c>
      <c r="AO328" s="60" t="e">
        <f>100+HLOOKUP(AO$4,$D$7:$P$336,$R328,FALSE)-HLOOKUP(AO$3,$D$7:$P$336,$R328,FALSE)</f>
        <v>#N/A</v>
      </c>
      <c r="AP328" s="60" t="e">
        <f>100+HLOOKUP(AP$4,$D$7:$P$336,$R328,FALSE)-HLOOKUP(AP$3,$D$7:$P$336,$R328,FALSE)</f>
        <v>#N/A</v>
      </c>
      <c r="AQ328" s="60" t="e">
        <f>100+HLOOKUP(AQ$4,$D$7:$P$336,$R328,FALSE)-HLOOKUP(AQ$3,$D$7:$P$336,$R328,FALSE)</f>
        <v>#N/A</v>
      </c>
      <c r="AV328" s="60">
        <f ca="1">AV$5-S328</f>
        <v>31.323399426796428</v>
      </c>
      <c r="AW328" s="60">
        <f ca="1">AW$5-T328</f>
        <v>22.353650529757758</v>
      </c>
      <c r="AX328" s="60">
        <f ca="1">AX$5-U328</f>
        <v>29.908915403668047</v>
      </c>
      <c r="AY328" s="60">
        <f ca="1">AY$5-V328</f>
        <v>21.736014401527797</v>
      </c>
      <c r="AZ328" s="60">
        <f ca="1">AZ$5-W328</f>
        <v>25.586482172596035</v>
      </c>
      <c r="BA328" s="60">
        <f ca="1">BA$5-X328</f>
        <v>26.598059058982699</v>
      </c>
      <c r="BB328" s="60">
        <f ca="1">BB$5-Y328</f>
        <v>21.483592727381136</v>
      </c>
      <c r="BC328" s="60">
        <f ca="1">BC$5-Z328</f>
        <v>35.570465909882159</v>
      </c>
      <c r="BD328" s="60">
        <f ca="1">BD$5-AA328</f>
        <v>26.069518664382358</v>
      </c>
      <c r="BE328" s="60">
        <f ca="1">BE$5-AB328</f>
        <v>19.961390591992199</v>
      </c>
      <c r="BF328" s="60">
        <f ca="1">BF$5-AC328</f>
        <v>-19.077695683522919</v>
      </c>
      <c r="BG328" s="60">
        <f ca="1">BG$5-AD328</f>
        <v>-16.10974129498149</v>
      </c>
      <c r="BH328" s="60">
        <f ca="1">BH$5-AE328</f>
        <v>-21.140407769632432</v>
      </c>
      <c r="BI328" s="60">
        <f ca="1">BI$5-AF328</f>
        <v>-29.486494488745194</v>
      </c>
      <c r="BJ328" s="60">
        <f ca="1">BJ$5-AG328</f>
        <v>19.572551057678766</v>
      </c>
      <c r="BK328" s="60" t="e">
        <f>BK$5-AH328</f>
        <v>#N/A</v>
      </c>
      <c r="BL328" s="60" t="e">
        <f>BL$5-AI328</f>
        <v>#N/A</v>
      </c>
      <c r="BM328" s="60" t="e">
        <f>BM$5-AJ328</f>
        <v>#N/A</v>
      </c>
      <c r="BN328" s="60" t="e">
        <f>BN$5-AK328</f>
        <v>#N/A</v>
      </c>
      <c r="BO328" s="60" t="e">
        <f>BO$5-AL328</f>
        <v>#N/A</v>
      </c>
      <c r="BP328" s="60" t="e">
        <f>BP$5-AM328</f>
        <v>#N/A</v>
      </c>
      <c r="BQ328" s="60" t="e">
        <f>BQ$5-AN328</f>
        <v>#N/A</v>
      </c>
      <c r="BR328" s="60" t="e">
        <f>BR$5-AO328</f>
        <v>#N/A</v>
      </c>
      <c r="BS328" s="60" t="e">
        <f>BS$5-AP328</f>
        <v>#N/A</v>
      </c>
      <c r="BT328" s="60" t="e">
        <f>BT$5-AQ328</f>
        <v>#N/A</v>
      </c>
      <c r="BV328" s="60" cm="1">
        <f t="array" aca="1" ref="BV328" ca="1">SQRT(SUMSQ(_xlfn._xlws.FILTER(AV328:BT328,ISNUMBER(AV328:BT328)))/COUNT(_xlfn._xlws.FILTER(AV328:BT328,ISNUMBER(AV328:BT328))))</f>
        <v>24.950324395071792</v>
      </c>
    </row>
    <row r="329" spans="3:74" x14ac:dyDescent="0.2">
      <c r="C329" s="60" t="s">
        <v>176</v>
      </c>
      <c r="D329" s="60">
        <v>0</v>
      </c>
      <c r="E329" s="60">
        <v>2</v>
      </c>
      <c r="F329" s="60">
        <v>4</v>
      </c>
      <c r="G329" s="60">
        <v>-17</v>
      </c>
      <c r="H329" s="60">
        <v>-15</v>
      </c>
      <c r="I329" s="60">
        <v>-13</v>
      </c>
      <c r="J329" s="60">
        <v>-11</v>
      </c>
      <c r="K329" s="60">
        <v>-32</v>
      </c>
      <c r="L329" s="60">
        <v>-30</v>
      </c>
      <c r="M329" s="60">
        <v>17</v>
      </c>
      <c r="N329" s="60">
        <v>19</v>
      </c>
      <c r="O329" s="60">
        <v>-2</v>
      </c>
      <c r="P329" s="60">
        <v>0</v>
      </c>
      <c r="R329" s="61">
        <f>(ROW(R329)-ROW($C$6))</f>
        <v>323</v>
      </c>
      <c r="S329" s="60">
        <f ca="1">100+HLOOKUP(S$4,$D$7:$P$336,$R329,FALSE)-HLOOKUP(S$3,$D$7:$P$336,$R329,FALSE)</f>
        <v>68</v>
      </c>
      <c r="T329" s="60">
        <f ca="1">100+HLOOKUP(T$4,$D$7:$P$336,$R329,FALSE)-HLOOKUP(T$3,$D$7:$P$336,$R329,FALSE)</f>
        <v>91</v>
      </c>
      <c r="U329" s="60">
        <f ca="1">100+HLOOKUP(U$4,$D$7:$P$336,$R329,FALSE)-HLOOKUP(U$3,$D$7:$P$336,$R329,FALSE)</f>
        <v>68</v>
      </c>
      <c r="V329" s="60">
        <f ca="1">100+HLOOKUP(V$4,$D$7:$P$336,$R329,FALSE)-HLOOKUP(V$3,$D$7:$P$336,$R329,FALSE)</f>
        <v>68</v>
      </c>
      <c r="W329" s="60">
        <f ca="1">100+HLOOKUP(W$4,$D$7:$P$336,$R329,FALSE)-HLOOKUP(W$3,$D$7:$P$336,$R329,FALSE)</f>
        <v>68</v>
      </c>
      <c r="X329" s="60">
        <f ca="1">100+HLOOKUP(X$4,$D$7:$P$336,$R329,FALSE)-HLOOKUP(X$3,$D$7:$P$336,$R329,FALSE)</f>
        <v>68</v>
      </c>
      <c r="Y329" s="60">
        <f ca="1">100+HLOOKUP(Y$4,$D$7:$P$336,$R329,FALSE)-HLOOKUP(Y$3,$D$7:$P$336,$R329,FALSE)</f>
        <v>91</v>
      </c>
      <c r="Z329" s="60">
        <f ca="1">100+HLOOKUP(Z$4,$D$7:$P$336,$R329,FALSE)-HLOOKUP(Z$3,$D$7:$P$336,$R329,FALSE)</f>
        <v>68</v>
      </c>
      <c r="AA329" s="60">
        <f ca="1">100+HLOOKUP(AA$4,$D$7:$P$336,$R329,FALSE)-HLOOKUP(AA$3,$D$7:$P$336,$R329,FALSE)</f>
        <v>68</v>
      </c>
      <c r="AB329" s="60">
        <f ca="1">100+HLOOKUP(AB$4,$D$7:$P$336,$R329,FALSE)-HLOOKUP(AB$3,$D$7:$P$336,$R329,FALSE)</f>
        <v>68</v>
      </c>
      <c r="AC329" s="60">
        <f ca="1">100+HLOOKUP(AC$4,$D$7:$P$336,$R329,FALSE)-HLOOKUP(AC$3,$D$7:$P$336,$R329,FALSE)</f>
        <v>113</v>
      </c>
      <c r="AD329" s="60">
        <f ca="1">100+HLOOKUP(AD$4,$D$7:$P$336,$R329,FALSE)-HLOOKUP(AD$3,$D$7:$P$336,$R329,FALSE)</f>
        <v>113</v>
      </c>
      <c r="AE329" s="60">
        <f ca="1">100+HLOOKUP(AE$4,$D$7:$P$336,$R329,FALSE)-HLOOKUP(AE$3,$D$7:$P$336,$R329,FALSE)</f>
        <v>113</v>
      </c>
      <c r="AF329" s="60">
        <f ca="1">100+HLOOKUP(AF$4,$D$7:$P$336,$R329,FALSE)-HLOOKUP(AF$3,$D$7:$P$336,$R329,FALSE)</f>
        <v>113</v>
      </c>
      <c r="AG329" s="60">
        <f ca="1">100+HLOOKUP(AG$4,$D$7:$P$336,$R329,FALSE)-HLOOKUP(AG$3,$D$7:$P$336,$R329,FALSE)</f>
        <v>68</v>
      </c>
      <c r="AH329" s="60" t="e">
        <f>100+HLOOKUP(AH$4,$D$7:$P$336,$R329,FALSE)-HLOOKUP(AH$3,$D$7:$P$336,$R329,FALSE)</f>
        <v>#N/A</v>
      </c>
      <c r="AI329" s="60" t="e">
        <f>100+HLOOKUP(AI$4,$D$7:$P$336,$R329,FALSE)-HLOOKUP(AI$3,$D$7:$P$336,$R329,FALSE)</f>
        <v>#N/A</v>
      </c>
      <c r="AJ329" s="60" t="e">
        <f>100+HLOOKUP(AJ$4,$D$7:$P$336,$R329,FALSE)-HLOOKUP(AJ$3,$D$7:$P$336,$R329,FALSE)</f>
        <v>#N/A</v>
      </c>
      <c r="AK329" s="60" t="e">
        <f>100+HLOOKUP(AK$4,$D$7:$P$336,$R329,FALSE)-HLOOKUP(AK$3,$D$7:$P$336,$R329,FALSE)</f>
        <v>#N/A</v>
      </c>
      <c r="AL329" s="60" t="e">
        <f>100+HLOOKUP(AL$4,$D$7:$P$336,$R329,FALSE)-HLOOKUP(AL$3,$D$7:$P$336,$R329,FALSE)</f>
        <v>#N/A</v>
      </c>
      <c r="AM329" s="60" t="e">
        <f>100+HLOOKUP(AM$4,$D$7:$P$336,$R329,FALSE)-HLOOKUP(AM$3,$D$7:$P$336,$R329,FALSE)</f>
        <v>#N/A</v>
      </c>
      <c r="AN329" s="60" t="e">
        <f>100+HLOOKUP(AN$4,$D$7:$P$336,$R329,FALSE)-HLOOKUP(AN$3,$D$7:$P$336,$R329,FALSE)</f>
        <v>#N/A</v>
      </c>
      <c r="AO329" s="60" t="e">
        <f>100+HLOOKUP(AO$4,$D$7:$P$336,$R329,FALSE)-HLOOKUP(AO$3,$D$7:$P$336,$R329,FALSE)</f>
        <v>#N/A</v>
      </c>
      <c r="AP329" s="60" t="e">
        <f>100+HLOOKUP(AP$4,$D$7:$P$336,$R329,FALSE)-HLOOKUP(AP$3,$D$7:$P$336,$R329,FALSE)</f>
        <v>#N/A</v>
      </c>
      <c r="AQ329" s="60" t="e">
        <f>100+HLOOKUP(AQ$4,$D$7:$P$336,$R329,FALSE)-HLOOKUP(AQ$3,$D$7:$P$336,$R329,FALSE)</f>
        <v>#N/A</v>
      </c>
      <c r="AV329" s="60">
        <f ca="1">AV$5-S329</f>
        <v>35.190399426796432</v>
      </c>
      <c r="AW329" s="60">
        <f ca="1">AW$5-T329</f>
        <v>3.2206505297577479</v>
      </c>
      <c r="AX329" s="60">
        <f ca="1">AX$5-U329</f>
        <v>33.775915403668051</v>
      </c>
      <c r="AY329" s="60">
        <f ca="1">AY$5-V329</f>
        <v>25.603014401527801</v>
      </c>
      <c r="AZ329" s="60">
        <f ca="1">AZ$5-W329</f>
        <v>29.45448217259603</v>
      </c>
      <c r="BA329" s="60">
        <f ca="1">BA$5-X329</f>
        <v>30.465059058982703</v>
      </c>
      <c r="BB329" s="60">
        <f ca="1">BB$5-Y329</f>
        <v>2.3505927273811267</v>
      </c>
      <c r="BC329" s="60">
        <f ca="1">BC$5-Z329</f>
        <v>39.437465909882164</v>
      </c>
      <c r="BD329" s="60">
        <f ca="1">BD$5-AA329</f>
        <v>29.936518664382362</v>
      </c>
      <c r="BE329" s="60">
        <f ca="1">BE$5-AB329</f>
        <v>23.829390591992194</v>
      </c>
      <c r="BF329" s="60">
        <f ca="1">BF$5-AC329</f>
        <v>-11.98269568352292</v>
      </c>
      <c r="BG329" s="60">
        <f ca="1">BG$5-AD329</f>
        <v>-9.0147412949814907</v>
      </c>
      <c r="BH329" s="60">
        <f ca="1">BH$5-AE329</f>
        <v>-14.045407769632433</v>
      </c>
      <c r="BI329" s="60">
        <f ca="1">BI$5-AF329</f>
        <v>-22.391494488745195</v>
      </c>
      <c r="BJ329" s="60">
        <f ca="1">BJ$5-AG329</f>
        <v>23.43955105767877</v>
      </c>
      <c r="BK329" s="60" t="e">
        <f>BK$5-AH329</f>
        <v>#N/A</v>
      </c>
      <c r="BL329" s="60" t="e">
        <f>BL$5-AI329</f>
        <v>#N/A</v>
      </c>
      <c r="BM329" s="60" t="e">
        <f>BM$5-AJ329</f>
        <v>#N/A</v>
      </c>
      <c r="BN329" s="60" t="e">
        <f>BN$5-AK329</f>
        <v>#N/A</v>
      </c>
      <c r="BO329" s="60" t="e">
        <f>BO$5-AL329</f>
        <v>#N/A</v>
      </c>
      <c r="BP329" s="60" t="e">
        <f>BP$5-AM329</f>
        <v>#N/A</v>
      </c>
      <c r="BQ329" s="60" t="e">
        <f>BQ$5-AN329</f>
        <v>#N/A</v>
      </c>
      <c r="BR329" s="60" t="e">
        <f>BR$5-AO329</f>
        <v>#N/A</v>
      </c>
      <c r="BS329" s="60" t="e">
        <f>BS$5-AP329</f>
        <v>#N/A</v>
      </c>
      <c r="BT329" s="60" t="e">
        <f>BT$5-AQ329</f>
        <v>#N/A</v>
      </c>
      <c r="BV329" s="60" cm="1">
        <f t="array" aca="1" ref="BV329" ca="1">SQRT(SUMSQ(_xlfn._xlws.FILTER(AV329:BT329,ISNUMBER(AV329:BT329)))/COUNT(_xlfn._xlws.FILTER(AV329:BT329,ISNUMBER(AV329:BT329))))</f>
        <v>24.951338744801372</v>
      </c>
    </row>
    <row r="330" spans="3:74" x14ac:dyDescent="0.2">
      <c r="C330" s="60" t="s">
        <v>177</v>
      </c>
      <c r="D330" s="60">
        <v>0</v>
      </c>
      <c r="E330" s="60">
        <v>1.887</v>
      </c>
      <c r="F330" s="60">
        <v>3.774</v>
      </c>
      <c r="G330" s="60">
        <v>-16.981000000000002</v>
      </c>
      <c r="H330" s="60">
        <v>-15.093999999999999</v>
      </c>
      <c r="I330" s="60">
        <v>-13.208</v>
      </c>
      <c r="J330" s="60">
        <v>-11.321</v>
      </c>
      <c r="K330" s="60">
        <v>-32.075000000000003</v>
      </c>
      <c r="L330" s="60">
        <v>-30.119</v>
      </c>
      <c r="M330" s="60">
        <v>16.981000000000002</v>
      </c>
      <c r="N330" s="60">
        <v>18.867999999999999</v>
      </c>
      <c r="O330" s="60">
        <v>-1.887</v>
      </c>
      <c r="P330" s="60">
        <v>0</v>
      </c>
      <c r="R330" s="61">
        <f>(ROW(R330)-ROW($C$6))</f>
        <v>324</v>
      </c>
      <c r="S330" s="60">
        <f ca="1">100+HLOOKUP(S$4,$D$7:$P$336,$R330,FALSE)-HLOOKUP(S$3,$D$7:$P$336,$R330,FALSE)</f>
        <v>67.925000000000011</v>
      </c>
      <c r="T330" s="60">
        <f ca="1">100+HLOOKUP(T$4,$D$7:$P$336,$R330,FALSE)-HLOOKUP(T$3,$D$7:$P$336,$R330,FALSE)</f>
        <v>90.566000000000003</v>
      </c>
      <c r="U330" s="60">
        <f ca="1">100+HLOOKUP(U$4,$D$7:$P$336,$R330,FALSE)-HLOOKUP(U$3,$D$7:$P$336,$R330,FALSE)</f>
        <v>67.994</v>
      </c>
      <c r="V330" s="60">
        <f ca="1">100+HLOOKUP(V$4,$D$7:$P$336,$R330,FALSE)-HLOOKUP(V$3,$D$7:$P$336,$R330,FALSE)</f>
        <v>67.924000000000007</v>
      </c>
      <c r="W330" s="60">
        <f ca="1">100+HLOOKUP(W$4,$D$7:$P$336,$R330,FALSE)-HLOOKUP(W$3,$D$7:$P$336,$R330,FALSE)</f>
        <v>67.924999999999997</v>
      </c>
      <c r="X330" s="60">
        <f ca="1">100+HLOOKUP(X$4,$D$7:$P$336,$R330,FALSE)-HLOOKUP(X$3,$D$7:$P$336,$R330,FALSE)</f>
        <v>67.925000000000011</v>
      </c>
      <c r="Y330" s="60">
        <f ca="1">100+HLOOKUP(Y$4,$D$7:$P$336,$R330,FALSE)-HLOOKUP(Y$3,$D$7:$P$336,$R330,FALSE)</f>
        <v>90.566000000000003</v>
      </c>
      <c r="Z330" s="60">
        <f ca="1">100+HLOOKUP(Z$4,$D$7:$P$336,$R330,FALSE)-HLOOKUP(Z$3,$D$7:$P$336,$R330,FALSE)</f>
        <v>67.994</v>
      </c>
      <c r="AA330" s="60">
        <f ca="1">100+HLOOKUP(AA$4,$D$7:$P$336,$R330,FALSE)-HLOOKUP(AA$3,$D$7:$P$336,$R330,FALSE)</f>
        <v>67.924000000000007</v>
      </c>
      <c r="AB330" s="60">
        <f ca="1">100+HLOOKUP(AB$4,$D$7:$P$336,$R330,FALSE)-HLOOKUP(AB$3,$D$7:$P$336,$R330,FALSE)</f>
        <v>67.924999999999997</v>
      </c>
      <c r="AC330" s="60">
        <f ca="1">100+HLOOKUP(AC$4,$D$7:$P$336,$R330,FALSE)-HLOOKUP(AC$3,$D$7:$P$336,$R330,FALSE)</f>
        <v>113.20699999999999</v>
      </c>
      <c r="AD330" s="60">
        <f ca="1">100+HLOOKUP(AD$4,$D$7:$P$336,$R330,FALSE)-HLOOKUP(AD$3,$D$7:$P$336,$R330,FALSE)</f>
        <v>113.20699999999999</v>
      </c>
      <c r="AE330" s="60">
        <f ca="1">100+HLOOKUP(AE$4,$D$7:$P$336,$R330,FALSE)-HLOOKUP(AE$3,$D$7:$P$336,$R330,FALSE)</f>
        <v>113.208</v>
      </c>
      <c r="AF330" s="60">
        <f ca="1">100+HLOOKUP(AF$4,$D$7:$P$336,$R330,FALSE)-HLOOKUP(AF$3,$D$7:$P$336,$R330,FALSE)</f>
        <v>113.13800000000001</v>
      </c>
      <c r="AG330" s="60">
        <f ca="1">100+HLOOKUP(AG$4,$D$7:$P$336,$R330,FALSE)-HLOOKUP(AG$3,$D$7:$P$336,$R330,FALSE)</f>
        <v>67.924000000000007</v>
      </c>
      <c r="AH330" s="60" t="e">
        <f>100+HLOOKUP(AH$4,$D$7:$P$336,$R330,FALSE)-HLOOKUP(AH$3,$D$7:$P$336,$R330,FALSE)</f>
        <v>#N/A</v>
      </c>
      <c r="AI330" s="60" t="e">
        <f>100+HLOOKUP(AI$4,$D$7:$P$336,$R330,FALSE)-HLOOKUP(AI$3,$D$7:$P$336,$R330,FALSE)</f>
        <v>#N/A</v>
      </c>
      <c r="AJ330" s="60" t="e">
        <f>100+HLOOKUP(AJ$4,$D$7:$P$336,$R330,FALSE)-HLOOKUP(AJ$3,$D$7:$P$336,$R330,FALSE)</f>
        <v>#N/A</v>
      </c>
      <c r="AK330" s="60" t="e">
        <f>100+HLOOKUP(AK$4,$D$7:$P$336,$R330,FALSE)-HLOOKUP(AK$3,$D$7:$P$336,$R330,FALSE)</f>
        <v>#N/A</v>
      </c>
      <c r="AL330" s="60" t="e">
        <f>100+HLOOKUP(AL$4,$D$7:$P$336,$R330,FALSE)-HLOOKUP(AL$3,$D$7:$P$336,$R330,FALSE)</f>
        <v>#N/A</v>
      </c>
      <c r="AM330" s="60" t="e">
        <f>100+HLOOKUP(AM$4,$D$7:$P$336,$R330,FALSE)-HLOOKUP(AM$3,$D$7:$P$336,$R330,FALSE)</f>
        <v>#N/A</v>
      </c>
      <c r="AN330" s="60" t="e">
        <f>100+HLOOKUP(AN$4,$D$7:$P$336,$R330,FALSE)-HLOOKUP(AN$3,$D$7:$P$336,$R330,FALSE)</f>
        <v>#N/A</v>
      </c>
      <c r="AO330" s="60" t="e">
        <f>100+HLOOKUP(AO$4,$D$7:$P$336,$R330,FALSE)-HLOOKUP(AO$3,$D$7:$P$336,$R330,FALSE)</f>
        <v>#N/A</v>
      </c>
      <c r="AP330" s="60" t="e">
        <f>100+HLOOKUP(AP$4,$D$7:$P$336,$R330,FALSE)-HLOOKUP(AP$3,$D$7:$P$336,$R330,FALSE)</f>
        <v>#N/A</v>
      </c>
      <c r="AQ330" s="60" t="e">
        <f>100+HLOOKUP(AQ$4,$D$7:$P$336,$R330,FALSE)-HLOOKUP(AQ$3,$D$7:$P$336,$R330,FALSE)</f>
        <v>#N/A</v>
      </c>
      <c r="AV330" s="60">
        <f ca="1">AV$5-S330</f>
        <v>35.265399426796421</v>
      </c>
      <c r="AW330" s="60">
        <f ca="1">AW$5-T330</f>
        <v>3.6546505297577454</v>
      </c>
      <c r="AX330" s="60">
        <f ca="1">AX$5-U330</f>
        <v>33.781915403668052</v>
      </c>
      <c r="AY330" s="60">
        <f ca="1">AY$5-V330</f>
        <v>25.679014401527795</v>
      </c>
      <c r="AZ330" s="60">
        <f ca="1">AZ$5-W330</f>
        <v>29.529482172596033</v>
      </c>
      <c r="BA330" s="60">
        <f ca="1">BA$5-X330</f>
        <v>30.540059058982692</v>
      </c>
      <c r="BB330" s="60">
        <f ca="1">BB$5-Y330</f>
        <v>2.7845927273811242</v>
      </c>
      <c r="BC330" s="60">
        <f ca="1">BC$5-Z330</f>
        <v>39.443465909882164</v>
      </c>
      <c r="BD330" s="60">
        <f ca="1">BD$5-AA330</f>
        <v>30.012518664382355</v>
      </c>
      <c r="BE330" s="60">
        <f ca="1">BE$5-AB330</f>
        <v>23.904390591992197</v>
      </c>
      <c r="BF330" s="60">
        <f ca="1">BF$5-AC330</f>
        <v>-12.189695683522913</v>
      </c>
      <c r="BG330" s="60">
        <f ca="1">BG$5-AD330</f>
        <v>-9.2217412949814843</v>
      </c>
      <c r="BH330" s="60">
        <f ca="1">BH$5-AE330</f>
        <v>-14.253407769632432</v>
      </c>
      <c r="BI330" s="60">
        <f ca="1">BI$5-AF330</f>
        <v>-22.5294944887452</v>
      </c>
      <c r="BJ330" s="60">
        <f ca="1">BJ$5-AG330</f>
        <v>23.515551057678763</v>
      </c>
      <c r="BK330" s="60" t="e">
        <f>BK$5-AH330</f>
        <v>#N/A</v>
      </c>
      <c r="BL330" s="60" t="e">
        <f>BL$5-AI330</f>
        <v>#N/A</v>
      </c>
      <c r="BM330" s="60" t="e">
        <f>BM$5-AJ330</f>
        <v>#N/A</v>
      </c>
      <c r="BN330" s="60" t="e">
        <f>BN$5-AK330</f>
        <v>#N/A</v>
      </c>
      <c r="BO330" s="60" t="e">
        <f>BO$5-AL330</f>
        <v>#N/A</v>
      </c>
      <c r="BP330" s="60" t="e">
        <f>BP$5-AM330</f>
        <v>#N/A</v>
      </c>
      <c r="BQ330" s="60" t="e">
        <f>BQ$5-AN330</f>
        <v>#N/A</v>
      </c>
      <c r="BR330" s="60" t="e">
        <f>BR$5-AO330</f>
        <v>#N/A</v>
      </c>
      <c r="BS330" s="60" t="e">
        <f>BS$5-AP330</f>
        <v>#N/A</v>
      </c>
      <c r="BT330" s="60" t="e">
        <f>BT$5-AQ330</f>
        <v>#N/A</v>
      </c>
      <c r="BV330" s="60" cm="1">
        <f t="array" aca="1" ref="BV330" ca="1">SQRT(SUMSQ(_xlfn._xlws.FILTER(AV330:BT330,ISNUMBER(AV330:BT330)))/COUNT(_xlfn._xlws.FILTER(AV330:BT330,ISNUMBER(AV330:BT330))))</f>
        <v>25.027158843390982</v>
      </c>
    </row>
    <row r="331" spans="3:74" x14ac:dyDescent="0.2">
      <c r="C331" s="60" t="s">
        <v>517</v>
      </c>
      <c r="D331" s="60">
        <v>0</v>
      </c>
      <c r="E331" s="60">
        <v>2</v>
      </c>
      <c r="F331" s="60">
        <v>-17</v>
      </c>
      <c r="G331" s="60">
        <v>-16</v>
      </c>
      <c r="H331" s="60">
        <v>-14</v>
      </c>
      <c r="I331" s="60">
        <v>-12</v>
      </c>
      <c r="J331" s="60">
        <v>-31</v>
      </c>
      <c r="K331" s="60">
        <v>-29</v>
      </c>
      <c r="L331" s="60">
        <v>-27</v>
      </c>
      <c r="M331" s="60">
        <v>16</v>
      </c>
      <c r="N331" s="60">
        <v>18</v>
      </c>
      <c r="O331" s="60">
        <v>-2</v>
      </c>
      <c r="P331" s="60">
        <v>0</v>
      </c>
      <c r="R331" s="61">
        <f>(ROW(R331)-ROW($C$6))</f>
        <v>325</v>
      </c>
      <c r="S331" s="60">
        <f ca="1">100+HLOOKUP(S$4,$D$7:$P$336,$R331,FALSE)-HLOOKUP(S$3,$D$7:$P$336,$R331,FALSE)</f>
        <v>70</v>
      </c>
      <c r="T331" s="60">
        <f ca="1">100+HLOOKUP(T$4,$D$7:$P$336,$R331,FALSE)-HLOOKUP(T$3,$D$7:$P$336,$R331,FALSE)</f>
        <v>71</v>
      </c>
      <c r="U331" s="60">
        <f ca="1">100+HLOOKUP(U$4,$D$7:$P$336,$R331,FALSE)-HLOOKUP(U$3,$D$7:$P$336,$R331,FALSE)</f>
        <v>71</v>
      </c>
      <c r="V331" s="60">
        <f ca="1">100+HLOOKUP(V$4,$D$7:$P$336,$R331,FALSE)-HLOOKUP(V$3,$D$7:$P$336,$R331,FALSE)</f>
        <v>70</v>
      </c>
      <c r="W331" s="60">
        <f ca="1">100+HLOOKUP(W$4,$D$7:$P$336,$R331,FALSE)-HLOOKUP(W$3,$D$7:$P$336,$R331,FALSE)</f>
        <v>71</v>
      </c>
      <c r="X331" s="60">
        <f ca="1">100+HLOOKUP(X$4,$D$7:$P$336,$R331,FALSE)-HLOOKUP(X$3,$D$7:$P$336,$R331,FALSE)</f>
        <v>70</v>
      </c>
      <c r="Y331" s="60">
        <f ca="1">100+HLOOKUP(Y$4,$D$7:$P$336,$R331,FALSE)-HLOOKUP(Y$3,$D$7:$P$336,$R331,FALSE)</f>
        <v>71</v>
      </c>
      <c r="Z331" s="60">
        <f ca="1">100+HLOOKUP(Z$4,$D$7:$P$336,$R331,FALSE)-HLOOKUP(Z$3,$D$7:$P$336,$R331,FALSE)</f>
        <v>71</v>
      </c>
      <c r="AA331" s="60">
        <f ca="1">100+HLOOKUP(AA$4,$D$7:$P$336,$R331,FALSE)-HLOOKUP(AA$3,$D$7:$P$336,$R331,FALSE)</f>
        <v>70</v>
      </c>
      <c r="AB331" s="60">
        <f ca="1">100+HLOOKUP(AB$4,$D$7:$P$336,$R331,FALSE)-HLOOKUP(AB$3,$D$7:$P$336,$R331,FALSE)</f>
        <v>71</v>
      </c>
      <c r="AC331" s="60">
        <f ca="1">100+HLOOKUP(AC$4,$D$7:$P$336,$R331,FALSE)-HLOOKUP(AC$3,$D$7:$P$336,$R331,FALSE)</f>
        <v>133</v>
      </c>
      <c r="AD331" s="60">
        <f ca="1">100+HLOOKUP(AD$4,$D$7:$P$336,$R331,FALSE)-HLOOKUP(AD$3,$D$7:$P$336,$R331,FALSE)</f>
        <v>112</v>
      </c>
      <c r="AE331" s="60">
        <f ca="1">100+HLOOKUP(AE$4,$D$7:$P$336,$R331,FALSE)-HLOOKUP(AE$3,$D$7:$P$336,$R331,FALSE)</f>
        <v>133</v>
      </c>
      <c r="AF331" s="60">
        <f ca="1">100+HLOOKUP(AF$4,$D$7:$P$336,$R331,FALSE)-HLOOKUP(AF$3,$D$7:$P$336,$R331,FALSE)</f>
        <v>111</v>
      </c>
      <c r="AG331" s="60">
        <f ca="1">100+HLOOKUP(AG$4,$D$7:$P$336,$R331,FALSE)-HLOOKUP(AG$3,$D$7:$P$336,$R331,FALSE)</f>
        <v>70</v>
      </c>
      <c r="AH331" s="60" t="e">
        <f>100+HLOOKUP(AH$4,$D$7:$P$336,$R331,FALSE)-HLOOKUP(AH$3,$D$7:$P$336,$R331,FALSE)</f>
        <v>#N/A</v>
      </c>
      <c r="AI331" s="60" t="e">
        <f>100+HLOOKUP(AI$4,$D$7:$P$336,$R331,FALSE)-HLOOKUP(AI$3,$D$7:$P$336,$R331,FALSE)</f>
        <v>#N/A</v>
      </c>
      <c r="AJ331" s="60" t="e">
        <f>100+HLOOKUP(AJ$4,$D$7:$P$336,$R331,FALSE)-HLOOKUP(AJ$3,$D$7:$P$336,$R331,FALSE)</f>
        <v>#N/A</v>
      </c>
      <c r="AK331" s="60" t="e">
        <f>100+HLOOKUP(AK$4,$D$7:$P$336,$R331,FALSE)-HLOOKUP(AK$3,$D$7:$P$336,$R331,FALSE)</f>
        <v>#N/A</v>
      </c>
      <c r="AL331" s="60" t="e">
        <f>100+HLOOKUP(AL$4,$D$7:$P$336,$R331,FALSE)-HLOOKUP(AL$3,$D$7:$P$336,$R331,FALSE)</f>
        <v>#N/A</v>
      </c>
      <c r="AM331" s="60" t="e">
        <f>100+HLOOKUP(AM$4,$D$7:$P$336,$R331,FALSE)-HLOOKUP(AM$3,$D$7:$P$336,$R331,FALSE)</f>
        <v>#N/A</v>
      </c>
      <c r="AN331" s="60" t="e">
        <f>100+HLOOKUP(AN$4,$D$7:$P$336,$R331,FALSE)-HLOOKUP(AN$3,$D$7:$P$336,$R331,FALSE)</f>
        <v>#N/A</v>
      </c>
      <c r="AO331" s="60" t="e">
        <f>100+HLOOKUP(AO$4,$D$7:$P$336,$R331,FALSE)-HLOOKUP(AO$3,$D$7:$P$336,$R331,FALSE)</f>
        <v>#N/A</v>
      </c>
      <c r="AP331" s="60" t="e">
        <f>100+HLOOKUP(AP$4,$D$7:$P$336,$R331,FALSE)-HLOOKUP(AP$3,$D$7:$P$336,$R331,FALSE)</f>
        <v>#N/A</v>
      </c>
      <c r="AQ331" s="60" t="e">
        <f>100+HLOOKUP(AQ$4,$D$7:$P$336,$R331,FALSE)-HLOOKUP(AQ$3,$D$7:$P$336,$R331,FALSE)</f>
        <v>#N/A</v>
      </c>
      <c r="AV331" s="60">
        <f ca="1">AV$5-S331</f>
        <v>33.190399426796432</v>
      </c>
      <c r="AW331" s="60">
        <f ca="1">AW$5-T331</f>
        <v>23.220650529757748</v>
      </c>
      <c r="AX331" s="60">
        <f ca="1">AX$5-U331</f>
        <v>30.775915403668051</v>
      </c>
      <c r="AY331" s="60">
        <f ca="1">AY$5-V331</f>
        <v>23.603014401527801</v>
      </c>
      <c r="AZ331" s="60">
        <f ca="1">AZ$5-W331</f>
        <v>26.45448217259603</v>
      </c>
      <c r="BA331" s="60">
        <f ca="1">BA$5-X331</f>
        <v>28.465059058982703</v>
      </c>
      <c r="BB331" s="60">
        <f ca="1">BB$5-Y331</f>
        <v>22.350592727381127</v>
      </c>
      <c r="BC331" s="60">
        <f ca="1">BC$5-Z331</f>
        <v>36.437465909882164</v>
      </c>
      <c r="BD331" s="60">
        <f ca="1">BD$5-AA331</f>
        <v>27.936518664382362</v>
      </c>
      <c r="BE331" s="60">
        <f ca="1">BE$5-AB331</f>
        <v>20.829390591992194</v>
      </c>
      <c r="BF331" s="60">
        <f ca="1">BF$5-AC331</f>
        <v>-31.98269568352292</v>
      </c>
      <c r="BG331" s="60">
        <f ca="1">BG$5-AD331</f>
        <v>-8.0147412949814907</v>
      </c>
      <c r="BH331" s="60">
        <f ca="1">BH$5-AE331</f>
        <v>-34.045407769632433</v>
      </c>
      <c r="BI331" s="60">
        <f ca="1">BI$5-AF331</f>
        <v>-20.391494488745195</v>
      </c>
      <c r="BJ331" s="60">
        <f ca="1">BJ$5-AG331</f>
        <v>21.43955105767877</v>
      </c>
      <c r="BK331" s="60" t="e">
        <f>BK$5-AH331</f>
        <v>#N/A</v>
      </c>
      <c r="BL331" s="60" t="e">
        <f>BL$5-AI331</f>
        <v>#N/A</v>
      </c>
      <c r="BM331" s="60" t="e">
        <f>BM$5-AJ331</f>
        <v>#N/A</v>
      </c>
      <c r="BN331" s="60" t="e">
        <f>BN$5-AK331</f>
        <v>#N/A</v>
      </c>
      <c r="BO331" s="60" t="e">
        <f>BO$5-AL331</f>
        <v>#N/A</v>
      </c>
      <c r="BP331" s="60" t="e">
        <f>BP$5-AM331</f>
        <v>#N/A</v>
      </c>
      <c r="BQ331" s="60" t="e">
        <f>BQ$5-AN331</f>
        <v>#N/A</v>
      </c>
      <c r="BR331" s="60" t="e">
        <f>BR$5-AO331</f>
        <v>#N/A</v>
      </c>
      <c r="BS331" s="60" t="e">
        <f>BS$5-AP331</f>
        <v>#N/A</v>
      </c>
      <c r="BT331" s="60" t="e">
        <f>BT$5-AQ331</f>
        <v>#N/A</v>
      </c>
      <c r="BV331" s="60" cm="1">
        <f t="array" aca="1" ref="BV331" ca="1">SQRT(SUMSQ(_xlfn._xlws.FILTER(AV331:BT331,ISNUMBER(AV331:BT331)))/COUNT(_xlfn._xlws.FILTER(AV331:BT331,ISNUMBER(AV331:BT331))))</f>
        <v>26.855658981957493</v>
      </c>
    </row>
    <row r="332" spans="3:74" x14ac:dyDescent="0.2">
      <c r="C332" s="60" t="s">
        <v>394</v>
      </c>
      <c r="D332" s="60">
        <v>0</v>
      </c>
      <c r="E332" s="60">
        <v>-4</v>
      </c>
      <c r="F332" s="60">
        <v>-9</v>
      </c>
      <c r="G332" s="60">
        <v>-13</v>
      </c>
      <c r="H332" s="60">
        <v>-18</v>
      </c>
      <c r="I332" s="60">
        <v>-22</v>
      </c>
      <c r="J332" s="60">
        <v>-27</v>
      </c>
      <c r="K332" s="60">
        <v>-31</v>
      </c>
      <c r="L332" s="60">
        <v>-36</v>
      </c>
      <c r="M332" s="60">
        <v>13</v>
      </c>
      <c r="N332" s="60">
        <v>9</v>
      </c>
      <c r="O332" s="60">
        <v>4</v>
      </c>
      <c r="P332" s="60">
        <v>0</v>
      </c>
      <c r="R332" s="61">
        <f>(ROW(R332)-ROW($C$6))</f>
        <v>326</v>
      </c>
      <c r="S332" s="60">
        <f ca="1">100+HLOOKUP(S$4,$D$7:$P$336,$R332,FALSE)-HLOOKUP(S$3,$D$7:$P$336,$R332,FALSE)</f>
        <v>69</v>
      </c>
      <c r="T332" s="60">
        <f ca="1">100+HLOOKUP(T$4,$D$7:$P$336,$R332,FALSE)-HLOOKUP(T$3,$D$7:$P$336,$R332,FALSE)</f>
        <v>69</v>
      </c>
      <c r="U332" s="60">
        <f ca="1">100+HLOOKUP(U$4,$D$7:$P$336,$R332,FALSE)-HLOOKUP(U$3,$D$7:$P$336,$R332,FALSE)</f>
        <v>68</v>
      </c>
      <c r="V332" s="60">
        <f ca="1">100+HLOOKUP(V$4,$D$7:$P$336,$R332,FALSE)-HLOOKUP(V$3,$D$7:$P$336,$R332,FALSE)</f>
        <v>69</v>
      </c>
      <c r="W332" s="60">
        <f ca="1">100+HLOOKUP(W$4,$D$7:$P$336,$R332,FALSE)-HLOOKUP(W$3,$D$7:$P$336,$R332,FALSE)</f>
        <v>69</v>
      </c>
      <c r="X332" s="60">
        <f ca="1">100+HLOOKUP(X$4,$D$7:$P$336,$R332,FALSE)-HLOOKUP(X$3,$D$7:$P$336,$R332,FALSE)</f>
        <v>69</v>
      </c>
      <c r="Y332" s="60">
        <f ca="1">100+HLOOKUP(Y$4,$D$7:$P$336,$R332,FALSE)-HLOOKUP(Y$3,$D$7:$P$336,$R332,FALSE)</f>
        <v>69</v>
      </c>
      <c r="Z332" s="60">
        <f ca="1">100+HLOOKUP(Z$4,$D$7:$P$336,$R332,FALSE)-HLOOKUP(Z$3,$D$7:$P$336,$R332,FALSE)</f>
        <v>68</v>
      </c>
      <c r="AA332" s="60">
        <f ca="1">100+HLOOKUP(AA$4,$D$7:$P$336,$R332,FALSE)-HLOOKUP(AA$3,$D$7:$P$336,$R332,FALSE)</f>
        <v>69</v>
      </c>
      <c r="AB332" s="60">
        <f ca="1">100+HLOOKUP(AB$4,$D$7:$P$336,$R332,FALSE)-HLOOKUP(AB$3,$D$7:$P$336,$R332,FALSE)</f>
        <v>69</v>
      </c>
      <c r="AC332" s="60">
        <f ca="1">100+HLOOKUP(AC$4,$D$7:$P$336,$R332,FALSE)-HLOOKUP(AC$3,$D$7:$P$336,$R332,FALSE)</f>
        <v>122</v>
      </c>
      <c r="AD332" s="60">
        <f ca="1">100+HLOOKUP(AD$4,$D$7:$P$336,$R332,FALSE)-HLOOKUP(AD$3,$D$7:$P$336,$R332,FALSE)</f>
        <v>122</v>
      </c>
      <c r="AE332" s="60">
        <f ca="1">100+HLOOKUP(AE$4,$D$7:$P$336,$R332,FALSE)-HLOOKUP(AE$3,$D$7:$P$336,$R332,FALSE)</f>
        <v>123</v>
      </c>
      <c r="AF332" s="60">
        <f ca="1">100+HLOOKUP(AF$4,$D$7:$P$336,$R332,FALSE)-HLOOKUP(AF$3,$D$7:$P$336,$R332,FALSE)</f>
        <v>123</v>
      </c>
      <c r="AG332" s="60">
        <f ca="1">100+HLOOKUP(AG$4,$D$7:$P$336,$R332,FALSE)-HLOOKUP(AG$3,$D$7:$P$336,$R332,FALSE)</f>
        <v>69</v>
      </c>
      <c r="AH332" s="60" t="e">
        <f>100+HLOOKUP(AH$4,$D$7:$P$336,$R332,FALSE)-HLOOKUP(AH$3,$D$7:$P$336,$R332,FALSE)</f>
        <v>#N/A</v>
      </c>
      <c r="AI332" s="60" t="e">
        <f>100+HLOOKUP(AI$4,$D$7:$P$336,$R332,FALSE)-HLOOKUP(AI$3,$D$7:$P$336,$R332,FALSE)</f>
        <v>#N/A</v>
      </c>
      <c r="AJ332" s="60" t="e">
        <f>100+HLOOKUP(AJ$4,$D$7:$P$336,$R332,FALSE)-HLOOKUP(AJ$3,$D$7:$P$336,$R332,FALSE)</f>
        <v>#N/A</v>
      </c>
      <c r="AK332" s="60" t="e">
        <f>100+HLOOKUP(AK$4,$D$7:$P$336,$R332,FALSE)-HLOOKUP(AK$3,$D$7:$P$336,$R332,FALSE)</f>
        <v>#N/A</v>
      </c>
      <c r="AL332" s="60" t="e">
        <f>100+HLOOKUP(AL$4,$D$7:$P$336,$R332,FALSE)-HLOOKUP(AL$3,$D$7:$P$336,$R332,FALSE)</f>
        <v>#N/A</v>
      </c>
      <c r="AM332" s="60" t="e">
        <f>100+HLOOKUP(AM$4,$D$7:$P$336,$R332,FALSE)-HLOOKUP(AM$3,$D$7:$P$336,$R332,FALSE)</f>
        <v>#N/A</v>
      </c>
      <c r="AN332" s="60" t="e">
        <f>100+HLOOKUP(AN$4,$D$7:$P$336,$R332,FALSE)-HLOOKUP(AN$3,$D$7:$P$336,$R332,FALSE)</f>
        <v>#N/A</v>
      </c>
      <c r="AO332" s="60" t="e">
        <f>100+HLOOKUP(AO$4,$D$7:$P$336,$R332,FALSE)-HLOOKUP(AO$3,$D$7:$P$336,$R332,FALSE)</f>
        <v>#N/A</v>
      </c>
      <c r="AP332" s="60" t="e">
        <f>100+HLOOKUP(AP$4,$D$7:$P$336,$R332,FALSE)-HLOOKUP(AP$3,$D$7:$P$336,$R332,FALSE)</f>
        <v>#N/A</v>
      </c>
      <c r="AQ332" s="60" t="e">
        <f>100+HLOOKUP(AQ$4,$D$7:$P$336,$R332,FALSE)-HLOOKUP(AQ$3,$D$7:$P$336,$R332,FALSE)</f>
        <v>#N/A</v>
      </c>
      <c r="AV332" s="60">
        <f ca="1">AV$5-S332</f>
        <v>34.190399426796432</v>
      </c>
      <c r="AW332" s="60">
        <f ca="1">AW$5-T332</f>
        <v>25.220650529757748</v>
      </c>
      <c r="AX332" s="60">
        <f ca="1">AX$5-U332</f>
        <v>33.775915403668051</v>
      </c>
      <c r="AY332" s="60">
        <f ca="1">AY$5-V332</f>
        <v>24.603014401527801</v>
      </c>
      <c r="AZ332" s="60">
        <f ca="1">AZ$5-W332</f>
        <v>28.45448217259603</v>
      </c>
      <c r="BA332" s="60">
        <f ca="1">BA$5-X332</f>
        <v>29.465059058982703</v>
      </c>
      <c r="BB332" s="60">
        <f ca="1">BB$5-Y332</f>
        <v>24.350592727381127</v>
      </c>
      <c r="BC332" s="60">
        <f ca="1">BC$5-Z332</f>
        <v>39.437465909882164</v>
      </c>
      <c r="BD332" s="60">
        <f ca="1">BD$5-AA332</f>
        <v>28.936518664382362</v>
      </c>
      <c r="BE332" s="60">
        <f ca="1">BE$5-AB332</f>
        <v>22.829390591992194</v>
      </c>
      <c r="BF332" s="60">
        <f ca="1">BF$5-AC332</f>
        <v>-20.98269568352292</v>
      </c>
      <c r="BG332" s="60">
        <f ca="1">BG$5-AD332</f>
        <v>-18.014741294981491</v>
      </c>
      <c r="BH332" s="60">
        <f ca="1">BH$5-AE332</f>
        <v>-24.045407769632433</v>
      </c>
      <c r="BI332" s="60">
        <f ca="1">BI$5-AF332</f>
        <v>-32.391494488745195</v>
      </c>
      <c r="BJ332" s="60">
        <f ca="1">BJ$5-AG332</f>
        <v>22.43955105767877</v>
      </c>
      <c r="BK332" s="60" t="e">
        <f>BK$5-AH332</f>
        <v>#N/A</v>
      </c>
      <c r="BL332" s="60" t="e">
        <f>BL$5-AI332</f>
        <v>#N/A</v>
      </c>
      <c r="BM332" s="60" t="e">
        <f>BM$5-AJ332</f>
        <v>#N/A</v>
      </c>
      <c r="BN332" s="60" t="e">
        <f>BN$5-AK332</f>
        <v>#N/A</v>
      </c>
      <c r="BO332" s="60" t="e">
        <f>BO$5-AL332</f>
        <v>#N/A</v>
      </c>
      <c r="BP332" s="60" t="e">
        <f>BP$5-AM332</f>
        <v>#N/A</v>
      </c>
      <c r="BQ332" s="60" t="e">
        <f>BQ$5-AN332</f>
        <v>#N/A</v>
      </c>
      <c r="BR332" s="60" t="e">
        <f>BR$5-AO332</f>
        <v>#N/A</v>
      </c>
      <c r="BS332" s="60" t="e">
        <f>BS$5-AP332</f>
        <v>#N/A</v>
      </c>
      <c r="BT332" s="60" t="e">
        <f>BT$5-AQ332</f>
        <v>#N/A</v>
      </c>
      <c r="BV332" s="60" cm="1">
        <f t="array" aca="1" ref="BV332" ca="1">SQRT(SUMSQ(_xlfn._xlws.FILTER(AV332:BT332,ISNUMBER(AV332:BT332)))/COUNT(_xlfn._xlws.FILTER(AV332:BT332,ISNUMBER(AV332:BT332))))</f>
        <v>27.846638768696689</v>
      </c>
    </row>
    <row r="333" spans="3:74" x14ac:dyDescent="0.2">
      <c r="C333" s="60" t="s">
        <v>395</v>
      </c>
      <c r="D333" s="60">
        <v>0</v>
      </c>
      <c r="E333" s="60">
        <v>-4.4969999999999999</v>
      </c>
      <c r="F333" s="60">
        <v>-8.9939999999999998</v>
      </c>
      <c r="G333" s="60">
        <v>-13.491</v>
      </c>
      <c r="H333" s="60">
        <v>-17.988</v>
      </c>
      <c r="I333" s="60">
        <v>-22.484000000000002</v>
      </c>
      <c r="J333" s="60">
        <v>-26.981000000000002</v>
      </c>
      <c r="K333" s="60">
        <v>-31.478000000000002</v>
      </c>
      <c r="L333" s="60">
        <v>-35.975000000000001</v>
      </c>
      <c r="M333" s="60">
        <v>13.491</v>
      </c>
      <c r="N333" s="60">
        <v>8.9939999999999998</v>
      </c>
      <c r="O333" s="60">
        <v>4.4969999999999999</v>
      </c>
      <c r="P333" s="60">
        <v>0</v>
      </c>
      <c r="R333" s="61">
        <f>(ROW(R333)-ROW($C$6))</f>
        <v>327</v>
      </c>
      <c r="S333" s="60">
        <f ca="1">100+HLOOKUP(S$4,$D$7:$P$336,$R333,FALSE)-HLOOKUP(S$3,$D$7:$P$336,$R333,FALSE)</f>
        <v>68.521000000000001</v>
      </c>
      <c r="T333" s="60">
        <f ca="1">100+HLOOKUP(T$4,$D$7:$P$336,$R333,FALSE)-HLOOKUP(T$3,$D$7:$P$336,$R333,FALSE)</f>
        <v>68.522000000000006</v>
      </c>
      <c r="U333" s="60">
        <f ca="1">100+HLOOKUP(U$4,$D$7:$P$336,$R333,FALSE)-HLOOKUP(U$3,$D$7:$P$336,$R333,FALSE)</f>
        <v>68.522000000000006</v>
      </c>
      <c r="V333" s="60">
        <f ca="1">100+HLOOKUP(V$4,$D$7:$P$336,$R333,FALSE)-HLOOKUP(V$3,$D$7:$P$336,$R333,FALSE)</f>
        <v>68.521999999999991</v>
      </c>
      <c r="W333" s="60">
        <f ca="1">100+HLOOKUP(W$4,$D$7:$P$336,$R333,FALSE)-HLOOKUP(W$3,$D$7:$P$336,$R333,FALSE)</f>
        <v>68.521999999999991</v>
      </c>
      <c r="X333" s="60">
        <f ca="1">100+HLOOKUP(X$4,$D$7:$P$336,$R333,FALSE)-HLOOKUP(X$3,$D$7:$P$336,$R333,FALSE)</f>
        <v>68.521000000000001</v>
      </c>
      <c r="Y333" s="60">
        <f ca="1">100+HLOOKUP(Y$4,$D$7:$P$336,$R333,FALSE)-HLOOKUP(Y$3,$D$7:$P$336,$R333,FALSE)</f>
        <v>68.522000000000006</v>
      </c>
      <c r="Z333" s="60">
        <f ca="1">100+HLOOKUP(Z$4,$D$7:$P$336,$R333,FALSE)-HLOOKUP(Z$3,$D$7:$P$336,$R333,FALSE)</f>
        <v>68.522000000000006</v>
      </c>
      <c r="AA333" s="60">
        <f ca="1">100+HLOOKUP(AA$4,$D$7:$P$336,$R333,FALSE)-HLOOKUP(AA$3,$D$7:$P$336,$R333,FALSE)</f>
        <v>68.521999999999991</v>
      </c>
      <c r="AB333" s="60">
        <f ca="1">100+HLOOKUP(AB$4,$D$7:$P$336,$R333,FALSE)-HLOOKUP(AB$3,$D$7:$P$336,$R333,FALSE)</f>
        <v>68.521999999999991</v>
      </c>
      <c r="AC333" s="60">
        <f ca="1">100+HLOOKUP(AC$4,$D$7:$P$336,$R333,FALSE)-HLOOKUP(AC$3,$D$7:$P$336,$R333,FALSE)</f>
        <v>122.485</v>
      </c>
      <c r="AD333" s="60">
        <f ca="1">100+HLOOKUP(AD$4,$D$7:$P$336,$R333,FALSE)-HLOOKUP(AD$3,$D$7:$P$336,$R333,FALSE)</f>
        <v>122.485</v>
      </c>
      <c r="AE333" s="60">
        <f ca="1">100+HLOOKUP(AE$4,$D$7:$P$336,$R333,FALSE)-HLOOKUP(AE$3,$D$7:$P$336,$R333,FALSE)</f>
        <v>122.48400000000001</v>
      </c>
      <c r="AF333" s="60">
        <f ca="1">100+HLOOKUP(AF$4,$D$7:$P$336,$R333,FALSE)-HLOOKUP(AF$3,$D$7:$P$336,$R333,FALSE)</f>
        <v>122.48400000000001</v>
      </c>
      <c r="AG333" s="60">
        <f ca="1">100+HLOOKUP(AG$4,$D$7:$P$336,$R333,FALSE)-HLOOKUP(AG$3,$D$7:$P$336,$R333,FALSE)</f>
        <v>68.521999999999991</v>
      </c>
      <c r="AH333" s="60" t="e">
        <f>100+HLOOKUP(AH$4,$D$7:$P$336,$R333,FALSE)-HLOOKUP(AH$3,$D$7:$P$336,$R333,FALSE)</f>
        <v>#N/A</v>
      </c>
      <c r="AI333" s="60" t="e">
        <f>100+HLOOKUP(AI$4,$D$7:$P$336,$R333,FALSE)-HLOOKUP(AI$3,$D$7:$P$336,$R333,FALSE)</f>
        <v>#N/A</v>
      </c>
      <c r="AJ333" s="60" t="e">
        <f>100+HLOOKUP(AJ$4,$D$7:$P$336,$R333,FALSE)-HLOOKUP(AJ$3,$D$7:$P$336,$R333,FALSE)</f>
        <v>#N/A</v>
      </c>
      <c r="AK333" s="60" t="e">
        <f>100+HLOOKUP(AK$4,$D$7:$P$336,$R333,FALSE)-HLOOKUP(AK$3,$D$7:$P$336,$R333,FALSE)</f>
        <v>#N/A</v>
      </c>
      <c r="AL333" s="60" t="e">
        <f>100+HLOOKUP(AL$4,$D$7:$P$336,$R333,FALSE)-HLOOKUP(AL$3,$D$7:$P$336,$R333,FALSE)</f>
        <v>#N/A</v>
      </c>
      <c r="AM333" s="60" t="e">
        <f>100+HLOOKUP(AM$4,$D$7:$P$336,$R333,FALSE)-HLOOKUP(AM$3,$D$7:$P$336,$R333,FALSE)</f>
        <v>#N/A</v>
      </c>
      <c r="AN333" s="60" t="e">
        <f>100+HLOOKUP(AN$4,$D$7:$P$336,$R333,FALSE)-HLOOKUP(AN$3,$D$7:$P$336,$R333,FALSE)</f>
        <v>#N/A</v>
      </c>
      <c r="AO333" s="60" t="e">
        <f>100+HLOOKUP(AO$4,$D$7:$P$336,$R333,FALSE)-HLOOKUP(AO$3,$D$7:$P$336,$R333,FALSE)</f>
        <v>#N/A</v>
      </c>
      <c r="AP333" s="60" t="e">
        <f>100+HLOOKUP(AP$4,$D$7:$P$336,$R333,FALSE)-HLOOKUP(AP$3,$D$7:$P$336,$R333,FALSE)</f>
        <v>#N/A</v>
      </c>
      <c r="AQ333" s="60" t="e">
        <f>100+HLOOKUP(AQ$4,$D$7:$P$336,$R333,FALSE)-HLOOKUP(AQ$3,$D$7:$P$336,$R333,FALSE)</f>
        <v>#N/A</v>
      </c>
      <c r="AV333" s="60">
        <f ca="1">AV$5-S333</f>
        <v>34.669399426796431</v>
      </c>
      <c r="AW333" s="60">
        <f ca="1">AW$5-T333</f>
        <v>25.698650529757742</v>
      </c>
      <c r="AX333" s="60">
        <f ca="1">AX$5-U333</f>
        <v>33.253915403668046</v>
      </c>
      <c r="AY333" s="60">
        <f ca="1">AY$5-V333</f>
        <v>25.08101440152781</v>
      </c>
      <c r="AZ333" s="60">
        <f ca="1">AZ$5-W333</f>
        <v>28.932482172596039</v>
      </c>
      <c r="BA333" s="60">
        <f ca="1">BA$5-X333</f>
        <v>29.944059058982702</v>
      </c>
      <c r="BB333" s="60">
        <f ca="1">BB$5-Y333</f>
        <v>24.828592727381121</v>
      </c>
      <c r="BC333" s="60">
        <f ca="1">BC$5-Z333</f>
        <v>38.915465909882158</v>
      </c>
      <c r="BD333" s="60">
        <f ca="1">BD$5-AA333</f>
        <v>29.414518664382371</v>
      </c>
      <c r="BE333" s="60">
        <f ca="1">BE$5-AB333</f>
        <v>23.307390591992203</v>
      </c>
      <c r="BF333" s="60">
        <f ca="1">BF$5-AC333</f>
        <v>-21.467695683522919</v>
      </c>
      <c r="BG333" s="60">
        <f ca="1">BG$5-AD333</f>
        <v>-18.49974129498149</v>
      </c>
      <c r="BH333" s="60">
        <f ca="1">BH$5-AE333</f>
        <v>-23.529407769632442</v>
      </c>
      <c r="BI333" s="60">
        <f ca="1">BI$5-AF333</f>
        <v>-31.875494488745204</v>
      </c>
      <c r="BJ333" s="60">
        <f ca="1">BJ$5-AG333</f>
        <v>22.917551057678779</v>
      </c>
      <c r="BK333" s="60" t="e">
        <f>BK$5-AH333</f>
        <v>#N/A</v>
      </c>
      <c r="BL333" s="60" t="e">
        <f>BL$5-AI333</f>
        <v>#N/A</v>
      </c>
      <c r="BM333" s="60" t="e">
        <f>BM$5-AJ333</f>
        <v>#N/A</v>
      </c>
      <c r="BN333" s="60" t="e">
        <f>BN$5-AK333</f>
        <v>#N/A</v>
      </c>
      <c r="BO333" s="60" t="e">
        <f>BO$5-AL333</f>
        <v>#N/A</v>
      </c>
      <c r="BP333" s="60" t="e">
        <f>BP$5-AM333</f>
        <v>#N/A</v>
      </c>
      <c r="BQ333" s="60" t="e">
        <f>BQ$5-AN333</f>
        <v>#N/A</v>
      </c>
      <c r="BR333" s="60" t="e">
        <f>BR$5-AO333</f>
        <v>#N/A</v>
      </c>
      <c r="BS333" s="60" t="e">
        <f>BS$5-AP333</f>
        <v>#N/A</v>
      </c>
      <c r="BT333" s="60" t="e">
        <f>BT$5-AQ333</f>
        <v>#N/A</v>
      </c>
      <c r="BV333" s="60" cm="1">
        <f t="array" aca="1" ref="BV333" ca="1">SQRT(SUMSQ(_xlfn._xlws.FILTER(AV333:BT333,ISNUMBER(AV333:BT333)))/COUNT(_xlfn._xlws.FILTER(AV333:BT333,ISNUMBER(AV333:BT333))))</f>
        <v>28.009904017364622</v>
      </c>
    </row>
    <row r="334" spans="3:74" x14ac:dyDescent="0.2">
      <c r="C334" s="60" t="s">
        <v>340</v>
      </c>
      <c r="D334" s="60">
        <v>0</v>
      </c>
      <c r="E334" s="60">
        <v>-5</v>
      </c>
      <c r="F334" s="60">
        <v>-11</v>
      </c>
      <c r="G334" s="60">
        <v>-16</v>
      </c>
      <c r="H334" s="60">
        <v>-21</v>
      </c>
      <c r="I334" s="60">
        <v>-26</v>
      </c>
      <c r="J334" s="60">
        <v>-31</v>
      </c>
      <c r="K334" s="60">
        <v>-36</v>
      </c>
      <c r="L334" s="60">
        <v>21</v>
      </c>
      <c r="M334" s="60">
        <v>15</v>
      </c>
      <c r="N334" s="60">
        <v>10</v>
      </c>
      <c r="O334" s="60">
        <v>5</v>
      </c>
      <c r="P334" s="60">
        <v>0</v>
      </c>
      <c r="R334" s="61">
        <f>(ROW(R334)-ROW($C$6))</f>
        <v>328</v>
      </c>
      <c r="S334" s="60">
        <f ca="1">100+HLOOKUP(S$4,$D$7:$P$336,$R334,FALSE)-HLOOKUP(S$3,$D$7:$P$336,$R334,FALSE)</f>
        <v>64</v>
      </c>
      <c r="T334" s="60">
        <f ca="1">100+HLOOKUP(T$4,$D$7:$P$336,$R334,FALSE)-HLOOKUP(T$3,$D$7:$P$336,$R334,FALSE)</f>
        <v>64</v>
      </c>
      <c r="U334" s="60">
        <f ca="1">100+HLOOKUP(U$4,$D$7:$P$336,$R334,FALSE)-HLOOKUP(U$3,$D$7:$P$336,$R334,FALSE)</f>
        <v>126</v>
      </c>
      <c r="V334" s="60">
        <f ca="1">100+HLOOKUP(V$4,$D$7:$P$336,$R334,FALSE)-HLOOKUP(V$3,$D$7:$P$336,$R334,FALSE)</f>
        <v>64</v>
      </c>
      <c r="W334" s="60">
        <f ca="1">100+HLOOKUP(W$4,$D$7:$P$336,$R334,FALSE)-HLOOKUP(W$3,$D$7:$P$336,$R334,FALSE)</f>
        <v>64</v>
      </c>
      <c r="X334" s="60">
        <f ca="1">100+HLOOKUP(X$4,$D$7:$P$336,$R334,FALSE)-HLOOKUP(X$3,$D$7:$P$336,$R334,FALSE)</f>
        <v>64</v>
      </c>
      <c r="Y334" s="60">
        <f ca="1">100+HLOOKUP(Y$4,$D$7:$P$336,$R334,FALSE)-HLOOKUP(Y$3,$D$7:$P$336,$R334,FALSE)</f>
        <v>64</v>
      </c>
      <c r="Z334" s="60">
        <f ca="1">100+HLOOKUP(Z$4,$D$7:$P$336,$R334,FALSE)-HLOOKUP(Z$3,$D$7:$P$336,$R334,FALSE)</f>
        <v>126</v>
      </c>
      <c r="AA334" s="60">
        <f ca="1">100+HLOOKUP(AA$4,$D$7:$P$336,$R334,FALSE)-HLOOKUP(AA$3,$D$7:$P$336,$R334,FALSE)</f>
        <v>64</v>
      </c>
      <c r="AB334" s="60">
        <f ca="1">100+HLOOKUP(AB$4,$D$7:$P$336,$R334,FALSE)-HLOOKUP(AB$3,$D$7:$P$336,$R334,FALSE)</f>
        <v>64</v>
      </c>
      <c r="AC334" s="60">
        <f ca="1">100+HLOOKUP(AC$4,$D$7:$P$336,$R334,FALSE)-HLOOKUP(AC$3,$D$7:$P$336,$R334,FALSE)</f>
        <v>126</v>
      </c>
      <c r="AD334" s="60">
        <f ca="1">100+HLOOKUP(AD$4,$D$7:$P$336,$R334,FALSE)-HLOOKUP(AD$3,$D$7:$P$336,$R334,FALSE)</f>
        <v>126</v>
      </c>
      <c r="AE334" s="60">
        <f ca="1">100+HLOOKUP(AE$4,$D$7:$P$336,$R334,FALSE)-HLOOKUP(AE$3,$D$7:$P$336,$R334,FALSE)</f>
        <v>126</v>
      </c>
      <c r="AF334" s="60">
        <f ca="1">100+HLOOKUP(AF$4,$D$7:$P$336,$R334,FALSE)-HLOOKUP(AF$3,$D$7:$P$336,$R334,FALSE)</f>
        <v>63</v>
      </c>
      <c r="AG334" s="60">
        <f ca="1">100+HLOOKUP(AG$4,$D$7:$P$336,$R334,FALSE)-HLOOKUP(AG$3,$D$7:$P$336,$R334,FALSE)</f>
        <v>64</v>
      </c>
      <c r="AH334" s="60" t="e">
        <f>100+HLOOKUP(AH$4,$D$7:$P$336,$R334,FALSE)-HLOOKUP(AH$3,$D$7:$P$336,$R334,FALSE)</f>
        <v>#N/A</v>
      </c>
      <c r="AI334" s="60" t="e">
        <f>100+HLOOKUP(AI$4,$D$7:$P$336,$R334,FALSE)-HLOOKUP(AI$3,$D$7:$P$336,$R334,FALSE)</f>
        <v>#N/A</v>
      </c>
      <c r="AJ334" s="60" t="e">
        <f>100+HLOOKUP(AJ$4,$D$7:$P$336,$R334,FALSE)-HLOOKUP(AJ$3,$D$7:$P$336,$R334,FALSE)</f>
        <v>#N/A</v>
      </c>
      <c r="AK334" s="60" t="e">
        <f>100+HLOOKUP(AK$4,$D$7:$P$336,$R334,FALSE)-HLOOKUP(AK$3,$D$7:$P$336,$R334,FALSE)</f>
        <v>#N/A</v>
      </c>
      <c r="AL334" s="60" t="e">
        <f>100+HLOOKUP(AL$4,$D$7:$P$336,$R334,FALSE)-HLOOKUP(AL$3,$D$7:$P$336,$R334,FALSE)</f>
        <v>#N/A</v>
      </c>
      <c r="AM334" s="60" t="e">
        <f>100+HLOOKUP(AM$4,$D$7:$P$336,$R334,FALSE)-HLOOKUP(AM$3,$D$7:$P$336,$R334,FALSE)</f>
        <v>#N/A</v>
      </c>
      <c r="AN334" s="60" t="e">
        <f>100+HLOOKUP(AN$4,$D$7:$P$336,$R334,FALSE)-HLOOKUP(AN$3,$D$7:$P$336,$R334,FALSE)</f>
        <v>#N/A</v>
      </c>
      <c r="AO334" s="60" t="e">
        <f>100+HLOOKUP(AO$4,$D$7:$P$336,$R334,FALSE)-HLOOKUP(AO$3,$D$7:$P$336,$R334,FALSE)</f>
        <v>#N/A</v>
      </c>
      <c r="AP334" s="60" t="e">
        <f>100+HLOOKUP(AP$4,$D$7:$P$336,$R334,FALSE)-HLOOKUP(AP$3,$D$7:$P$336,$R334,FALSE)</f>
        <v>#N/A</v>
      </c>
      <c r="AQ334" s="60" t="e">
        <f>100+HLOOKUP(AQ$4,$D$7:$P$336,$R334,FALSE)-HLOOKUP(AQ$3,$D$7:$P$336,$R334,FALSE)</f>
        <v>#N/A</v>
      </c>
      <c r="AV334" s="60">
        <f ca="1">AV$5-S334</f>
        <v>39.190399426796432</v>
      </c>
      <c r="AW334" s="60">
        <f ca="1">AW$5-T334</f>
        <v>30.220650529757748</v>
      </c>
      <c r="AX334" s="60">
        <f ca="1">AX$5-U334</f>
        <v>-24.224084596331949</v>
      </c>
      <c r="AY334" s="60">
        <f ca="1">AY$5-V334</f>
        <v>29.603014401527801</v>
      </c>
      <c r="AZ334" s="60">
        <f ca="1">AZ$5-W334</f>
        <v>33.45448217259603</v>
      </c>
      <c r="BA334" s="60">
        <f ca="1">BA$5-X334</f>
        <v>34.465059058982703</v>
      </c>
      <c r="BB334" s="60">
        <f ca="1">BB$5-Y334</f>
        <v>29.350592727381127</v>
      </c>
      <c r="BC334" s="60">
        <f ca="1">BC$5-Z334</f>
        <v>-18.562534090117836</v>
      </c>
      <c r="BD334" s="60">
        <f ca="1">BD$5-AA334</f>
        <v>33.936518664382362</v>
      </c>
      <c r="BE334" s="60">
        <f ca="1">BE$5-AB334</f>
        <v>27.829390591992194</v>
      </c>
      <c r="BF334" s="60">
        <f ca="1">BF$5-AC334</f>
        <v>-24.98269568352292</v>
      </c>
      <c r="BG334" s="60">
        <f ca="1">BG$5-AD334</f>
        <v>-22.014741294981491</v>
      </c>
      <c r="BH334" s="60">
        <f ca="1">BH$5-AE334</f>
        <v>-27.045407769632433</v>
      </c>
      <c r="BI334" s="60">
        <f ca="1">BI$5-AF334</f>
        <v>27.608505511254805</v>
      </c>
      <c r="BJ334" s="60">
        <f ca="1">BJ$5-AG334</f>
        <v>27.43955105767877</v>
      </c>
      <c r="BK334" s="60" t="e">
        <f>BK$5-AH334</f>
        <v>#N/A</v>
      </c>
      <c r="BL334" s="60" t="e">
        <f>BL$5-AI334</f>
        <v>#N/A</v>
      </c>
      <c r="BM334" s="60" t="e">
        <f>BM$5-AJ334</f>
        <v>#N/A</v>
      </c>
      <c r="BN334" s="60" t="e">
        <f>BN$5-AK334</f>
        <v>#N/A</v>
      </c>
      <c r="BO334" s="60" t="e">
        <f>BO$5-AL334</f>
        <v>#N/A</v>
      </c>
      <c r="BP334" s="60" t="e">
        <f>BP$5-AM334</f>
        <v>#N/A</v>
      </c>
      <c r="BQ334" s="60" t="e">
        <f>BQ$5-AN334</f>
        <v>#N/A</v>
      </c>
      <c r="BR334" s="60" t="e">
        <f>BR$5-AO334</f>
        <v>#N/A</v>
      </c>
      <c r="BS334" s="60" t="e">
        <f>BS$5-AP334</f>
        <v>#N/A</v>
      </c>
      <c r="BT334" s="60" t="e">
        <f>BT$5-AQ334</f>
        <v>#N/A</v>
      </c>
      <c r="BV334" s="60" cm="1">
        <f t="array" aca="1" ref="BV334" ca="1">SQRT(SUMSQ(_xlfn._xlws.FILTER(AV334:BT334,ISNUMBER(AV334:BT334)))/COUNT(_xlfn._xlws.FILTER(AV334:BT334,ISNUMBER(AV334:BT334))))</f>
        <v>29.105493546121441</v>
      </c>
    </row>
    <row r="335" spans="3:74" x14ac:dyDescent="0.2">
      <c r="C335" s="60" t="s">
        <v>338</v>
      </c>
      <c r="D335" s="60">
        <v>0</v>
      </c>
      <c r="E335" s="60">
        <v>-5</v>
      </c>
      <c r="F335" s="60">
        <v>-10</v>
      </c>
      <c r="G335" s="60">
        <v>-16</v>
      </c>
      <c r="H335" s="60">
        <v>-21</v>
      </c>
      <c r="I335" s="60">
        <v>-26</v>
      </c>
      <c r="J335" s="60">
        <v>-31</v>
      </c>
      <c r="K335" s="60">
        <v>-36</v>
      </c>
      <c r="L335" s="60">
        <v>-42</v>
      </c>
      <c r="M335" s="60">
        <v>16</v>
      </c>
      <c r="N335" s="60">
        <v>10</v>
      </c>
      <c r="O335" s="60">
        <v>5</v>
      </c>
      <c r="P335" s="60">
        <v>0</v>
      </c>
      <c r="R335" s="61">
        <f>(ROW(R335)-ROW($C$6))</f>
        <v>329</v>
      </c>
      <c r="S335" s="60">
        <f ca="1">100+HLOOKUP(S$4,$D$7:$P$336,$R335,FALSE)-HLOOKUP(S$3,$D$7:$P$336,$R335,FALSE)</f>
        <v>63</v>
      </c>
      <c r="T335" s="60">
        <f ca="1">100+HLOOKUP(T$4,$D$7:$P$336,$R335,FALSE)-HLOOKUP(T$3,$D$7:$P$336,$R335,FALSE)</f>
        <v>64</v>
      </c>
      <c r="U335" s="60">
        <f ca="1">100+HLOOKUP(U$4,$D$7:$P$336,$R335,FALSE)-HLOOKUP(U$3,$D$7:$P$336,$R335,FALSE)</f>
        <v>63</v>
      </c>
      <c r="V335" s="60">
        <f ca="1">100+HLOOKUP(V$4,$D$7:$P$336,$R335,FALSE)-HLOOKUP(V$3,$D$7:$P$336,$R335,FALSE)</f>
        <v>64</v>
      </c>
      <c r="W335" s="60">
        <f ca="1">100+HLOOKUP(W$4,$D$7:$P$336,$R335,FALSE)-HLOOKUP(W$3,$D$7:$P$336,$R335,FALSE)</f>
        <v>64</v>
      </c>
      <c r="X335" s="60">
        <f ca="1">100+HLOOKUP(X$4,$D$7:$P$336,$R335,FALSE)-HLOOKUP(X$3,$D$7:$P$336,$R335,FALSE)</f>
        <v>63</v>
      </c>
      <c r="Y335" s="60">
        <f ca="1">100+HLOOKUP(Y$4,$D$7:$P$336,$R335,FALSE)-HLOOKUP(Y$3,$D$7:$P$336,$R335,FALSE)</f>
        <v>64</v>
      </c>
      <c r="Z335" s="60">
        <f ca="1">100+HLOOKUP(Z$4,$D$7:$P$336,$R335,FALSE)-HLOOKUP(Z$3,$D$7:$P$336,$R335,FALSE)</f>
        <v>63</v>
      </c>
      <c r="AA335" s="60">
        <f ca="1">100+HLOOKUP(AA$4,$D$7:$P$336,$R335,FALSE)-HLOOKUP(AA$3,$D$7:$P$336,$R335,FALSE)</f>
        <v>64</v>
      </c>
      <c r="AB335" s="60">
        <f ca="1">100+HLOOKUP(AB$4,$D$7:$P$336,$R335,FALSE)-HLOOKUP(AB$3,$D$7:$P$336,$R335,FALSE)</f>
        <v>64</v>
      </c>
      <c r="AC335" s="60">
        <f ca="1">100+HLOOKUP(AC$4,$D$7:$P$336,$R335,FALSE)-HLOOKUP(AC$3,$D$7:$P$336,$R335,FALSE)</f>
        <v>126</v>
      </c>
      <c r="AD335" s="60">
        <f ca="1">100+HLOOKUP(AD$4,$D$7:$P$336,$R335,FALSE)-HLOOKUP(AD$3,$D$7:$P$336,$R335,FALSE)</f>
        <v>126</v>
      </c>
      <c r="AE335" s="60">
        <f ca="1">100+HLOOKUP(AE$4,$D$7:$P$336,$R335,FALSE)-HLOOKUP(AE$3,$D$7:$P$336,$R335,FALSE)</f>
        <v>126</v>
      </c>
      <c r="AF335" s="60">
        <f ca="1">100+HLOOKUP(AF$4,$D$7:$P$336,$R335,FALSE)-HLOOKUP(AF$3,$D$7:$P$336,$R335,FALSE)</f>
        <v>126</v>
      </c>
      <c r="AG335" s="60">
        <f ca="1">100+HLOOKUP(AG$4,$D$7:$P$336,$R335,FALSE)-HLOOKUP(AG$3,$D$7:$P$336,$R335,FALSE)</f>
        <v>64</v>
      </c>
      <c r="AH335" s="60" t="e">
        <f>100+HLOOKUP(AH$4,$D$7:$P$336,$R335,FALSE)-HLOOKUP(AH$3,$D$7:$P$336,$R335,FALSE)</f>
        <v>#N/A</v>
      </c>
      <c r="AI335" s="60" t="e">
        <f>100+HLOOKUP(AI$4,$D$7:$P$336,$R335,FALSE)-HLOOKUP(AI$3,$D$7:$P$336,$R335,FALSE)</f>
        <v>#N/A</v>
      </c>
      <c r="AJ335" s="60" t="e">
        <f>100+HLOOKUP(AJ$4,$D$7:$P$336,$R335,FALSE)-HLOOKUP(AJ$3,$D$7:$P$336,$R335,FALSE)</f>
        <v>#N/A</v>
      </c>
      <c r="AK335" s="60" t="e">
        <f>100+HLOOKUP(AK$4,$D$7:$P$336,$R335,FALSE)-HLOOKUP(AK$3,$D$7:$P$336,$R335,FALSE)</f>
        <v>#N/A</v>
      </c>
      <c r="AL335" s="60" t="e">
        <f>100+HLOOKUP(AL$4,$D$7:$P$336,$R335,FALSE)-HLOOKUP(AL$3,$D$7:$P$336,$R335,FALSE)</f>
        <v>#N/A</v>
      </c>
      <c r="AM335" s="60" t="e">
        <f>100+HLOOKUP(AM$4,$D$7:$P$336,$R335,FALSE)-HLOOKUP(AM$3,$D$7:$P$336,$R335,FALSE)</f>
        <v>#N/A</v>
      </c>
      <c r="AN335" s="60" t="e">
        <f>100+HLOOKUP(AN$4,$D$7:$P$336,$R335,FALSE)-HLOOKUP(AN$3,$D$7:$P$336,$R335,FALSE)</f>
        <v>#N/A</v>
      </c>
      <c r="AO335" s="60" t="e">
        <f>100+HLOOKUP(AO$4,$D$7:$P$336,$R335,FALSE)-HLOOKUP(AO$3,$D$7:$P$336,$R335,FALSE)</f>
        <v>#N/A</v>
      </c>
      <c r="AP335" s="60" t="e">
        <f>100+HLOOKUP(AP$4,$D$7:$P$336,$R335,FALSE)-HLOOKUP(AP$3,$D$7:$P$336,$R335,FALSE)</f>
        <v>#N/A</v>
      </c>
      <c r="AQ335" s="60" t="e">
        <f>100+HLOOKUP(AQ$4,$D$7:$P$336,$R335,FALSE)-HLOOKUP(AQ$3,$D$7:$P$336,$R335,FALSE)</f>
        <v>#N/A</v>
      </c>
      <c r="AV335" s="60">
        <f ca="1">AV$5-S335</f>
        <v>40.190399426796432</v>
      </c>
      <c r="AW335" s="60">
        <f ca="1">AW$5-T335</f>
        <v>30.220650529757748</v>
      </c>
      <c r="AX335" s="60">
        <f ca="1">AX$5-U335</f>
        <v>38.775915403668051</v>
      </c>
      <c r="AY335" s="60">
        <f ca="1">AY$5-V335</f>
        <v>29.603014401527801</v>
      </c>
      <c r="AZ335" s="60">
        <f ca="1">AZ$5-W335</f>
        <v>33.45448217259603</v>
      </c>
      <c r="BA335" s="60">
        <f ca="1">BA$5-X335</f>
        <v>35.465059058982703</v>
      </c>
      <c r="BB335" s="60">
        <f ca="1">BB$5-Y335</f>
        <v>29.350592727381127</v>
      </c>
      <c r="BC335" s="60">
        <f ca="1">BC$5-Z335</f>
        <v>44.437465909882164</v>
      </c>
      <c r="BD335" s="60">
        <f ca="1">BD$5-AA335</f>
        <v>33.936518664382362</v>
      </c>
      <c r="BE335" s="60">
        <f ca="1">BE$5-AB335</f>
        <v>27.829390591992194</v>
      </c>
      <c r="BF335" s="60">
        <f ca="1">BF$5-AC335</f>
        <v>-24.98269568352292</v>
      </c>
      <c r="BG335" s="60">
        <f ca="1">BG$5-AD335</f>
        <v>-22.014741294981491</v>
      </c>
      <c r="BH335" s="60">
        <f ca="1">BH$5-AE335</f>
        <v>-27.045407769632433</v>
      </c>
      <c r="BI335" s="60">
        <f ca="1">BI$5-AF335</f>
        <v>-35.391494488745195</v>
      </c>
      <c r="BJ335" s="60">
        <f ca="1">BJ$5-AG335</f>
        <v>27.43955105767877</v>
      </c>
      <c r="BK335" s="60" t="e">
        <f>BK$5-AH335</f>
        <v>#N/A</v>
      </c>
      <c r="BL335" s="60" t="e">
        <f>BL$5-AI335</f>
        <v>#N/A</v>
      </c>
      <c r="BM335" s="60" t="e">
        <f>BM$5-AJ335</f>
        <v>#N/A</v>
      </c>
      <c r="BN335" s="60" t="e">
        <f>BN$5-AK335</f>
        <v>#N/A</v>
      </c>
      <c r="BO335" s="60" t="e">
        <f>BO$5-AL335</f>
        <v>#N/A</v>
      </c>
      <c r="BP335" s="60" t="e">
        <f>BP$5-AM335</f>
        <v>#N/A</v>
      </c>
      <c r="BQ335" s="60" t="e">
        <f>BQ$5-AN335</f>
        <v>#N/A</v>
      </c>
      <c r="BR335" s="60" t="e">
        <f>BR$5-AO335</f>
        <v>#N/A</v>
      </c>
      <c r="BS335" s="60" t="e">
        <f>BS$5-AP335</f>
        <v>#N/A</v>
      </c>
      <c r="BT335" s="60" t="e">
        <f>BT$5-AQ335</f>
        <v>#N/A</v>
      </c>
      <c r="BV335" s="60" cm="1">
        <f t="array" aca="1" ref="BV335" ca="1">SQRT(SUMSQ(_xlfn._xlws.FILTER(AV335:BT335,ISNUMBER(AV335:BT335)))/COUNT(_xlfn._xlws.FILTER(AV335:BT335,ISNUMBER(AV335:BT335))))</f>
        <v>32.550956551751831</v>
      </c>
    </row>
    <row r="336" spans="3:74" x14ac:dyDescent="0.2">
      <c r="C336" s="60" t="s">
        <v>339</v>
      </c>
      <c r="D336" s="60">
        <v>0</v>
      </c>
      <c r="E336" s="60">
        <v>-5.2140000000000004</v>
      </c>
      <c r="F336" s="60">
        <v>-10.428000000000001</v>
      </c>
      <c r="G336" s="60">
        <v>-15.641</v>
      </c>
      <c r="H336" s="60">
        <v>-20.855</v>
      </c>
      <c r="I336" s="60">
        <v>-26.068999999999999</v>
      </c>
      <c r="J336" s="60">
        <v>-31.283000000000001</v>
      </c>
      <c r="K336" s="60">
        <v>-36.496000000000002</v>
      </c>
      <c r="L336" s="60">
        <v>-41.71</v>
      </c>
      <c r="M336" s="60">
        <v>15.641</v>
      </c>
      <c r="N336" s="60">
        <v>10.428000000000001</v>
      </c>
      <c r="O336" s="60">
        <v>5.2140000000000004</v>
      </c>
      <c r="P336" s="60">
        <v>0</v>
      </c>
      <c r="R336" s="61">
        <f>(ROW(R336)-ROW($C$6))</f>
        <v>330</v>
      </c>
      <c r="S336" s="60">
        <f ca="1">100+HLOOKUP(S$4,$D$7:$P$336,$R336,FALSE)-HLOOKUP(S$3,$D$7:$P$336,$R336,FALSE)</f>
        <v>63.503999999999998</v>
      </c>
      <c r="T336" s="60">
        <f ca="1">100+HLOOKUP(T$4,$D$7:$P$336,$R336,FALSE)-HLOOKUP(T$3,$D$7:$P$336,$R336,FALSE)</f>
        <v>63.503</v>
      </c>
      <c r="U336" s="60">
        <f ca="1">100+HLOOKUP(U$4,$D$7:$P$336,$R336,FALSE)-HLOOKUP(U$3,$D$7:$P$336,$R336,FALSE)</f>
        <v>63.503999999999998</v>
      </c>
      <c r="V336" s="60">
        <f ca="1">100+HLOOKUP(V$4,$D$7:$P$336,$R336,FALSE)-HLOOKUP(V$3,$D$7:$P$336,$R336,FALSE)</f>
        <v>63.503</v>
      </c>
      <c r="W336" s="60">
        <f ca="1">100+HLOOKUP(W$4,$D$7:$P$336,$R336,FALSE)-HLOOKUP(W$3,$D$7:$P$336,$R336,FALSE)</f>
        <v>63.503999999999998</v>
      </c>
      <c r="X336" s="60">
        <f ca="1">100+HLOOKUP(X$4,$D$7:$P$336,$R336,FALSE)-HLOOKUP(X$3,$D$7:$P$336,$R336,FALSE)</f>
        <v>63.503999999999998</v>
      </c>
      <c r="Y336" s="60">
        <f ca="1">100+HLOOKUP(Y$4,$D$7:$P$336,$R336,FALSE)-HLOOKUP(Y$3,$D$7:$P$336,$R336,FALSE)</f>
        <v>63.503</v>
      </c>
      <c r="Z336" s="60">
        <f ca="1">100+HLOOKUP(Z$4,$D$7:$P$336,$R336,FALSE)-HLOOKUP(Z$3,$D$7:$P$336,$R336,FALSE)</f>
        <v>63.503999999999998</v>
      </c>
      <c r="AA336" s="60">
        <f ca="1">100+HLOOKUP(AA$4,$D$7:$P$336,$R336,FALSE)-HLOOKUP(AA$3,$D$7:$P$336,$R336,FALSE)</f>
        <v>63.503</v>
      </c>
      <c r="AB336" s="60">
        <f ca="1">100+HLOOKUP(AB$4,$D$7:$P$336,$R336,FALSE)-HLOOKUP(AB$3,$D$7:$P$336,$R336,FALSE)</f>
        <v>63.503999999999998</v>
      </c>
      <c r="AC336" s="60">
        <f ca="1">100+HLOOKUP(AC$4,$D$7:$P$336,$R336,FALSE)-HLOOKUP(AC$3,$D$7:$P$336,$R336,FALSE)</f>
        <v>126.069</v>
      </c>
      <c r="AD336" s="60">
        <f ca="1">100+HLOOKUP(AD$4,$D$7:$P$336,$R336,FALSE)-HLOOKUP(AD$3,$D$7:$P$336,$R336,FALSE)</f>
        <v>126.069</v>
      </c>
      <c r="AE336" s="60">
        <f ca="1">100+HLOOKUP(AE$4,$D$7:$P$336,$R336,FALSE)-HLOOKUP(AE$3,$D$7:$P$336,$R336,FALSE)</f>
        <v>126.069</v>
      </c>
      <c r="AF336" s="60">
        <f ca="1">100+HLOOKUP(AF$4,$D$7:$P$336,$R336,FALSE)-HLOOKUP(AF$3,$D$7:$P$336,$R336,FALSE)</f>
        <v>126.06899999999999</v>
      </c>
      <c r="AG336" s="60">
        <f ca="1">100+HLOOKUP(AG$4,$D$7:$P$336,$R336,FALSE)-HLOOKUP(AG$3,$D$7:$P$336,$R336,FALSE)</f>
        <v>63.503</v>
      </c>
      <c r="AH336" s="60" t="e">
        <f>100+HLOOKUP(AH$4,$D$7:$P$336,$R336,FALSE)-HLOOKUP(AH$3,$D$7:$P$336,$R336,FALSE)</f>
        <v>#N/A</v>
      </c>
      <c r="AI336" s="60" t="e">
        <f>100+HLOOKUP(AI$4,$D$7:$P$336,$R336,FALSE)-HLOOKUP(AI$3,$D$7:$P$336,$R336,FALSE)</f>
        <v>#N/A</v>
      </c>
      <c r="AJ336" s="60" t="e">
        <f>100+HLOOKUP(AJ$4,$D$7:$P$336,$R336,FALSE)-HLOOKUP(AJ$3,$D$7:$P$336,$R336,FALSE)</f>
        <v>#N/A</v>
      </c>
      <c r="AK336" s="60" t="e">
        <f>100+HLOOKUP(AK$4,$D$7:$P$336,$R336,FALSE)-HLOOKUP(AK$3,$D$7:$P$336,$R336,FALSE)</f>
        <v>#N/A</v>
      </c>
      <c r="AL336" s="60" t="e">
        <f>100+HLOOKUP(AL$4,$D$7:$P$336,$R336,FALSE)-HLOOKUP(AL$3,$D$7:$P$336,$R336,FALSE)</f>
        <v>#N/A</v>
      </c>
      <c r="AM336" s="60" t="e">
        <f>100+HLOOKUP(AM$4,$D$7:$P$336,$R336,FALSE)-HLOOKUP(AM$3,$D$7:$P$336,$R336,FALSE)</f>
        <v>#N/A</v>
      </c>
      <c r="AN336" s="60" t="e">
        <f>100+HLOOKUP(AN$4,$D$7:$P$336,$R336,FALSE)-HLOOKUP(AN$3,$D$7:$P$336,$R336,FALSE)</f>
        <v>#N/A</v>
      </c>
      <c r="AO336" s="60" t="e">
        <f>100+HLOOKUP(AO$4,$D$7:$P$336,$R336,FALSE)-HLOOKUP(AO$3,$D$7:$P$336,$R336,FALSE)</f>
        <v>#N/A</v>
      </c>
      <c r="AP336" s="60" t="e">
        <f>100+HLOOKUP(AP$4,$D$7:$P$336,$R336,FALSE)-HLOOKUP(AP$3,$D$7:$P$336,$R336,FALSE)</f>
        <v>#N/A</v>
      </c>
      <c r="AQ336" s="60" t="e">
        <f>100+HLOOKUP(AQ$4,$D$7:$P$336,$R336,FALSE)-HLOOKUP(AQ$3,$D$7:$P$336,$R336,FALSE)</f>
        <v>#N/A</v>
      </c>
      <c r="AV336" s="60">
        <f ca="1">AV$5-S336</f>
        <v>39.686399426796434</v>
      </c>
      <c r="AW336" s="60">
        <f ca="1">AW$5-T336</f>
        <v>30.717650529757748</v>
      </c>
      <c r="AX336" s="60">
        <f ca="1">AX$5-U336</f>
        <v>38.271915403668054</v>
      </c>
      <c r="AY336" s="60">
        <f ca="1">AY$5-V336</f>
        <v>30.100014401527801</v>
      </c>
      <c r="AZ336" s="60">
        <f ca="1">AZ$5-W336</f>
        <v>33.950482172596033</v>
      </c>
      <c r="BA336" s="60">
        <f ca="1">BA$5-X336</f>
        <v>34.961059058982705</v>
      </c>
      <c r="BB336" s="60">
        <f ca="1">BB$5-Y336</f>
        <v>29.847592727381127</v>
      </c>
      <c r="BC336" s="60">
        <f ca="1">BC$5-Z336</f>
        <v>43.933465909882166</v>
      </c>
      <c r="BD336" s="60">
        <f ca="1">BD$5-AA336</f>
        <v>34.433518664382362</v>
      </c>
      <c r="BE336" s="60">
        <f ca="1">BE$5-AB336</f>
        <v>28.325390591992196</v>
      </c>
      <c r="BF336" s="60">
        <f ca="1">BF$5-AC336</f>
        <v>-25.051695683522922</v>
      </c>
      <c r="BG336" s="60">
        <f ca="1">BG$5-AD336</f>
        <v>-22.083741294981493</v>
      </c>
      <c r="BH336" s="60">
        <f ca="1">BH$5-AE336</f>
        <v>-27.114407769632436</v>
      </c>
      <c r="BI336" s="60">
        <f ca="1">BI$5-AF336</f>
        <v>-35.460494488745184</v>
      </c>
      <c r="BJ336" s="60">
        <f ca="1">BJ$5-AG336</f>
        <v>27.93655105767877</v>
      </c>
      <c r="BK336" s="60" t="e">
        <f>BK$5-AH336</f>
        <v>#N/A</v>
      </c>
      <c r="BL336" s="60" t="e">
        <f>BL$5-AI336</f>
        <v>#N/A</v>
      </c>
      <c r="BM336" s="60" t="e">
        <f>BM$5-AJ336</f>
        <v>#N/A</v>
      </c>
      <c r="BN336" s="60" t="e">
        <f>BN$5-AK336</f>
        <v>#N/A</v>
      </c>
      <c r="BO336" s="60" t="e">
        <f>BO$5-AL336</f>
        <v>#N/A</v>
      </c>
      <c r="BP336" s="60" t="e">
        <f>BP$5-AM336</f>
        <v>#N/A</v>
      </c>
      <c r="BQ336" s="60" t="e">
        <f>BQ$5-AN336</f>
        <v>#N/A</v>
      </c>
      <c r="BR336" s="60" t="e">
        <f>BR$5-AO336</f>
        <v>#N/A</v>
      </c>
      <c r="BS336" s="60" t="e">
        <f>BS$5-AP336</f>
        <v>#N/A</v>
      </c>
      <c r="BT336" s="60" t="e">
        <f>BT$5-AQ336</f>
        <v>#N/A</v>
      </c>
      <c r="BV336" s="60" cm="1">
        <f t="array" aca="1" ref="BV336" ca="1">SQRT(SUMSQ(_xlfn._xlws.FILTER(AV336:BT336,ISNUMBER(AV336:BT336)))/COUNT(_xlfn._xlws.FILTER(AV336:BT336,ISNUMBER(AV336:BT336))))</f>
        <v>32.620685203314792</v>
      </c>
    </row>
  </sheetData>
  <sheetProtection sheet="1" scenarios="1" formatCells="0"/>
  <autoFilter ref="BV7:BV336" xr:uid="{6762997F-4FCE-4F4F-8F5E-FA05B6019CDE}"/>
  <sortState xmlns:xlrd2="http://schemas.microsoft.com/office/spreadsheetml/2017/richdata2" ref="A8:BW336">
    <sortCondition ref="BV8:BV336"/>
  </sortState>
  <mergeCells count="4">
    <mergeCell ref="D5:P5"/>
    <mergeCell ref="S6:AJ6"/>
    <mergeCell ref="AV6:BM6"/>
    <mergeCell ref="D1:F1"/>
  </mergeCells>
  <conditionalFormatting sqref="A1:D1 G1:XFD1 A2:XFD1048576">
    <cfRule type="expression" dxfId="135" priority="1">
      <formula>CELL("protected",A1)=0</formula>
    </cfRule>
    <cfRule type="expression" dxfId="134" priority="2">
      <formula>_xlfn.ISFORMULA(A1)</formula>
    </cfRule>
  </conditionalFormatting>
  <hyperlinks>
    <hyperlink ref="C2" r:id="rId1" xr:uid="{F12025E2-D130-0542-A024-E1BAF07CA457}"/>
    <hyperlink ref="B5" location="Overview!A1" display="Back to Overview" xr:uid="{933655FE-6D2C-E846-8A81-3870D64D6577}"/>
  </hyperlinks>
  <pageMargins left="0.7" right="0.7" top="0.75" bottom="0.75" header="0.3" footer="0.3"/>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1723D-3F20-7742-A5A5-B3C53B2B4A9C}">
  <sheetPr>
    <tabColor theme="5" tint="0.59999389629810485"/>
  </sheetPr>
  <dimension ref="B1:AA56"/>
  <sheetViews>
    <sheetView zoomScaleNormal="100" workbookViewId="0"/>
  </sheetViews>
  <sheetFormatPr baseColWidth="10" defaultColWidth="12" defaultRowHeight="15" x14ac:dyDescent="0.2"/>
  <cols>
    <col min="1" max="1" width="2.83203125" style="4" customWidth="1"/>
    <col min="2" max="16384" width="12" style="4"/>
  </cols>
  <sheetData>
    <row r="1" spans="2:27" ht="18" x14ac:dyDescent="0.2">
      <c r="B1" s="289" t="s">
        <v>485</v>
      </c>
      <c r="C1" s="289"/>
      <c r="D1" s="289"/>
      <c r="E1" s="289"/>
      <c r="F1" s="289"/>
      <c r="G1" s="289"/>
      <c r="H1" s="289"/>
      <c r="P1" s="4" t="s">
        <v>479</v>
      </c>
    </row>
    <row r="2" spans="2:27" ht="48" x14ac:dyDescent="0.2">
      <c r="C2" s="70"/>
      <c r="D2" s="154" t="s">
        <v>16</v>
      </c>
      <c r="E2" s="72" t="str">
        <f>D2</f>
        <v>Cents</v>
      </c>
      <c r="F2" s="72" t="str">
        <f>_xlfn.CONCAT("1/",D3," ",D2)</f>
        <v>1/1 Cents</v>
      </c>
      <c r="G2" s="73"/>
      <c r="H2" s="74" t="s">
        <v>143</v>
      </c>
      <c r="I2" s="156">
        <v>440</v>
      </c>
      <c r="J2" s="74" t="str">
        <f>_xlfn.CONCAT("C for A=", I2,":")</f>
        <v>C for A=440:</v>
      </c>
      <c r="K2" s="4">
        <f>I2/POWER(1/$F$3,C18)</f>
        <v>262.83581153076102</v>
      </c>
      <c r="L2" s="74"/>
      <c r="T2" s="77"/>
      <c r="Y2" s="74"/>
      <c r="Z2" s="74"/>
      <c r="AA2" s="74"/>
    </row>
    <row r="3" spans="2:27" ht="16" x14ac:dyDescent="0.2">
      <c r="C3" s="74" t="s">
        <v>125</v>
      </c>
      <c r="D3" s="155">
        <v>1</v>
      </c>
      <c r="E3" s="1">
        <f>IF(D2="Pythagorean Comma",524288/531441,IF(D2="Syntonic Comma",80/81,IF(D2="Cents",1/POWER(2,1/1200),"Not in List")))</f>
        <v>0.99942254414138076</v>
      </c>
      <c r="F3" s="132">
        <f>POWER(E3,1/D3)</f>
        <v>0.99942254414138076</v>
      </c>
      <c r="T3" s="77"/>
    </row>
    <row r="4" spans="2:27" ht="16" x14ac:dyDescent="0.2">
      <c r="B4" s="80" t="s">
        <v>63</v>
      </c>
      <c r="C4" s="79"/>
      <c r="D4" s="79"/>
    </row>
    <row r="5" spans="2:27" x14ac:dyDescent="0.2">
      <c r="F5" s="78"/>
    </row>
    <row r="6" spans="2:27" x14ac:dyDescent="0.2">
      <c r="E6" s="81"/>
      <c r="F6" s="81"/>
    </row>
    <row r="7" spans="2:27" ht="18" x14ac:dyDescent="0.2">
      <c r="B7" s="310" t="s">
        <v>140</v>
      </c>
      <c r="C7" s="311"/>
      <c r="D7" s="311"/>
      <c r="E7" s="311"/>
      <c r="F7" s="312"/>
      <c r="H7" s="310" t="s">
        <v>43</v>
      </c>
      <c r="I7" s="311"/>
      <c r="J7" s="311"/>
      <c r="K7" s="311"/>
      <c r="L7" s="311"/>
      <c r="M7" s="312"/>
      <c r="N7" s="133"/>
      <c r="P7" s="310" t="s">
        <v>129</v>
      </c>
      <c r="Q7" s="311"/>
      <c r="R7" s="311"/>
      <c r="S7" s="311"/>
      <c r="T7" s="311"/>
      <c r="U7" s="312"/>
    </row>
    <row r="8" spans="2:27" s="84" customFormat="1" ht="64" x14ac:dyDescent="0.2">
      <c r="B8" s="83" t="s">
        <v>14</v>
      </c>
      <c r="C8" s="84" t="str">
        <f>_xlfn.CONCAT(F2," from C")</f>
        <v>1/1 Cents from C</v>
      </c>
      <c r="D8" s="84" t="s">
        <v>15</v>
      </c>
      <c r="E8" s="84" t="s">
        <v>36</v>
      </c>
      <c r="F8" s="52" t="s">
        <v>50</v>
      </c>
      <c r="H8" s="149" t="s">
        <v>127</v>
      </c>
      <c r="I8" s="84" t="s">
        <v>128</v>
      </c>
      <c r="J8" s="84" t="s">
        <v>13</v>
      </c>
      <c r="K8" s="84" t="str">
        <f>_xlfn.CONCAT("Relative ",E2)</f>
        <v>Relative Cents</v>
      </c>
      <c r="L8" s="84" t="str">
        <f>_xlfn.CONCAT("Cumulative ",E2)</f>
        <v>Cumulative Cents</v>
      </c>
      <c r="M8" s="52" t="s">
        <v>16</v>
      </c>
      <c r="P8" s="149" t="s">
        <v>89</v>
      </c>
      <c r="Q8" s="84" t="s">
        <v>136</v>
      </c>
      <c r="R8" s="84" t="s">
        <v>90</v>
      </c>
      <c r="S8" s="152" t="s">
        <v>88</v>
      </c>
      <c r="T8" s="84" t="s">
        <v>32</v>
      </c>
      <c r="U8" s="52" t="s">
        <v>91</v>
      </c>
    </row>
    <row r="9" spans="2:27" x14ac:dyDescent="0.2">
      <c r="B9" s="85" t="s">
        <v>2</v>
      </c>
      <c r="C9" s="156">
        <v>0</v>
      </c>
      <c r="D9" s="4">
        <f>K2</f>
        <v>262.83581153076102</v>
      </c>
      <c r="F9" s="158">
        <v>3600</v>
      </c>
      <c r="G9" s="97"/>
      <c r="H9" s="123" t="s">
        <v>2</v>
      </c>
      <c r="I9" s="97">
        <v>0</v>
      </c>
      <c r="J9" s="4">
        <f>VLOOKUP(H9,$B$9:$D$21,3,FALSE)*POWER(2,I9)</f>
        <v>262.83581153076102</v>
      </c>
      <c r="K9" s="4">
        <v>0</v>
      </c>
      <c r="L9" s="4">
        <f>K9</f>
        <v>0</v>
      </c>
      <c r="M9" s="47"/>
      <c r="P9" s="123" t="str">
        <f t="shared" ref="P9:P21" si="0">B9</f>
        <v>C</v>
      </c>
      <c r="Q9" s="4">
        <f>D9</f>
        <v>262.83581153076102</v>
      </c>
      <c r="R9" s="4">
        <f t="shared" ref="R9:R21" si="1">LOG(D9/Q9,2)*1200</f>
        <v>0</v>
      </c>
      <c r="S9" s="145" t="str">
        <f t="shared" ref="S9:S21" si="2">H9</f>
        <v>C</v>
      </c>
      <c r="T9" s="4">
        <f t="shared" ref="T9:T21" si="3">VLOOKUP(S9,$P$9:$Q$21,2,FALSE)</f>
        <v>262.83581153076102</v>
      </c>
      <c r="U9" s="47">
        <f t="shared" ref="U9:U21" si="4">VLOOKUP(S9,$P$9:$R$21,3,FALSE)</f>
        <v>0</v>
      </c>
    </row>
    <row r="10" spans="2:27" x14ac:dyDescent="0.2">
      <c r="B10" s="85" t="s">
        <v>74</v>
      </c>
      <c r="C10" s="156">
        <v>84.55</v>
      </c>
      <c r="D10" s="4">
        <f t="shared" ref="D10:D21" si="5">$D$9*POWER(1/$F$3,C10)</f>
        <v>275.99080268767807</v>
      </c>
      <c r="E10" s="4">
        <f t="shared" ref="E10:E21" si="6">LOG(D10/D9,2)*1200</f>
        <v>84.549999999998562</v>
      </c>
      <c r="F10" s="47">
        <f t="shared" ref="F10:F21" si="7">F$9*D$9/D10</f>
        <v>3428.4074407418079</v>
      </c>
      <c r="G10" s="97"/>
      <c r="H10" s="123" t="s">
        <v>6</v>
      </c>
      <c r="I10" s="97">
        <v>0</v>
      </c>
      <c r="J10" s="4">
        <f t="shared" ref="J10:J21" si="8">VLOOKUP(H10,$B$9:$D$21,3,FALSE)*POWER(2,I10)</f>
        <v>393.27682955320125</v>
      </c>
      <c r="K10" s="75">
        <f>LOG(J10/(J9*3/2),1/$F$3)</f>
        <v>-4.295000865400338</v>
      </c>
      <c r="L10" s="4">
        <f>L9+K10</f>
        <v>-4.295000865400338</v>
      </c>
      <c r="M10" s="47">
        <f t="shared" ref="M10:M21" si="9">LOG(J10/J9,2)*1200</f>
        <v>697.65999999998735</v>
      </c>
      <c r="P10" s="123" t="str">
        <f t="shared" si="0"/>
        <v>C#</v>
      </c>
      <c r="Q10" s="4">
        <f t="shared" ref="Q10:Q21" si="10">Q9*POWER($Q$9*2/$Q$9,1/12)</f>
        <v>278.4648421928166</v>
      </c>
      <c r="R10" s="4">
        <f t="shared" si="1"/>
        <v>-15.450000000001495</v>
      </c>
      <c r="S10" s="145" t="str">
        <f t="shared" si="2"/>
        <v>G</v>
      </c>
      <c r="T10" s="4">
        <f t="shared" si="3"/>
        <v>393.80875647316492</v>
      </c>
      <c r="U10" s="47">
        <f t="shared" si="4"/>
        <v>-2.3400000000128247</v>
      </c>
    </row>
    <row r="11" spans="2:27" x14ac:dyDescent="0.2">
      <c r="B11" s="85" t="s">
        <v>3</v>
      </c>
      <c r="C11" s="156">
        <v>193.89</v>
      </c>
      <c r="D11" s="4">
        <f t="shared" si="5"/>
        <v>293.98384068408706</v>
      </c>
      <c r="E11" s="4">
        <f t="shared" si="6"/>
        <v>109.33999999999796</v>
      </c>
      <c r="F11" s="47">
        <f t="shared" si="7"/>
        <v>3218.5745968518354</v>
      </c>
      <c r="G11" s="97"/>
      <c r="H11" s="123" t="s">
        <v>3</v>
      </c>
      <c r="I11" s="97">
        <v>1</v>
      </c>
      <c r="J11" s="4">
        <f t="shared" si="8"/>
        <v>587.96768136817411</v>
      </c>
      <c r="K11" s="75">
        <f t="shared" ref="K11:K21" si="11">LOG(J11/(J10*3/2),1/$F$3)</f>
        <v>-5.7250008653785471</v>
      </c>
      <c r="L11" s="4">
        <f t="shared" ref="L11:L21" si="12">L10+K11</f>
        <v>-10.020001730778885</v>
      </c>
      <c r="M11" s="47">
        <f t="shared" si="9"/>
        <v>696.23000000000923</v>
      </c>
      <c r="P11" s="123" t="str">
        <f t="shared" si="0"/>
        <v>D</v>
      </c>
      <c r="Q11" s="4">
        <f t="shared" si="10"/>
        <v>295.02322337987431</v>
      </c>
      <c r="R11" s="4">
        <f t="shared" si="1"/>
        <v>-6.1100000000036268</v>
      </c>
      <c r="S11" s="145" t="str">
        <f t="shared" si="2"/>
        <v>D</v>
      </c>
      <c r="T11" s="4">
        <f t="shared" si="3"/>
        <v>295.02322337987431</v>
      </c>
      <c r="U11" s="47">
        <f t="shared" si="4"/>
        <v>-6.1100000000036268</v>
      </c>
    </row>
    <row r="12" spans="2:27" x14ac:dyDescent="0.2">
      <c r="B12" s="85" t="s">
        <v>76</v>
      </c>
      <c r="C12" s="156">
        <v>303.334</v>
      </c>
      <c r="D12" s="4">
        <f t="shared" si="5"/>
        <v>313.16873524606342</v>
      </c>
      <c r="E12" s="4">
        <f t="shared" si="6"/>
        <v>109.44399999999835</v>
      </c>
      <c r="F12" s="47">
        <f t="shared" si="7"/>
        <v>3021.4028892995434</v>
      </c>
      <c r="G12" s="97"/>
      <c r="H12" s="123" t="s">
        <v>7</v>
      </c>
      <c r="I12" s="97">
        <v>1</v>
      </c>
      <c r="J12" s="4">
        <f t="shared" si="8"/>
        <v>880</v>
      </c>
      <c r="K12" s="75">
        <f t="shared" si="11"/>
        <v>-3.8350008653999104</v>
      </c>
      <c r="L12" s="4">
        <f t="shared" si="12"/>
        <v>-13.855002596178796</v>
      </c>
      <c r="M12" s="47">
        <f t="shared" si="9"/>
        <v>698.11999999998761</v>
      </c>
      <c r="P12" s="123" t="str">
        <f t="shared" si="0"/>
        <v>D#</v>
      </c>
      <c r="Q12" s="4">
        <f t="shared" si="10"/>
        <v>312.56621714989524</v>
      </c>
      <c r="R12" s="4">
        <f t="shared" si="1"/>
        <v>3.3339999999945036</v>
      </c>
      <c r="S12" s="145" t="str">
        <f t="shared" si="2"/>
        <v>A</v>
      </c>
      <c r="T12" s="4">
        <f t="shared" si="3"/>
        <v>442.03538343303575</v>
      </c>
      <c r="U12" s="47">
        <f t="shared" si="4"/>
        <v>-7.9900000000160984</v>
      </c>
    </row>
    <row r="13" spans="2:27" x14ac:dyDescent="0.2">
      <c r="B13" s="85" t="s">
        <v>4</v>
      </c>
      <c r="C13" s="156">
        <v>391.41</v>
      </c>
      <c r="D13" s="4">
        <f t="shared" si="5"/>
        <v>329.51333650104954</v>
      </c>
      <c r="E13" s="4">
        <f t="shared" si="6"/>
        <v>88.07599999999843</v>
      </c>
      <c r="F13" s="47">
        <f t="shared" si="7"/>
        <v>2871.534522875756</v>
      </c>
      <c r="G13" s="97"/>
      <c r="H13" s="123" t="s">
        <v>4</v>
      </c>
      <c r="I13" s="97">
        <v>2</v>
      </c>
      <c r="J13" s="4">
        <f t="shared" si="8"/>
        <v>1318.0533460041981</v>
      </c>
      <c r="K13" s="75">
        <f t="shared" si="11"/>
        <v>-2.5550008653783998</v>
      </c>
      <c r="L13" s="4">
        <f t="shared" si="12"/>
        <v>-16.410003461557196</v>
      </c>
      <c r="M13" s="47">
        <f t="shared" si="9"/>
        <v>699.4000000000093</v>
      </c>
      <c r="P13" s="123" t="str">
        <f t="shared" si="0"/>
        <v>E</v>
      </c>
      <c r="Q13" s="4">
        <f t="shared" si="10"/>
        <v>331.15237161380742</v>
      </c>
      <c r="R13" s="4">
        <f t="shared" si="1"/>
        <v>-8.5900000000068264</v>
      </c>
      <c r="S13" s="145" t="str">
        <f t="shared" si="2"/>
        <v>E</v>
      </c>
      <c r="T13" s="4">
        <f t="shared" si="3"/>
        <v>331.15237161380742</v>
      </c>
      <c r="U13" s="47">
        <f t="shared" si="4"/>
        <v>-8.5900000000068264</v>
      </c>
    </row>
    <row r="14" spans="2:27" x14ac:dyDescent="0.2">
      <c r="B14" s="85" t="s">
        <v>5</v>
      </c>
      <c r="C14" s="156">
        <v>501.25</v>
      </c>
      <c r="D14" s="4">
        <f t="shared" si="5"/>
        <v>351.0971269048369</v>
      </c>
      <c r="E14" s="4">
        <f t="shared" si="6"/>
        <v>109.83999999999794</v>
      </c>
      <c r="F14" s="47">
        <f t="shared" si="7"/>
        <v>2695.0061649670088</v>
      </c>
      <c r="G14" s="97"/>
      <c r="H14" s="123" t="s">
        <v>8</v>
      </c>
      <c r="I14" s="97">
        <v>2</v>
      </c>
      <c r="J14" s="4">
        <f t="shared" si="8"/>
        <v>1971.1903460480671</v>
      </c>
      <c r="K14" s="75">
        <f t="shared" si="11"/>
        <v>-5.1650008654001001</v>
      </c>
      <c r="L14" s="4">
        <f t="shared" si="12"/>
        <v>-21.575004326957295</v>
      </c>
      <c r="M14" s="47">
        <f t="shared" si="9"/>
        <v>696.78999999998746</v>
      </c>
      <c r="P14" s="123" t="str">
        <f t="shared" si="0"/>
        <v>F</v>
      </c>
      <c r="Q14" s="4">
        <f t="shared" si="10"/>
        <v>350.84371633438366</v>
      </c>
      <c r="R14" s="4">
        <f t="shared" si="1"/>
        <v>1.2499999999912454</v>
      </c>
      <c r="S14" s="145" t="str">
        <f t="shared" si="2"/>
        <v>B</v>
      </c>
      <c r="T14" s="4">
        <f t="shared" si="3"/>
        <v>496.1679419134644</v>
      </c>
      <c r="U14" s="47">
        <f t="shared" si="4"/>
        <v>-11.800000000019589</v>
      </c>
    </row>
    <row r="15" spans="2:27" x14ac:dyDescent="0.2">
      <c r="B15" s="85" t="s">
        <v>70</v>
      </c>
      <c r="C15" s="156">
        <v>585.65</v>
      </c>
      <c r="D15" s="4">
        <f t="shared" si="5"/>
        <v>368.63767523368648</v>
      </c>
      <c r="E15" s="4">
        <f t="shared" si="6"/>
        <v>84.39999999999867</v>
      </c>
      <c r="F15" s="47">
        <f t="shared" si="7"/>
        <v>2566.7721588980826</v>
      </c>
      <c r="G15" s="97"/>
      <c r="H15" s="123" t="s">
        <v>70</v>
      </c>
      <c r="I15" s="97">
        <v>3</v>
      </c>
      <c r="J15" s="4">
        <f t="shared" si="8"/>
        <v>2949.1014018694918</v>
      </c>
      <c r="K15" s="75">
        <f t="shared" si="11"/>
        <v>-4.5050008653785412</v>
      </c>
      <c r="L15" s="4">
        <f t="shared" si="12"/>
        <v>-26.080005192335836</v>
      </c>
      <c r="M15" s="47">
        <f t="shared" si="9"/>
        <v>697.45000000000891</v>
      </c>
      <c r="P15" s="123" t="str">
        <f t="shared" si="0"/>
        <v>F#</v>
      </c>
      <c r="Q15" s="4">
        <f t="shared" si="10"/>
        <v>371.70596934414095</v>
      </c>
      <c r="R15" s="4">
        <f t="shared" si="1"/>
        <v>-14.350000000010516</v>
      </c>
      <c r="S15" s="145" t="str">
        <f t="shared" si="2"/>
        <v>F#</v>
      </c>
      <c r="T15" s="4">
        <f t="shared" si="3"/>
        <v>371.70596934414095</v>
      </c>
      <c r="U15" s="47">
        <f t="shared" si="4"/>
        <v>-14.350000000010516</v>
      </c>
    </row>
    <row r="16" spans="2:27" x14ac:dyDescent="0.2">
      <c r="B16" s="85" t="s">
        <v>6</v>
      </c>
      <c r="C16" s="156">
        <v>697.66</v>
      </c>
      <c r="D16" s="4">
        <f t="shared" si="5"/>
        <v>393.27682955320125</v>
      </c>
      <c r="E16" s="4">
        <f t="shared" si="6"/>
        <v>112.00999999999776</v>
      </c>
      <c r="F16" s="47">
        <f t="shared" si="7"/>
        <v>2405.9615273692079</v>
      </c>
      <c r="G16" s="97"/>
      <c r="H16" s="123" t="s">
        <v>74</v>
      </c>
      <c r="I16" s="97">
        <v>4</v>
      </c>
      <c r="J16" s="4">
        <f t="shared" si="8"/>
        <v>4415.8528430028491</v>
      </c>
      <c r="K16" s="75">
        <f t="shared" si="11"/>
        <v>-3.0550008653787697</v>
      </c>
      <c r="L16" s="4">
        <f t="shared" si="12"/>
        <v>-29.135006057714605</v>
      </c>
      <c r="M16" s="47">
        <f t="shared" si="9"/>
        <v>698.90000000000896</v>
      </c>
      <c r="P16" s="123" t="str">
        <f t="shared" si="0"/>
        <v>G</v>
      </c>
      <c r="Q16" s="4">
        <f t="shared" si="10"/>
        <v>393.80875647316492</v>
      </c>
      <c r="R16" s="4">
        <f t="shared" si="1"/>
        <v>-2.3400000000128247</v>
      </c>
      <c r="S16" s="145" t="str">
        <f t="shared" si="2"/>
        <v>C#</v>
      </c>
      <c r="T16" s="4">
        <f t="shared" si="3"/>
        <v>278.4648421928166</v>
      </c>
      <c r="U16" s="47">
        <f t="shared" si="4"/>
        <v>-15.450000000001495</v>
      </c>
    </row>
    <row r="17" spans="2:26" x14ac:dyDescent="0.2">
      <c r="B17" s="85" t="s">
        <v>72</v>
      </c>
      <c r="C17" s="156">
        <v>782.42</v>
      </c>
      <c r="D17" s="4">
        <f t="shared" si="5"/>
        <v>413.01051828851922</v>
      </c>
      <c r="E17" s="4">
        <f t="shared" si="6"/>
        <v>84.759999999998527</v>
      </c>
      <c r="F17" s="47">
        <f t="shared" si="7"/>
        <v>2291.0044166229704</v>
      </c>
      <c r="G17" s="97"/>
      <c r="H17" s="123" t="s">
        <v>72</v>
      </c>
      <c r="I17" s="97">
        <v>4</v>
      </c>
      <c r="J17" s="4">
        <f t="shared" si="8"/>
        <v>6608.1682926163076</v>
      </c>
      <c r="K17" s="75">
        <f t="shared" si="11"/>
        <v>-4.0850008654002199</v>
      </c>
      <c r="L17" s="4">
        <f t="shared" si="12"/>
        <v>-33.220006923114823</v>
      </c>
      <c r="M17" s="47">
        <f t="shared" si="9"/>
        <v>697.86999999998739</v>
      </c>
      <c r="P17" s="123" t="str">
        <f t="shared" si="0"/>
        <v>G#</v>
      </c>
      <c r="Q17" s="4">
        <f t="shared" si="10"/>
        <v>417.22584371884545</v>
      </c>
      <c r="R17" s="4">
        <f t="shared" si="1"/>
        <v>-17.580000000014216</v>
      </c>
      <c r="S17" s="145" t="str">
        <f t="shared" si="2"/>
        <v>G#</v>
      </c>
      <c r="T17" s="4">
        <f t="shared" si="3"/>
        <v>417.22584371884545</v>
      </c>
      <c r="U17" s="47">
        <f t="shared" si="4"/>
        <v>-17.580000000014216</v>
      </c>
    </row>
    <row r="18" spans="2:26" x14ac:dyDescent="0.2">
      <c r="B18" s="85" t="s">
        <v>7</v>
      </c>
      <c r="C18" s="156">
        <v>892.01</v>
      </c>
      <c r="D18" s="4">
        <f t="shared" si="5"/>
        <v>440</v>
      </c>
      <c r="E18" s="4">
        <f t="shared" si="6"/>
        <v>109.58999999999824</v>
      </c>
      <c r="F18" s="47">
        <f t="shared" si="7"/>
        <v>2150.4748216153175</v>
      </c>
      <c r="G18" s="97"/>
      <c r="H18" s="123" t="s">
        <v>76</v>
      </c>
      <c r="I18" s="97">
        <v>5</v>
      </c>
      <c r="J18" s="4">
        <f t="shared" si="8"/>
        <v>10021.399527874029</v>
      </c>
      <c r="K18" s="75">
        <f t="shared" si="11"/>
        <v>18.958999134621603</v>
      </c>
      <c r="L18" s="4">
        <f t="shared" si="12"/>
        <v>-14.26100778849322</v>
      </c>
      <c r="M18" s="47">
        <f t="shared" si="9"/>
        <v>720.91400000000874</v>
      </c>
      <c r="P18" s="123" t="str">
        <f t="shared" si="0"/>
        <v>A</v>
      </c>
      <c r="Q18" s="4">
        <f t="shared" si="10"/>
        <v>442.03538343303575</v>
      </c>
      <c r="R18" s="4">
        <f t="shared" si="1"/>
        <v>-7.9900000000160984</v>
      </c>
      <c r="S18" s="145" t="str">
        <f t="shared" si="2"/>
        <v>D#</v>
      </c>
      <c r="T18" s="4">
        <f t="shared" si="3"/>
        <v>312.56621714989524</v>
      </c>
      <c r="U18" s="47">
        <f t="shared" si="4"/>
        <v>3.3339999999945036</v>
      </c>
    </row>
    <row r="19" spans="2:26" x14ac:dyDescent="0.2">
      <c r="B19" s="85" t="s">
        <v>73</v>
      </c>
      <c r="C19" s="156">
        <v>1001.7</v>
      </c>
      <c r="D19" s="4">
        <f t="shared" si="5"/>
        <v>468.78027198871075</v>
      </c>
      <c r="E19" s="4">
        <f t="shared" si="6"/>
        <v>109.68999999999807</v>
      </c>
      <c r="F19" s="47">
        <f t="shared" si="7"/>
        <v>2018.4486806508071</v>
      </c>
      <c r="G19" s="97"/>
      <c r="H19" s="123" t="s">
        <v>73</v>
      </c>
      <c r="I19" s="97">
        <v>5</v>
      </c>
      <c r="J19" s="4">
        <f t="shared" si="8"/>
        <v>15000.968703638744</v>
      </c>
      <c r="K19" s="75">
        <f t="shared" si="11"/>
        <v>-3.5890008654000267</v>
      </c>
      <c r="L19" s="4">
        <f t="shared" si="12"/>
        <v>-17.850008653893248</v>
      </c>
      <c r="M19" s="47">
        <f t="shared" si="9"/>
        <v>698.36599999998759</v>
      </c>
      <c r="P19" s="123" t="str">
        <f t="shared" si="0"/>
        <v>A#</v>
      </c>
      <c r="Q19" s="4">
        <f t="shared" si="10"/>
        <v>468.32017514826163</v>
      </c>
      <c r="R19" s="4">
        <f t="shared" si="1"/>
        <v>1.6999999999820341</v>
      </c>
      <c r="S19" s="145" t="str">
        <f t="shared" si="2"/>
        <v>A#</v>
      </c>
      <c r="T19" s="4">
        <f t="shared" si="3"/>
        <v>468.32017514826163</v>
      </c>
      <c r="U19" s="47">
        <f t="shared" si="4"/>
        <v>1.6999999999820341</v>
      </c>
    </row>
    <row r="20" spans="2:26" x14ac:dyDescent="0.2">
      <c r="B20" s="85" t="s">
        <v>8</v>
      </c>
      <c r="C20" s="156">
        <v>1088.2</v>
      </c>
      <c r="D20" s="4">
        <f t="shared" si="5"/>
        <v>492.79758651201678</v>
      </c>
      <c r="E20" s="4">
        <f t="shared" si="6"/>
        <v>86.499999999998579</v>
      </c>
      <c r="F20" s="47">
        <f t="shared" si="7"/>
        <v>1920.0762085868425</v>
      </c>
      <c r="G20" s="97"/>
      <c r="H20" s="123" t="s">
        <v>5</v>
      </c>
      <c r="I20" s="97">
        <v>6</v>
      </c>
      <c r="J20" s="4">
        <f t="shared" si="8"/>
        <v>22470.216121909561</v>
      </c>
      <c r="K20" s="75">
        <f t="shared" si="11"/>
        <v>-2.4050008653783865</v>
      </c>
      <c r="L20" s="4">
        <f t="shared" si="12"/>
        <v>-20.255009519271635</v>
      </c>
      <c r="M20" s="47">
        <f t="shared" si="9"/>
        <v>699.55000000000894</v>
      </c>
      <c r="P20" s="123" t="str">
        <f t="shared" si="0"/>
        <v>B</v>
      </c>
      <c r="Q20" s="4">
        <f t="shared" si="10"/>
        <v>496.1679419134644</v>
      </c>
      <c r="R20" s="4">
        <f t="shared" si="1"/>
        <v>-11.800000000019589</v>
      </c>
      <c r="S20" s="145" t="str">
        <f t="shared" si="2"/>
        <v>F</v>
      </c>
      <c r="T20" s="4">
        <f t="shared" si="3"/>
        <v>350.84371633438366</v>
      </c>
      <c r="U20" s="47">
        <f t="shared" si="4"/>
        <v>1.2499999999912454</v>
      </c>
    </row>
    <row r="21" spans="2:26" x14ac:dyDescent="0.2">
      <c r="B21" s="87" t="s">
        <v>78</v>
      </c>
      <c r="C21" s="157">
        <v>1200</v>
      </c>
      <c r="D21" s="53">
        <f t="shared" si="5"/>
        <v>525.67162306154057</v>
      </c>
      <c r="E21" s="53">
        <f t="shared" si="6"/>
        <v>111.80000000008053</v>
      </c>
      <c r="F21" s="48">
        <f t="shared" si="7"/>
        <v>1799.9999999999366</v>
      </c>
      <c r="G21" s="97"/>
      <c r="H21" s="108" t="s">
        <v>78</v>
      </c>
      <c r="I21" s="98">
        <v>6</v>
      </c>
      <c r="J21" s="53">
        <f t="shared" si="8"/>
        <v>33642.983875938597</v>
      </c>
      <c r="K21" s="88">
        <f t="shared" si="11"/>
        <v>-3.2050008653176567</v>
      </c>
      <c r="L21" s="53">
        <f t="shared" si="12"/>
        <v>-23.460010384589292</v>
      </c>
      <c r="M21" s="48">
        <f t="shared" si="9"/>
        <v>698.75000000006992</v>
      </c>
      <c r="P21" s="108" t="str">
        <f t="shared" si="0"/>
        <v>c oct.</v>
      </c>
      <c r="Q21" s="53">
        <f t="shared" si="10"/>
        <v>525.67162306152204</v>
      </c>
      <c r="R21" s="53">
        <f t="shared" si="1"/>
        <v>6.1121377692787549E-11</v>
      </c>
      <c r="S21" s="151" t="str">
        <f t="shared" si="2"/>
        <v>c oct.</v>
      </c>
      <c r="T21" s="53">
        <f t="shared" si="3"/>
        <v>525.67162306152204</v>
      </c>
      <c r="U21" s="48">
        <f t="shared" si="4"/>
        <v>6.1121377692787549E-11</v>
      </c>
    </row>
    <row r="22" spans="2:26" x14ac:dyDescent="0.2">
      <c r="B22" s="86"/>
      <c r="H22" s="18"/>
      <c r="P22" s="18"/>
      <c r="S22" s="18"/>
    </row>
    <row r="23" spans="2:26" x14ac:dyDescent="0.2">
      <c r="B23" s="86"/>
      <c r="H23" s="18"/>
      <c r="P23" s="18"/>
      <c r="S23" s="18"/>
    </row>
    <row r="24" spans="2:26" ht="18" x14ac:dyDescent="0.2">
      <c r="B24" s="86"/>
      <c r="H24" s="18"/>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x14ac:dyDescent="0.2">
      <c r="B26" s="83" t="s">
        <v>130</v>
      </c>
      <c r="C26" s="84" t="s">
        <v>131</v>
      </c>
      <c r="D26" s="84" t="s">
        <v>132</v>
      </c>
      <c r="E26" s="84" t="str" cm="1">
        <f t="array" aca="1" ref="E26" ca="1">_xlfn.CONCAT(_xlfn.TEXTAFTER(CELL("filename",A2),"]")," Interval in cents")</f>
        <v>Silbermann Wegscheider 1 Interval in cents</v>
      </c>
      <c r="F26" s="84" t="s">
        <v>18</v>
      </c>
      <c r="G26" s="52" t="str">
        <f>_xlfn.CONCAT("diff ",$F$2)</f>
        <v>diff 1/1 Cents</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3">LOG(D27*VLOOKUP(C27,Master_Frequencies,2,FALSE)/VLOOKUP(B27,Master_Frequencies,2,FALSE),2)*1200</f>
        <v>391.40999999999309</v>
      </c>
      <c r="F27" s="4">
        <f t="shared" ref="F27" si="14">VLOOKUP(B27,Master_Frequencies,2,FALSE)*5/4</f>
        <v>328.54476441345128</v>
      </c>
      <c r="G27" s="47">
        <f t="shared" ref="G27" si="15">IF($D$2="Cents",LOG(D27*VLOOKUP(C27,Master_Frequencies,2,FALSE)/F27,2)*1200*$D$3,LOG(D27*VLOOKUP(C27,Master_Frequencies,2,FALSE)/F27,$F$3))</f>
        <v>5.0962861351583646</v>
      </c>
      <c r="I27" s="123" t="s">
        <v>2</v>
      </c>
      <c r="J27" s="145" t="s">
        <v>6</v>
      </c>
      <c r="K27" s="97">
        <v>1</v>
      </c>
      <c r="L27" s="191">
        <f t="shared" ref="L27" si="16">K27*VLOOKUP(J27,Master_Frequencies,2,FALSE)/VLOOKUP(I27,Master_Frequencies,2,FALSE)</f>
        <v>1.4962832776201582</v>
      </c>
      <c r="M27" s="145" t="s">
        <v>2</v>
      </c>
      <c r="N27" s="145" t="s">
        <v>4</v>
      </c>
      <c r="O27" s="191">
        <f t="shared" ref="O27" si="17">D27*VLOOKUP(N27,Master_Frequencies,2,FALSE)/VLOOKUP(M27,Master_Frequencies,2,FALSE)</f>
        <v>1.2536850841670215</v>
      </c>
      <c r="Q27" s="99">
        <v>1</v>
      </c>
      <c r="R27" s="18">
        <f>$D$9*Q27</f>
        <v>262.83581153076102</v>
      </c>
      <c r="S27" s="97">
        <v>0</v>
      </c>
      <c r="T27" s="4">
        <f>R27/POWER(2,S27)</f>
        <v>262.83581153076102</v>
      </c>
      <c r="U27" s="18" t="str" cm="1">
        <f t="array" ref="U27">_xlfn.XLOOKUP(0,ABS($C$43:$C$55-T27),$B$43:$B$55,,1)</f>
        <v>C</v>
      </c>
      <c r="V27" s="47">
        <f>LOG(T27/VLOOKUP(U27,$B$9:$D$21,3,FALSE),2)*1200</f>
        <v>0</v>
      </c>
      <c r="X27" s="85" t="s">
        <v>2</v>
      </c>
      <c r="Y27" s="4">
        <f t="shared" ref="Y27" si="18">VLOOKUP(X27,Master_Frequencies,2,FALSE)/POWER(2,$Z$25)</f>
        <v>131.41790576538051</v>
      </c>
      <c r="Z27" s="47">
        <f t="shared" ref="Z27" si="19">VLOOKUP(X27,Master_Frequencies,2,FALSE)*POWER(2,$Z$25)</f>
        <v>525.67162306152204</v>
      </c>
    </row>
    <row r="28" spans="2:26" x14ac:dyDescent="0.2">
      <c r="B28" s="123" t="s">
        <v>74</v>
      </c>
      <c r="C28" s="145" t="s">
        <v>5</v>
      </c>
      <c r="D28" s="97">
        <v>1</v>
      </c>
      <c r="E28" s="4">
        <f t="shared" ref="E28" si="20">LOG(D28*VLOOKUP(C28,Master_Frequencies,2,FALSE)/VLOOKUP(B28,Master_Frequencies,2,FALSE),2)*1200</f>
        <v>416.69999999999277</v>
      </c>
      <c r="F28" s="4">
        <f t="shared" ref="F28" si="21">VLOOKUP(B28,Master_Frequencies,2,FALSE)*5/4</f>
        <v>344.98850335959759</v>
      </c>
      <c r="G28" s="47">
        <f t="shared" ref="G28" si="22">IF($D$2="Cents",LOG(D28*VLOOKUP(C28,Master_Frequencies,2,FALSE)/F28,2)*1200*$D$3,LOG(D28*VLOOKUP(C28,Master_Frequencies,2,FALSE)/F28,$F$3))</f>
        <v>30.386286135157878</v>
      </c>
      <c r="I28" s="123" t="s">
        <v>74</v>
      </c>
      <c r="J28" s="145" t="s">
        <v>72</v>
      </c>
      <c r="K28" s="97">
        <v>1</v>
      </c>
      <c r="L28" s="191">
        <f t="shared" ref="L28" si="23">K28*VLOOKUP(J28,Master_Frequencies,2,FALSE)/VLOOKUP(I28,Master_Frequencies,2,FALSE)</f>
        <v>1.496464788922325</v>
      </c>
      <c r="M28" s="145" t="s">
        <v>74</v>
      </c>
      <c r="N28" s="145" t="s">
        <v>5</v>
      </c>
      <c r="O28" s="191">
        <f t="shared" ref="O28" si="24">D28*VLOOKUP(N28,Master_Frequencies,2,FALSE)/VLOOKUP(M28,Master_Frequencies,2,FALSE)</f>
        <v>1.2721334315700081</v>
      </c>
      <c r="Q28" s="99">
        <v>2</v>
      </c>
      <c r="R28" s="18">
        <f t="shared" ref="R28:R39" si="25">$D$9*Q28</f>
        <v>525.67162306152204</v>
      </c>
      <c r="S28" s="97">
        <v>0</v>
      </c>
      <c r="T28" s="4">
        <f t="shared" ref="T28:T39" si="26">R28/POWER(2,S28)</f>
        <v>525.67162306152204</v>
      </c>
      <c r="U28" s="18" t="str" cm="1">
        <f t="array" ref="U28">_xlfn.XLOOKUP(0,ABS($C$43:$C$55-T28),$B$43:$B$55,,1)</f>
        <v>c oct.</v>
      </c>
      <c r="V28" s="47">
        <f t="shared" ref="V28:V39" si="27">LOG(T28/VLOOKUP(U28,$B$9:$D$21,3,FALSE),2)*1200</f>
        <v>-6.112137769278972E-11</v>
      </c>
      <c r="X28" s="85" t="s">
        <v>74</v>
      </c>
      <c r="Y28" s="4">
        <f t="shared" ref="Y28" si="28">VLOOKUP(X28,Master_Frequencies,2,FALSE)/POWER(2,$Z$25)</f>
        <v>137.99540134383903</v>
      </c>
      <c r="Z28" s="47">
        <f t="shared" ref="Z28" si="29">VLOOKUP(X28,Master_Frequencies,2,FALSE)*POWER(2,$Z$25)</f>
        <v>551.98160537535614</v>
      </c>
    </row>
    <row r="29" spans="2:26" x14ac:dyDescent="0.2">
      <c r="B29" s="123" t="s">
        <v>3</v>
      </c>
      <c r="C29" s="145" t="s">
        <v>70</v>
      </c>
      <c r="D29" s="97">
        <v>1</v>
      </c>
      <c r="E29" s="4">
        <f t="shared" ref="E29" si="30">LOG(D29*VLOOKUP(C29,Master_Frequencies,2,FALSE)/VLOOKUP(B29,Master_Frequencies,2,FALSE),2)*1200</f>
        <v>391.75999999999311</v>
      </c>
      <c r="F29" s="4">
        <f t="shared" ref="F29" si="31">VLOOKUP(B29,Master_Frequencies,2,FALSE)*5/4</f>
        <v>367.47980085510881</v>
      </c>
      <c r="G29" s="47">
        <f t="shared" ref="G29" si="32">IF($D$2="Cents",LOG(D29*VLOOKUP(C29,Master_Frequencies,2,FALSE)/F29,2)*1200*$D$3,LOG(D29*VLOOKUP(C29,Master_Frequencies,2,FALSE)/F29,$F$3))</f>
        <v>5.4462861351585872</v>
      </c>
      <c r="I29" s="123" t="s">
        <v>3</v>
      </c>
      <c r="J29" s="145" t="s">
        <v>7</v>
      </c>
      <c r="K29" s="97">
        <v>1</v>
      </c>
      <c r="L29" s="191">
        <f t="shared" ref="L29" si="33">K29*VLOOKUP(J29,Master_Frequencies,2,FALSE)/VLOOKUP(I29,Master_Frequencies,2,FALSE)</f>
        <v>1.4966809025153898</v>
      </c>
      <c r="M29" s="145" t="s">
        <v>3</v>
      </c>
      <c r="N29" s="145" t="s">
        <v>70</v>
      </c>
      <c r="O29" s="191">
        <f t="shared" ref="O29" si="34">D29*VLOOKUP(N29,Master_Frequencies,2,FALSE)/VLOOKUP(M29,Master_Frequencies,2,FALSE)</f>
        <v>1.2539385647043841</v>
      </c>
      <c r="Q29" s="99">
        <v>3</v>
      </c>
      <c r="R29" s="18">
        <f t="shared" si="25"/>
        <v>788.50743459228306</v>
      </c>
      <c r="S29" s="97">
        <v>1</v>
      </c>
      <c r="T29" s="4">
        <f t="shared" si="26"/>
        <v>394.25371729614153</v>
      </c>
      <c r="U29" s="18" t="str" cm="1">
        <f t="array" ref="U29">_xlfn.XLOOKUP(0,ABS($C$43:$C$55-T29),$B$43:$B$55,,1)</f>
        <v>G</v>
      </c>
      <c r="V29" s="47">
        <f t="shared" si="27"/>
        <v>4.2950008654001861</v>
      </c>
      <c r="X29" s="85" t="s">
        <v>3</v>
      </c>
      <c r="Y29" s="4">
        <f t="shared" ref="Y29" si="35">VLOOKUP(X29,Master_Frequencies,2,FALSE)/POWER(2,$Z$25)</f>
        <v>146.99192034204353</v>
      </c>
      <c r="Z29" s="47">
        <f t="shared" ref="Z29" si="36">VLOOKUP(X29,Master_Frequencies,2,FALSE)*POWER(2,$Z$25)</f>
        <v>587.96768136817411</v>
      </c>
    </row>
    <row r="30" spans="2:26" x14ac:dyDescent="0.2">
      <c r="B30" s="123" t="s">
        <v>76</v>
      </c>
      <c r="C30" s="145" t="s">
        <v>6</v>
      </c>
      <c r="D30" s="97">
        <v>1</v>
      </c>
      <c r="E30" s="4">
        <f t="shared" ref="E30" si="37">LOG(D30*VLOOKUP(C30,Master_Frequencies,2,FALSE)/VLOOKUP(B30,Master_Frequencies,2,FALSE),2)*1200</f>
        <v>394.32599999999258</v>
      </c>
      <c r="F30" s="4">
        <f t="shared" ref="F30" si="38">VLOOKUP(B30,Master_Frequencies,2,FALSE)*5/4</f>
        <v>391.4609190575793</v>
      </c>
      <c r="G30" s="47">
        <f t="shared" ref="G30" si="39">IF($D$2="Cents",LOG(D30*VLOOKUP(C30,Master_Frequencies,2,FALSE)/F30,2)*1200*$D$3,LOG(D30*VLOOKUP(C30,Master_Frequencies,2,FALSE)/F30,$F$3))</f>
        <v>8.0122861351576304</v>
      </c>
      <c r="I30" s="123" t="s">
        <v>76</v>
      </c>
      <c r="J30" s="145" t="s">
        <v>73</v>
      </c>
      <c r="K30" s="97">
        <v>1</v>
      </c>
      <c r="L30" s="191">
        <f t="shared" ref="L30" si="40">K30*VLOOKUP(J30,Master_Frequencies,2,FALSE)/VLOOKUP(I30,Master_Frequencies,2,FALSE)</f>
        <v>1.4968935887561701</v>
      </c>
      <c r="M30" s="145" t="s">
        <v>76</v>
      </c>
      <c r="N30" s="145" t="s">
        <v>6</v>
      </c>
      <c r="O30" s="191">
        <f t="shared" ref="O30" si="41">D30*VLOOKUP(N30,Master_Frequencies,2,FALSE)/VLOOKUP(M30,Master_Frequencies,2,FALSE)</f>
        <v>1.2557985050589267</v>
      </c>
      <c r="Q30" s="99">
        <v>4</v>
      </c>
      <c r="R30" s="18">
        <f t="shared" si="25"/>
        <v>1051.3432461230441</v>
      </c>
      <c r="S30" s="97">
        <v>1</v>
      </c>
      <c r="T30" s="4">
        <f t="shared" si="26"/>
        <v>525.67162306152204</v>
      </c>
      <c r="U30" s="18" t="str" cm="1">
        <f t="array" ref="U30">_xlfn.XLOOKUP(0,ABS($C$43:$C$55-T30),$B$43:$B$55,,1)</f>
        <v>c oct.</v>
      </c>
      <c r="V30" s="47">
        <f t="shared" si="27"/>
        <v>-6.112137769278972E-11</v>
      </c>
      <c r="X30" s="85" t="s">
        <v>76</v>
      </c>
      <c r="Y30" s="4">
        <f t="shared" ref="Y30" si="42">VLOOKUP(X30,Master_Frequencies,2,FALSE)/POWER(2,$Z$25)</f>
        <v>156.58436762303171</v>
      </c>
      <c r="Z30" s="47">
        <f t="shared" ref="Z30" si="43">VLOOKUP(X30,Master_Frequencies,2,FALSE)*POWER(2,$Z$25)</f>
        <v>626.33747049212684</v>
      </c>
    </row>
    <row r="31" spans="2:26" x14ac:dyDescent="0.2">
      <c r="B31" s="123" t="s">
        <v>4</v>
      </c>
      <c r="C31" s="145" t="s">
        <v>72</v>
      </c>
      <c r="D31" s="97">
        <v>1</v>
      </c>
      <c r="E31" s="4">
        <f t="shared" ref="E31" si="44">LOG(D31*VLOOKUP(C31,Master_Frequencies,2,FALSE)/VLOOKUP(B31,Master_Frequencies,2,FALSE),2)*1200</f>
        <v>391.00999999999277</v>
      </c>
      <c r="F31" s="4">
        <f t="shared" ref="F31" si="45">VLOOKUP(B31,Master_Frequencies,2,FALSE)*5/4</f>
        <v>411.89167062631191</v>
      </c>
      <c r="G31" s="47">
        <f t="shared" ref="G31" si="46">IF($D$2="Cents",LOG(D31*VLOOKUP(C31,Master_Frequencies,2,FALSE)/F31,2)*1200*$D$3,LOG(D31*VLOOKUP(C31,Master_Frequencies,2,FALSE)/F31,$F$3))</f>
        <v>4.6962861351578438</v>
      </c>
      <c r="I31" s="123" t="s">
        <v>4</v>
      </c>
      <c r="J31" s="145" t="s">
        <v>8</v>
      </c>
      <c r="K31" s="97">
        <v>1</v>
      </c>
      <c r="L31" s="191">
        <f t="shared" ref="L31" si="47">K31*VLOOKUP(J31,Master_Frequencies,2,FALSE)/VLOOKUP(I31,Master_Frequencies,2,FALSE)</f>
        <v>1.4955315367347723</v>
      </c>
      <c r="M31" s="145" t="s">
        <v>4</v>
      </c>
      <c r="N31" s="145" t="s">
        <v>72</v>
      </c>
      <c r="O31" s="191">
        <f t="shared" ref="O31" si="48">D31*VLOOKUP(N31,Master_Frequencies,2,FALSE)/VLOOKUP(M31,Master_Frequencies,2,FALSE)</f>
        <v>1.2533954548671318</v>
      </c>
      <c r="Q31" s="99">
        <v>5</v>
      </c>
      <c r="R31" s="18">
        <f t="shared" si="25"/>
        <v>1314.1790576538051</v>
      </c>
      <c r="S31" s="97">
        <v>2</v>
      </c>
      <c r="T31" s="4">
        <f t="shared" si="26"/>
        <v>328.54476441345128</v>
      </c>
      <c r="U31" s="18" t="str" cm="1">
        <f t="array" ref="U31">_xlfn.XLOOKUP(0,ABS($C$43:$C$55-T31),$B$43:$B$55,,1)</f>
        <v>E</v>
      </c>
      <c r="V31" s="47">
        <f t="shared" si="27"/>
        <v>-5.0962861351582571</v>
      </c>
      <c r="X31" s="85" t="s">
        <v>4</v>
      </c>
      <c r="Y31" s="4">
        <f t="shared" ref="Y31" si="49">VLOOKUP(X31,Master_Frequencies,2,FALSE)/POWER(2,$Z$25)</f>
        <v>164.75666825052477</v>
      </c>
      <c r="Z31" s="47">
        <f t="shared" ref="Z31" si="50">VLOOKUP(X31,Master_Frequencies,2,FALSE)*POWER(2,$Z$25)</f>
        <v>659.02667300209907</v>
      </c>
    </row>
    <row r="32" spans="2:26" x14ac:dyDescent="0.2">
      <c r="B32" s="123" t="s">
        <v>5</v>
      </c>
      <c r="C32" s="145" t="s">
        <v>7</v>
      </c>
      <c r="D32" s="97">
        <v>1</v>
      </c>
      <c r="E32" s="4">
        <f t="shared" ref="E32" si="51">LOG(D32*VLOOKUP(C32,Master_Frequencies,2,FALSE)/VLOOKUP(B32,Master_Frequencies,2,FALSE),2)*1200</f>
        <v>390.75999999999289</v>
      </c>
      <c r="F32" s="4">
        <f t="shared" ref="F32" si="52">VLOOKUP(B32,Master_Frequencies,2,FALSE)*5/4</f>
        <v>438.87140863104611</v>
      </c>
      <c r="G32" s="47">
        <f t="shared" ref="G32" si="53">IF($D$2="Cents",LOG(D32*VLOOKUP(C32,Master_Frequencies,2,FALSE)/F32,2)*1200*$D$3,LOG(D32*VLOOKUP(C32,Master_Frequencies,2,FALSE)/F32,$F$3))</f>
        <v>4.446286135158144</v>
      </c>
      <c r="I32" s="123" t="s">
        <v>5</v>
      </c>
      <c r="J32" s="145" t="s">
        <v>78</v>
      </c>
      <c r="K32" s="97">
        <v>1</v>
      </c>
      <c r="L32" s="191">
        <f t="shared" ref="L32" si="54">K32*VLOOKUP(J32,Master_Frequencies,2,FALSE)/VLOOKUP(I32,Master_Frequencies,2,FALSE)</f>
        <v>1.4972256472039465</v>
      </c>
      <c r="M32" s="145" t="s">
        <v>5</v>
      </c>
      <c r="N32" s="145" t="s">
        <v>7</v>
      </c>
      <c r="O32" s="191">
        <f t="shared" ref="O32" si="55">D32*VLOOKUP(N32,Master_Frequencies,2,FALSE)/VLOOKUP(M32,Master_Frequencies,2,FALSE)</f>
        <v>1.2532144705338468</v>
      </c>
      <c r="Q32" s="99">
        <v>6</v>
      </c>
      <c r="R32" s="18">
        <f t="shared" si="25"/>
        <v>1577.0148691845661</v>
      </c>
      <c r="S32" s="97">
        <v>2</v>
      </c>
      <c r="T32" s="4">
        <f t="shared" si="26"/>
        <v>394.25371729614153</v>
      </c>
      <c r="U32" s="18" t="str" cm="1">
        <f t="array" ref="U32">_xlfn.XLOOKUP(0,ABS($C$43:$C$55-T32),$B$43:$B$55,,1)</f>
        <v>G</v>
      </c>
      <c r="V32" s="47">
        <f t="shared" si="27"/>
        <v>4.2950008654001861</v>
      </c>
      <c r="X32" s="85" t="s">
        <v>5</v>
      </c>
      <c r="Y32" s="4">
        <f t="shared" ref="Y32" si="56">VLOOKUP(X32,Master_Frequencies,2,FALSE)/POWER(2,$Z$25)</f>
        <v>175.54856345241845</v>
      </c>
      <c r="Z32" s="47">
        <f t="shared" ref="Z32" si="57">VLOOKUP(X32,Master_Frequencies,2,FALSE)*POWER(2,$Z$25)</f>
        <v>702.1942538096738</v>
      </c>
    </row>
    <row r="33" spans="2:26" x14ac:dyDescent="0.2">
      <c r="B33" s="123" t="s">
        <v>70</v>
      </c>
      <c r="C33" s="145" t="s">
        <v>73</v>
      </c>
      <c r="D33" s="97">
        <v>1</v>
      </c>
      <c r="E33" s="4">
        <f t="shared" ref="E33" si="58">LOG(D33*VLOOKUP(C33,Master_Frequencies,2,FALSE)/VLOOKUP(B33,Master_Frequencies,2,FALSE),2)*1200</f>
        <v>416.04999999999251</v>
      </c>
      <c r="F33" s="4">
        <f t="shared" ref="F33" si="59">VLOOKUP(B33,Master_Frequencies,2,FALSE)*5/4</f>
        <v>460.79709404210809</v>
      </c>
      <c r="G33" s="47">
        <f t="shared" ref="G33" si="60">IF($D$2="Cents",LOG(D33*VLOOKUP(C33,Master_Frequencies,2,FALSE)/F33,2)*1200*$D$3,LOG(D33*VLOOKUP(C33,Master_Frequencies,2,FALSE)/F33,$F$3))</f>
        <v>29.736286135157915</v>
      </c>
      <c r="I33" s="123" t="s">
        <v>70</v>
      </c>
      <c r="J33" s="145" t="s">
        <v>74</v>
      </c>
      <c r="K33" s="97">
        <v>2</v>
      </c>
      <c r="L33" s="191">
        <f t="shared" ref="L33" si="61">K33*VLOOKUP(J33,Master_Frequencies,2,FALSE)/VLOOKUP(I33,Master_Frequencies,2,FALSE)</f>
        <v>1.4973553775409538</v>
      </c>
      <c r="M33" s="145" t="s">
        <v>70</v>
      </c>
      <c r="N33" s="145" t="s">
        <v>73</v>
      </c>
      <c r="O33" s="191">
        <f t="shared" ref="O33" si="62">D33*VLOOKUP(N33,Master_Frequencies,2,FALSE)/VLOOKUP(M33,Master_Frequencies,2,FALSE)</f>
        <v>1.2716558927178074</v>
      </c>
      <c r="Q33" s="99">
        <v>7</v>
      </c>
      <c r="R33" s="18">
        <f t="shared" si="25"/>
        <v>1839.8506807153271</v>
      </c>
      <c r="S33" s="97">
        <v>2</v>
      </c>
      <c r="T33" s="4">
        <f t="shared" si="26"/>
        <v>459.96267017883179</v>
      </c>
      <c r="U33" s="18" t="str" cm="1">
        <f t="array" ref="U33">_xlfn.XLOOKUP(0,ABS($C$43:$C$55-T33),$B$43:$B$55,,1)</f>
        <v>A#</v>
      </c>
      <c r="V33" s="47">
        <f t="shared" si="27"/>
        <v>-32.874093530857088</v>
      </c>
      <c r="X33" s="85" t="s">
        <v>70</v>
      </c>
      <c r="Y33" s="4">
        <f t="shared" ref="Y33" si="63">VLOOKUP(X33,Master_Frequencies,2,FALSE)/POWER(2,$Z$25)</f>
        <v>184.31883761684324</v>
      </c>
      <c r="Z33" s="47">
        <f t="shared" ref="Z33" si="64">VLOOKUP(X33,Master_Frequencies,2,FALSE)*POWER(2,$Z$25)</f>
        <v>737.27535046737296</v>
      </c>
    </row>
    <row r="34" spans="2:26" x14ac:dyDescent="0.2">
      <c r="B34" s="123" t="s">
        <v>6</v>
      </c>
      <c r="C34" s="145" t="s">
        <v>8</v>
      </c>
      <c r="D34" s="97">
        <v>1</v>
      </c>
      <c r="E34" s="4">
        <f t="shared" ref="E34" si="65">LOG(D34*VLOOKUP(C34,Master_Frequencies,2,FALSE)/VLOOKUP(B34,Master_Frequencies,2,FALSE),2)*1200</f>
        <v>390.53999999999348</v>
      </c>
      <c r="F34" s="4">
        <f t="shared" ref="F34" si="66">VLOOKUP(B34,Master_Frequencies,2,FALSE)*5/4</f>
        <v>491.59603694150155</v>
      </c>
      <c r="G34" s="47">
        <f t="shared" ref="G34" si="67">IF($D$2="Cents",LOG(D34*VLOOKUP(C34,Master_Frequencies,2,FALSE)/F34,2)*1200*$D$3,LOG(D34*VLOOKUP(C34,Master_Frequencies,2,FALSE)/F34,$F$3))</f>
        <v>4.2262861351587189</v>
      </c>
      <c r="I34" s="123" t="s">
        <v>6</v>
      </c>
      <c r="J34" s="145" t="s">
        <v>3</v>
      </c>
      <c r="K34" s="97">
        <v>2</v>
      </c>
      <c r="L34" s="191">
        <f t="shared" ref="L34" si="68">K34*VLOOKUP(J34,Master_Frequencies,2,FALSE)/VLOOKUP(I34,Master_Frequencies,2,FALSE)</f>
        <v>1.495047857348117</v>
      </c>
      <c r="M34" s="145" t="s">
        <v>6</v>
      </c>
      <c r="N34" s="145" t="s">
        <v>8</v>
      </c>
      <c r="O34" s="191">
        <f t="shared" ref="O34" si="69">D34*VLOOKUP(N34,Master_Frequencies,2,FALSE)/VLOOKUP(M34,Master_Frequencies,2,FALSE)</f>
        <v>1.2530552259381269</v>
      </c>
      <c r="Q34" s="99">
        <v>8</v>
      </c>
      <c r="R34" s="18">
        <f t="shared" si="25"/>
        <v>2102.6864922460882</v>
      </c>
      <c r="S34" s="97">
        <v>3</v>
      </c>
      <c r="T34" s="4">
        <f t="shared" si="26"/>
        <v>262.83581153076102</v>
      </c>
      <c r="U34" s="18" t="str" cm="1">
        <f t="array" ref="U34">_xlfn.XLOOKUP(0,ABS($C$43:$C$55-T34),$B$43:$B$55,,1)</f>
        <v>C</v>
      </c>
      <c r="V34" s="47">
        <f t="shared" si="27"/>
        <v>0</v>
      </c>
      <c r="X34" s="85" t="s">
        <v>6</v>
      </c>
      <c r="Y34" s="4">
        <f t="shared" ref="Y34" si="70">VLOOKUP(X34,Master_Frequencies,2,FALSE)/POWER(2,$Z$25)</f>
        <v>196.63841477660063</v>
      </c>
      <c r="Z34" s="47">
        <f t="shared" ref="Z34" si="71">VLOOKUP(X34,Master_Frequencies,2,FALSE)*POWER(2,$Z$25)</f>
        <v>786.55365910640251</v>
      </c>
    </row>
    <row r="35" spans="2:26" x14ac:dyDescent="0.2">
      <c r="B35" s="123" t="s">
        <v>72</v>
      </c>
      <c r="C35" s="145" t="s">
        <v>78</v>
      </c>
      <c r="D35" s="97">
        <v>1</v>
      </c>
      <c r="E35" s="4">
        <f t="shared" ref="E35" si="72">LOG(D35*VLOOKUP(C35,Master_Frequencies,2,FALSE)/VLOOKUP(B35,Master_Frequencies,2,FALSE),2)*1200</f>
        <v>417.58000000007524</v>
      </c>
      <c r="F35" s="4">
        <f t="shared" ref="F35" si="73">VLOOKUP(B35,Master_Frequencies,2,FALSE)*5/4</f>
        <v>516.26314786064904</v>
      </c>
      <c r="G35" s="47">
        <f t="shared" ref="G35" si="74">IF($D$2="Cents",LOG(D35*VLOOKUP(C35,Master_Frequencies,2,FALSE)/F35,2)*1200*$D$3,LOG(D35*VLOOKUP(C35,Master_Frequencies,2,FALSE)/F35,$F$3))</f>
        <v>31.266286135240296</v>
      </c>
      <c r="I35" s="123" t="s">
        <v>72</v>
      </c>
      <c r="J35" s="145" t="s">
        <v>76</v>
      </c>
      <c r="K35" s="97">
        <v>2</v>
      </c>
      <c r="L35" s="191">
        <f t="shared" ref="L35" si="75">K35*VLOOKUP(J35,Master_Frequencies,2,FALSE)/VLOOKUP(I35,Master_Frequencies,2,FALSE)</f>
        <v>1.5165169959535572</v>
      </c>
      <c r="M35" s="145" t="s">
        <v>72</v>
      </c>
      <c r="N35" s="145" t="s">
        <v>78</v>
      </c>
      <c r="O35" s="191">
        <f t="shared" ref="O35" si="76">D35*VLOOKUP(N35,Master_Frequencies,2,FALSE)/VLOOKUP(M35,Master_Frequencies,2,FALSE)</f>
        <v>1.2727802314572507</v>
      </c>
      <c r="Q35" s="99">
        <v>9</v>
      </c>
      <c r="R35" s="18">
        <f t="shared" si="25"/>
        <v>2365.5223037768492</v>
      </c>
      <c r="S35" s="97">
        <v>3</v>
      </c>
      <c r="T35" s="4">
        <f t="shared" si="26"/>
        <v>295.69028797210615</v>
      </c>
      <c r="U35" s="18" t="str" cm="1">
        <f t="array" ref="U35">_xlfn.XLOOKUP(0,ABS($C$43:$C$55-T35),$B$43:$B$55,,1)</f>
        <v>D</v>
      </c>
      <c r="V35" s="47">
        <f t="shared" si="27"/>
        <v>10.020001730778553</v>
      </c>
      <c r="X35" s="85" t="s">
        <v>72</v>
      </c>
      <c r="Y35" s="4">
        <f t="shared" ref="Y35" si="77">VLOOKUP(X35,Master_Frequencies,2,FALSE)/POWER(2,$Z$25)</f>
        <v>206.50525914425961</v>
      </c>
      <c r="Z35" s="47">
        <f t="shared" ref="Z35" si="78">VLOOKUP(X35,Master_Frequencies,2,FALSE)*POWER(2,$Z$25)</f>
        <v>826.02103657703844</v>
      </c>
    </row>
    <row r="36" spans="2:26" x14ac:dyDescent="0.2">
      <c r="B36" s="123" t="s">
        <v>7</v>
      </c>
      <c r="C36" s="145" t="s">
        <v>74</v>
      </c>
      <c r="D36" s="97">
        <v>2</v>
      </c>
      <c r="E36" s="4">
        <f t="shared" ref="E36" si="79">LOG(D36*VLOOKUP(C36,Master_Frequencies,2,FALSE)/VLOOKUP(B36,Master_Frequencies,2,FALSE),2)*1200</f>
        <v>392.54000000001457</v>
      </c>
      <c r="F36" s="4">
        <f t="shared" ref="F36" si="80">VLOOKUP(B36,Master_Frequencies,2,FALSE)*5/4</f>
        <v>550</v>
      </c>
      <c r="G36" s="47">
        <f t="shared" ref="G36" si="81">IF($D$2="Cents",LOG(D36*VLOOKUP(C36,Master_Frequencies,2,FALSE)/F36,2)*1200*$D$3,LOG(D36*VLOOKUP(C36,Master_Frequencies,2,FALSE)/F36,$F$3))</f>
        <v>6.2262861351796488</v>
      </c>
      <c r="I36" s="123" t="s">
        <v>7</v>
      </c>
      <c r="J36" s="145" t="s">
        <v>4</v>
      </c>
      <c r="K36" s="97">
        <v>2</v>
      </c>
      <c r="L36" s="191">
        <f t="shared" ref="L36" si="82">K36*VLOOKUP(J36,Master_Frequencies,2,FALSE)/VLOOKUP(I36,Master_Frequencies,2,FALSE)</f>
        <v>1.4977878931865889</v>
      </c>
      <c r="M36" s="145" t="s">
        <v>7</v>
      </c>
      <c r="N36" s="145" t="s">
        <v>74</v>
      </c>
      <c r="O36" s="191">
        <f t="shared" ref="O36" si="83">D36*VLOOKUP(N36,Master_Frequencies,2,FALSE)/VLOOKUP(M36,Master_Frequencies,2,FALSE)</f>
        <v>1.2545036485803549</v>
      </c>
      <c r="Q36" s="99">
        <v>10</v>
      </c>
      <c r="R36" s="18">
        <f t="shared" si="25"/>
        <v>2628.3581153076102</v>
      </c>
      <c r="S36" s="97">
        <v>3</v>
      </c>
      <c r="T36" s="4">
        <f t="shared" si="26"/>
        <v>328.54476441345128</v>
      </c>
      <c r="U36" s="18" t="str" cm="1">
        <f t="array" ref="U36">_xlfn.XLOOKUP(0,ABS($C$43:$C$55-T36),$B$43:$B$55,,1)</f>
        <v>E</v>
      </c>
      <c r="V36" s="47">
        <f t="shared" si="27"/>
        <v>-5.0962861351582571</v>
      </c>
      <c r="X36" s="85" t="s">
        <v>7</v>
      </c>
      <c r="Y36" s="4">
        <f t="shared" ref="Y36" si="84">VLOOKUP(X36,Master_Frequencies,2,FALSE)/POWER(2,$Z$25)</f>
        <v>220</v>
      </c>
      <c r="Z36" s="47">
        <f t="shared" ref="Z36" si="85">VLOOKUP(X36,Master_Frequencies,2,FALSE)*POWER(2,$Z$25)</f>
        <v>880</v>
      </c>
    </row>
    <row r="37" spans="2:26" x14ac:dyDescent="0.2">
      <c r="B37" s="123" t="s">
        <v>73</v>
      </c>
      <c r="C37" s="145" t="s">
        <v>3</v>
      </c>
      <c r="D37" s="97">
        <v>2</v>
      </c>
      <c r="E37" s="4">
        <f t="shared" ref="E37" si="86">LOG(D37*VLOOKUP(C37,Master_Frequencies,2,FALSE)/VLOOKUP(B37,Master_Frequencies,2,FALSE),2)*1200</f>
        <v>392.19000000001438</v>
      </c>
      <c r="F37" s="4">
        <f t="shared" ref="F37" si="87">VLOOKUP(B37,Master_Frequencies,2,FALSE)*5/4</f>
        <v>585.97533998588847</v>
      </c>
      <c r="G37" s="47">
        <f t="shared" ref="G37" si="88">IF($D$2="Cents",LOG(D37*VLOOKUP(C37,Master_Frequencies,2,FALSE)/F37,2)*1200*$D$3,LOG(D37*VLOOKUP(C37,Master_Frequencies,2,FALSE)/F37,$F$3))</f>
        <v>5.8762861351795408</v>
      </c>
      <c r="I37" s="123" t="s">
        <v>73</v>
      </c>
      <c r="J37" s="145" t="s">
        <v>5</v>
      </c>
      <c r="K37" s="97">
        <v>2</v>
      </c>
      <c r="L37" s="191">
        <f t="shared" ref="L37" si="89">K37*VLOOKUP(J37,Master_Frequencies,2,FALSE)/VLOOKUP(I37,Master_Frequencies,2,FALSE)</f>
        <v>1.4979176722406615</v>
      </c>
      <c r="M37" s="145" t="s">
        <v>73</v>
      </c>
      <c r="N37" s="145" t="s">
        <v>3</v>
      </c>
      <c r="O37" s="191">
        <f t="shared" ref="O37" si="90">D37*VLOOKUP(N37,Master_Frequencies,2,FALSE)/VLOOKUP(M37,Master_Frequencies,2,FALSE)</f>
        <v>1.2542500538127033</v>
      </c>
      <c r="Q37" s="99">
        <v>11</v>
      </c>
      <c r="R37" s="18">
        <f t="shared" si="25"/>
        <v>2891.1939268383712</v>
      </c>
      <c r="S37" s="97">
        <v>3</v>
      </c>
      <c r="T37" s="4">
        <f t="shared" si="26"/>
        <v>361.3992408547964</v>
      </c>
      <c r="U37" s="18" t="str" cm="1">
        <f t="array" ref="U37">_xlfn.XLOOKUP(0,ABS($C$43:$C$55-T37),$B$43:$B$55,,1)</f>
        <v>F#</v>
      </c>
      <c r="V37" s="47">
        <f t="shared" si="27"/>
        <v>-34.332057635232765</v>
      </c>
      <c r="X37" s="85" t="s">
        <v>73</v>
      </c>
      <c r="Y37" s="4">
        <f t="shared" ref="Y37" si="91">VLOOKUP(X37,Master_Frequencies,2,FALSE)/POWER(2,$Z$25)</f>
        <v>234.39013599435538</v>
      </c>
      <c r="Z37" s="47">
        <f t="shared" ref="Z37" si="92">VLOOKUP(X37,Master_Frequencies,2,FALSE)*POWER(2,$Z$25)</f>
        <v>937.5605439774215</v>
      </c>
    </row>
    <row r="38" spans="2:26" x14ac:dyDescent="0.2">
      <c r="B38" s="124" t="s">
        <v>8</v>
      </c>
      <c r="C38" s="153" t="s">
        <v>76</v>
      </c>
      <c r="D38" s="98">
        <v>2</v>
      </c>
      <c r="E38" s="53">
        <f t="shared" ref="E38" si="93">LOG(D38*VLOOKUP(C38,Master_Frequencies,2,FALSE)/VLOOKUP(B38,Master_Frequencies,2,FALSE),2)*1200</f>
        <v>415.13400000001388</v>
      </c>
      <c r="F38" s="53">
        <f t="shared" ref="F38" si="94">VLOOKUP(B38,Master_Frequencies,2,FALSE)*5/4</f>
        <v>615.99698314002103</v>
      </c>
      <c r="G38" s="48">
        <f t="shared" ref="G38" si="95">IF($D$2="Cents",LOG(D38*VLOOKUP(C38,Master_Frequencies,2,FALSE)/F38,2)*1200*$D$3,LOG(D38*VLOOKUP(C38,Master_Frequencies,2,FALSE)/F38,$F$3))</f>
        <v>28.820286135179121</v>
      </c>
      <c r="I38" s="124" t="s">
        <v>8</v>
      </c>
      <c r="J38" s="153" t="s">
        <v>70</v>
      </c>
      <c r="K38" s="98">
        <v>2</v>
      </c>
      <c r="L38" s="192">
        <f t="shared" ref="L38" si="96">K38*VLOOKUP(J38,Master_Frequencies,2,FALSE)/VLOOKUP(I38,Master_Frequencies,2,FALSE)</f>
        <v>1.496101788334133</v>
      </c>
      <c r="M38" s="153" t="s">
        <v>8</v>
      </c>
      <c r="N38" s="153" t="s">
        <v>76</v>
      </c>
      <c r="O38" s="192">
        <f t="shared" ref="O38" si="97">D38*VLOOKUP(N38,Master_Frequencies,2,FALSE)/VLOOKUP(M38,Master_Frequencies,2,FALSE)</f>
        <v>1.2709832345675534</v>
      </c>
      <c r="Q38" s="99">
        <v>12</v>
      </c>
      <c r="R38" s="18">
        <f t="shared" si="25"/>
        <v>3154.0297383691322</v>
      </c>
      <c r="S38" s="97">
        <v>3</v>
      </c>
      <c r="T38" s="4">
        <f t="shared" si="26"/>
        <v>394.25371729614153</v>
      </c>
      <c r="U38" s="18" t="str" cm="1">
        <f t="array" ref="U38">_xlfn.XLOOKUP(0,ABS($C$43:$C$55-T38),$B$43:$B$55,,1)</f>
        <v>G</v>
      </c>
      <c r="V38" s="47">
        <f t="shared" si="27"/>
        <v>4.2950008654001861</v>
      </c>
      <c r="X38" s="85" t="s">
        <v>8</v>
      </c>
      <c r="Y38" s="4">
        <f t="shared" ref="Y38" si="98">VLOOKUP(X38,Master_Frequencies,2,FALSE)/POWER(2,$Z$25)</f>
        <v>246.39879325600839</v>
      </c>
      <c r="Z38" s="47">
        <f t="shared" ref="Z38" si="99">VLOOKUP(X38,Master_Frequencies,2,FALSE)*POWER(2,$Z$25)</f>
        <v>985.59517302403356</v>
      </c>
    </row>
    <row r="39" spans="2:26" x14ac:dyDescent="0.2">
      <c r="Q39" s="100">
        <v>13</v>
      </c>
      <c r="R39" s="50">
        <f t="shared" si="25"/>
        <v>3416.8655498998933</v>
      </c>
      <c r="S39" s="98">
        <v>3</v>
      </c>
      <c r="T39" s="53">
        <f t="shared" si="26"/>
        <v>427.10819373748666</v>
      </c>
      <c r="U39" s="50" t="str" cm="1">
        <f t="array" ref="U39">_xlfn.XLOOKUP(0,ABS($C$43:$C$55-T39),$B$43:$B$55,,1)</f>
        <v>A</v>
      </c>
      <c r="V39" s="48">
        <f t="shared" si="27"/>
        <v>-51.4823382306733</v>
      </c>
      <c r="X39" s="87" t="s">
        <v>78</v>
      </c>
      <c r="Y39" s="53">
        <f t="shared" ref="Y39" si="100">VLOOKUP(X39,Master_Frequencies,2,FALSE)/POWER(2,$Z$25)</f>
        <v>262.83581153077029</v>
      </c>
      <c r="Z39" s="48">
        <f t="shared" ref="Z39" si="101">VLOOKUP(X39,Master_Frequencies,2,FALSE)*POWER(2,$Z$25)</f>
        <v>1051.3432461230811</v>
      </c>
    </row>
    <row r="40" spans="2:26" ht="16" thickBot="1" x14ac:dyDescent="0.25"/>
    <row r="41" spans="2:26" ht="17" customHeight="1" thickTop="1" x14ac:dyDescent="0.2">
      <c r="B41" s="308" t="s">
        <v>138</v>
      </c>
      <c r="C41" s="309"/>
    </row>
    <row r="42" spans="2:26" ht="32" x14ac:dyDescent="0.2">
      <c r="B42" s="90" t="s">
        <v>14</v>
      </c>
      <c r="C42" s="91" t="s">
        <v>15</v>
      </c>
    </row>
    <row r="43" spans="2:26" x14ac:dyDescent="0.2">
      <c r="B43" s="92" t="s">
        <v>2</v>
      </c>
      <c r="C43" s="93">
        <f>VLOOKUP(B43,$B$9:$H$21,3,FALSE)</f>
        <v>262.83581153076102</v>
      </c>
    </row>
    <row r="44" spans="2:26" x14ac:dyDescent="0.2">
      <c r="B44" s="92" t="s">
        <v>74</v>
      </c>
      <c r="C44" s="93">
        <f t="shared" ref="C44:C55" si="102">VLOOKUP(B44,$B$9:$H$21,3,FALSE)</f>
        <v>275.99080268767807</v>
      </c>
    </row>
    <row r="45" spans="2:26" x14ac:dyDescent="0.2">
      <c r="B45" s="92" t="s">
        <v>3</v>
      </c>
      <c r="C45" s="93">
        <f t="shared" si="102"/>
        <v>293.98384068408706</v>
      </c>
    </row>
    <row r="46" spans="2:26" x14ac:dyDescent="0.2">
      <c r="B46" s="92" t="s">
        <v>76</v>
      </c>
      <c r="C46" s="93">
        <f t="shared" si="102"/>
        <v>313.16873524606342</v>
      </c>
    </row>
    <row r="47" spans="2:26" x14ac:dyDescent="0.2">
      <c r="B47" s="92" t="s">
        <v>4</v>
      </c>
      <c r="C47" s="93">
        <f t="shared" si="102"/>
        <v>329.51333650104954</v>
      </c>
    </row>
    <row r="48" spans="2:26" x14ac:dyDescent="0.2">
      <c r="B48" s="92" t="s">
        <v>5</v>
      </c>
      <c r="C48" s="93">
        <f t="shared" si="102"/>
        <v>351.0971269048369</v>
      </c>
    </row>
    <row r="49" spans="2:3" x14ac:dyDescent="0.2">
      <c r="B49" s="92" t="s">
        <v>70</v>
      </c>
      <c r="C49" s="93">
        <f t="shared" si="102"/>
        <v>368.63767523368648</v>
      </c>
    </row>
    <row r="50" spans="2:3" x14ac:dyDescent="0.2">
      <c r="B50" s="92" t="s">
        <v>6</v>
      </c>
      <c r="C50" s="93">
        <f t="shared" si="102"/>
        <v>393.27682955320125</v>
      </c>
    </row>
    <row r="51" spans="2:3" x14ac:dyDescent="0.2">
      <c r="B51" s="92" t="s">
        <v>72</v>
      </c>
      <c r="C51" s="93">
        <f t="shared" si="102"/>
        <v>413.01051828851922</v>
      </c>
    </row>
    <row r="52" spans="2:3" x14ac:dyDescent="0.2">
      <c r="B52" s="92" t="s">
        <v>7</v>
      </c>
      <c r="C52" s="93">
        <f t="shared" si="102"/>
        <v>440</v>
      </c>
    </row>
    <row r="53" spans="2:3" x14ac:dyDescent="0.2">
      <c r="B53" s="92" t="s">
        <v>73</v>
      </c>
      <c r="C53" s="93">
        <f t="shared" si="102"/>
        <v>468.78027198871075</v>
      </c>
    </row>
    <row r="54" spans="2:3" x14ac:dyDescent="0.2">
      <c r="B54" s="92" t="s">
        <v>8</v>
      </c>
      <c r="C54" s="93">
        <f t="shared" si="102"/>
        <v>492.79758651201678</v>
      </c>
    </row>
    <row r="55" spans="2:3" ht="16" thickBot="1" x14ac:dyDescent="0.25">
      <c r="B55" s="94" t="s">
        <v>78</v>
      </c>
      <c r="C55" s="95">
        <f t="shared" si="102"/>
        <v>525.67162306154057</v>
      </c>
    </row>
    <row r="56" spans="2:3" ht="16" thickTop="1" x14ac:dyDescent="0.2"/>
  </sheetData>
  <sheetProtection sheet="1" scenarios="1" formatCells="0"/>
  <mergeCells count="9">
    <mergeCell ref="X24:Z24"/>
    <mergeCell ref="B25:D25"/>
    <mergeCell ref="I25:O25"/>
    <mergeCell ref="Q25:V25"/>
    <mergeCell ref="B41:C41"/>
    <mergeCell ref="B1:H1"/>
    <mergeCell ref="B7:F7"/>
    <mergeCell ref="H7:M7"/>
    <mergeCell ref="P7:U7"/>
  </mergeCells>
  <conditionalFormatting sqref="A1:XFD1048576">
    <cfRule type="expression" dxfId="19" priority="1">
      <formula>CELL("protect",A1)=0</formula>
    </cfRule>
    <cfRule type="expression" dxfId="18"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DA23B3A5-03CD-FE45-BEF7-1B4E655BF618}">
      <formula1>Units</formula1>
    </dataValidation>
  </dataValidations>
  <hyperlinks>
    <hyperlink ref="B4" location="Overview!A1" display="Back to Overview" xr:uid="{5D1CB324-C546-4E4A-81AF-1643AED85BBF}"/>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4D0C-1B8E-6148-BDD0-647FF5D6386C}">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528</v>
      </c>
      <c r="C1" s="289"/>
      <c r="D1" s="289"/>
      <c r="E1" s="289"/>
      <c r="F1" s="289"/>
      <c r="G1" s="289"/>
      <c r="P1" s="4" t="s">
        <v>478</v>
      </c>
    </row>
    <row r="2" spans="2:23" s="70" customFormat="1" ht="48" x14ac:dyDescent="0.2">
      <c r="D2" s="154" t="s">
        <v>84</v>
      </c>
      <c r="E2" s="72" t="str">
        <f>D2</f>
        <v>Pythagorean Comma</v>
      </c>
      <c r="F2" s="72" t="str">
        <f>_xlfn.CONCAT("1/",D3," ",D2)</f>
        <v>1/6 Pythagorean Comma</v>
      </c>
      <c r="G2" s="102"/>
      <c r="H2" s="103" t="s">
        <v>143</v>
      </c>
      <c r="I2" s="161">
        <v>440</v>
      </c>
      <c r="J2" s="103" t="str">
        <f>_xlfn.CONCAT("C for A=", I2,":")</f>
        <v>C for A=440:</v>
      </c>
      <c r="K2" s="70">
        <f>I2*2*8/27*POWER($F$3,$D$12-$D$9)</f>
        <v>262.51339251550581</v>
      </c>
      <c r="L2" s="103"/>
      <c r="U2" s="103"/>
      <c r="V2" s="103"/>
      <c r="W2" s="103"/>
    </row>
    <row r="3" spans="2:23" ht="16" x14ac:dyDescent="0.2">
      <c r="B3" s="105"/>
      <c r="C3" s="74" t="s">
        <v>125</v>
      </c>
      <c r="D3" s="155">
        <v>6</v>
      </c>
      <c r="E3" s="1">
        <f>IF(D2="Pythagorean Comma",524288/531441,IF(D2="Syntonic Comma",80/81,IF(D2="Cents",1/POWER(2,1/1200),"Not in List")))</f>
        <v>0.98654036854514426</v>
      </c>
      <c r="F3" s="132">
        <f>POWER(E3,1/D3)</f>
        <v>0.99774404294166485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262.51339251550581</v>
      </c>
      <c r="G9" s="97">
        <v>0</v>
      </c>
      <c r="H9" s="188">
        <f t="shared" ref="H9:H21" si="0">E9/POWER(2,G9)</f>
        <v>262.51339251550581</v>
      </c>
      <c r="J9" s="85" t="s">
        <v>2</v>
      </c>
      <c r="K9" s="4">
        <f t="shared" ref="K9:K21" si="1">VLOOKUP(J9,Master_Frequencies,2,FALSE)</f>
        <v>262.51339251550581</v>
      </c>
      <c r="L9" s="4">
        <f t="shared" ref="L9:L21" si="2">LOG(K9/K$9,2)*1200</f>
        <v>0</v>
      </c>
      <c r="N9" s="158">
        <v>3600</v>
      </c>
      <c r="P9" s="123" t="str">
        <f>J9</f>
        <v>C</v>
      </c>
      <c r="Q9" s="4">
        <f>E9</f>
        <v>262.51339251550581</v>
      </c>
      <c r="R9" s="4">
        <f>LOG(K9/Q9,2)*1200</f>
        <v>0</v>
      </c>
      <c r="S9" s="145" t="str">
        <f t="shared" ref="S9:S21" si="3">B9</f>
        <v>C</v>
      </c>
      <c r="T9" s="4">
        <f t="shared" ref="T9:T21" si="4">VLOOKUP(S9,Master_Frequencies,2,FALSE)</f>
        <v>262.51339251550581</v>
      </c>
      <c r="U9" s="47">
        <f t="shared" ref="U9:U21" si="5">VLOOKUP(S9,$P$9:$R$21,3,FALSE)</f>
        <v>0</v>
      </c>
    </row>
    <row r="10" spans="2:23" x14ac:dyDescent="0.2">
      <c r="B10" s="107" t="s">
        <v>6</v>
      </c>
      <c r="C10" s="185">
        <v>-1</v>
      </c>
      <c r="D10" s="4">
        <f>D9+C10</f>
        <v>-1</v>
      </c>
      <c r="E10" s="4">
        <f t="shared" ref="E10:E21" si="6">IF(C10&lt;0,(E9*3/2)*POWER($F$3,ABS(C10)),(E9*3/2)*POWER(1/$F$3,ABS(C10)))</f>
        <v>392.88176036212946</v>
      </c>
      <c r="F10" s="4">
        <f t="shared" ref="F10:F21" si="7">LOG(E10/E9,2)*1200</f>
        <v>698.04499913461268</v>
      </c>
      <c r="G10" s="97">
        <v>0</v>
      </c>
      <c r="H10" s="188">
        <f t="shared" si="0"/>
        <v>392.88176036212946</v>
      </c>
      <c r="J10" s="85" t="s">
        <v>74</v>
      </c>
      <c r="K10" s="4">
        <f t="shared" si="1"/>
        <v>276.55731886407199</v>
      </c>
      <c r="L10" s="4">
        <f t="shared" si="2"/>
        <v>90.224995673063063</v>
      </c>
      <c r="M10" s="4">
        <f t="shared" ref="M10:M21" si="8">LOG(K10/K9,2)*1200</f>
        <v>90.224995673063063</v>
      </c>
      <c r="N10" s="47">
        <f t="shared" ref="N10:N21" si="9">N$9*K$9/K10</f>
        <v>3417.1874999999995</v>
      </c>
      <c r="P10" s="123" t="str">
        <f t="shared" ref="P10:P21" si="10">J10</f>
        <v>C#</v>
      </c>
      <c r="Q10" s="4">
        <f t="shared" ref="Q10:Q21" si="11">Q9*POWER($Q$9*2/$Q$9,1/12)</f>
        <v>278.12325114523406</v>
      </c>
      <c r="R10" s="4">
        <f t="shared" ref="R10:R21" si="12">LOG(K10/Q10,2)*1200</f>
        <v>-9.7750043269371272</v>
      </c>
      <c r="S10" s="145" t="str">
        <f t="shared" si="3"/>
        <v>G</v>
      </c>
      <c r="T10" s="4">
        <f t="shared" si="4"/>
        <v>392.88176036212946</v>
      </c>
      <c r="U10" s="47">
        <f t="shared" si="5"/>
        <v>-1.955000865387585</v>
      </c>
    </row>
    <row r="11" spans="2:23" x14ac:dyDescent="0.2">
      <c r="B11" s="107" t="s">
        <v>3</v>
      </c>
      <c r="C11" s="185">
        <v>-1</v>
      </c>
      <c r="D11" s="4">
        <f t="shared" ref="D11:D21" si="13">D10+C11</f>
        <v>-2</v>
      </c>
      <c r="E11" s="4">
        <f t="shared" si="6"/>
        <v>587.9931539726241</v>
      </c>
      <c r="F11" s="4">
        <f t="shared" si="7"/>
        <v>698.04499913461268</v>
      </c>
      <c r="G11" s="97">
        <v>1</v>
      </c>
      <c r="H11" s="188">
        <f t="shared" si="0"/>
        <v>293.99657698631205</v>
      </c>
      <c r="J11" s="85" t="s">
        <v>3</v>
      </c>
      <c r="K11" s="4">
        <f t="shared" si="1"/>
        <v>293.99657698631205</v>
      </c>
      <c r="L11" s="4">
        <f t="shared" si="2"/>
        <v>196.08999826922548</v>
      </c>
      <c r="M11" s="4">
        <f t="shared" si="8"/>
        <v>105.86500259616219</v>
      </c>
      <c r="N11" s="47">
        <f t="shared" si="9"/>
        <v>3214.4871302356037</v>
      </c>
      <c r="P11" s="123" t="str">
        <f t="shared" si="10"/>
        <v>D</v>
      </c>
      <c r="Q11" s="4">
        <f t="shared" si="11"/>
        <v>294.66132027159711</v>
      </c>
      <c r="R11" s="4">
        <f t="shared" si="12"/>
        <v>-3.9100017307748658</v>
      </c>
      <c r="S11" s="145" t="str">
        <f t="shared" si="3"/>
        <v>D</v>
      </c>
      <c r="T11" s="4">
        <f t="shared" si="4"/>
        <v>293.99657698631205</v>
      </c>
      <c r="U11" s="47">
        <f t="shared" si="5"/>
        <v>-3.9100017307748658</v>
      </c>
    </row>
    <row r="12" spans="2:23" x14ac:dyDescent="0.2">
      <c r="B12" s="107" t="s">
        <v>7</v>
      </c>
      <c r="C12" s="185">
        <v>-1</v>
      </c>
      <c r="D12" s="4">
        <f t="shared" si="13"/>
        <v>-3</v>
      </c>
      <c r="E12" s="4">
        <f t="shared" si="6"/>
        <v>880.00000000000023</v>
      </c>
      <c r="F12" s="4">
        <f t="shared" si="7"/>
        <v>698.04499913461268</v>
      </c>
      <c r="G12" s="97">
        <v>1</v>
      </c>
      <c r="H12" s="188">
        <f t="shared" si="0"/>
        <v>440.00000000000011</v>
      </c>
      <c r="J12" s="85" t="s">
        <v>76</v>
      </c>
      <c r="K12" s="4">
        <f t="shared" si="1"/>
        <v>311.12698372208104</v>
      </c>
      <c r="L12" s="4">
        <f t="shared" si="2"/>
        <v>294.13499740383827</v>
      </c>
      <c r="M12" s="4">
        <f t="shared" si="8"/>
        <v>98.044999134612695</v>
      </c>
      <c r="N12" s="47">
        <f t="shared" si="9"/>
        <v>3037.4999999999991</v>
      </c>
      <c r="P12" s="123" t="str">
        <f t="shared" si="10"/>
        <v>D#</v>
      </c>
      <c r="Q12" s="4">
        <f t="shared" si="11"/>
        <v>312.1827941629416</v>
      </c>
      <c r="R12" s="4">
        <f t="shared" si="12"/>
        <v>-5.8650025961620802</v>
      </c>
      <c r="S12" s="145" t="str">
        <f t="shared" si="3"/>
        <v>A</v>
      </c>
      <c r="T12" s="4">
        <f t="shared" si="4"/>
        <v>440.00000000000011</v>
      </c>
      <c r="U12" s="47">
        <f t="shared" si="5"/>
        <v>-5.8650025961626593</v>
      </c>
    </row>
    <row r="13" spans="2:23" x14ac:dyDescent="0.2">
      <c r="B13" s="107" t="s">
        <v>4</v>
      </c>
      <c r="C13" s="185">
        <v>-1</v>
      </c>
      <c r="D13" s="4">
        <f t="shared" si="13"/>
        <v>-4</v>
      </c>
      <c r="E13" s="4">
        <f t="shared" si="6"/>
        <v>1317.0221366829981</v>
      </c>
      <c r="F13" s="4">
        <f t="shared" si="7"/>
        <v>698.04499913461279</v>
      </c>
      <c r="G13" s="97">
        <v>2</v>
      </c>
      <c r="H13" s="188">
        <f t="shared" si="0"/>
        <v>329.25553417074951</v>
      </c>
      <c r="J13" s="85" t="s">
        <v>4</v>
      </c>
      <c r="K13" s="4">
        <f t="shared" si="1"/>
        <v>329.25553417074951</v>
      </c>
      <c r="L13" s="4">
        <f t="shared" si="2"/>
        <v>392.17999653845061</v>
      </c>
      <c r="M13" s="4">
        <f t="shared" si="8"/>
        <v>98.044999134612354</v>
      </c>
      <c r="N13" s="47">
        <f t="shared" si="9"/>
        <v>2870.2576417917576</v>
      </c>
      <c r="P13" s="123" t="str">
        <f t="shared" si="10"/>
        <v>E</v>
      </c>
      <c r="Q13" s="4">
        <f t="shared" si="11"/>
        <v>330.74614910960105</v>
      </c>
      <c r="R13" s="4">
        <f t="shared" si="12"/>
        <v>-7.820003461549498</v>
      </c>
      <c r="S13" s="145" t="str">
        <f t="shared" si="3"/>
        <v>E</v>
      </c>
      <c r="T13" s="4">
        <f t="shared" si="4"/>
        <v>329.25553417074951</v>
      </c>
      <c r="U13" s="47">
        <f t="shared" si="5"/>
        <v>-7.820003461549498</v>
      </c>
    </row>
    <row r="14" spans="2:23" x14ac:dyDescent="0.2">
      <c r="B14" s="107" t="s">
        <v>8</v>
      </c>
      <c r="C14" s="185">
        <v>-1</v>
      </c>
      <c r="D14" s="4">
        <f t="shared" si="13"/>
        <v>-5</v>
      </c>
      <c r="E14" s="4">
        <f t="shared" si="6"/>
        <v>1971.0764869466466</v>
      </c>
      <c r="F14" s="4">
        <f t="shared" si="7"/>
        <v>698.04499913461268</v>
      </c>
      <c r="G14" s="97">
        <v>2</v>
      </c>
      <c r="H14" s="188">
        <f t="shared" si="0"/>
        <v>492.76912173666165</v>
      </c>
      <c r="J14" s="85" t="s">
        <v>5</v>
      </c>
      <c r="K14" s="4">
        <f t="shared" si="1"/>
        <v>350.01785668734118</v>
      </c>
      <c r="L14" s="4">
        <f t="shared" si="2"/>
        <v>498.04499913461302</v>
      </c>
      <c r="M14" s="4">
        <f t="shared" si="8"/>
        <v>105.86500259616255</v>
      </c>
      <c r="N14" s="47">
        <f t="shared" si="9"/>
        <v>2699.9999999999991</v>
      </c>
      <c r="P14" s="123" t="str">
        <f t="shared" si="10"/>
        <v>F</v>
      </c>
      <c r="Q14" s="4">
        <f t="shared" si="11"/>
        <v>350.41333858307883</v>
      </c>
      <c r="R14" s="4">
        <f t="shared" si="12"/>
        <v>-1.9550008653872004</v>
      </c>
      <c r="S14" s="145" t="str">
        <f t="shared" si="3"/>
        <v>B</v>
      </c>
      <c r="T14" s="4">
        <f t="shared" si="4"/>
        <v>492.76912173666165</v>
      </c>
      <c r="U14" s="47">
        <f t="shared" si="5"/>
        <v>-9.7750043269375144</v>
      </c>
    </row>
    <row r="15" spans="2:23" x14ac:dyDescent="0.2">
      <c r="B15" s="107" t="s">
        <v>70</v>
      </c>
      <c r="C15" s="185">
        <v>-1</v>
      </c>
      <c r="D15" s="4">
        <f t="shared" si="13"/>
        <v>-6</v>
      </c>
      <c r="E15" s="4">
        <f t="shared" si="6"/>
        <v>2949.9447345501012</v>
      </c>
      <c r="F15" s="4">
        <f t="shared" si="7"/>
        <v>698.04499913461268</v>
      </c>
      <c r="G15" s="97">
        <v>3</v>
      </c>
      <c r="H15" s="188">
        <f t="shared" si="0"/>
        <v>368.74309181876265</v>
      </c>
      <c r="J15" s="85" t="s">
        <v>70</v>
      </c>
      <c r="K15" s="4">
        <f t="shared" si="1"/>
        <v>368.74309181876265</v>
      </c>
      <c r="L15" s="4">
        <f t="shared" si="2"/>
        <v>588.26999480767574</v>
      </c>
      <c r="M15" s="4">
        <f t="shared" si="8"/>
        <v>90.224995673062693</v>
      </c>
      <c r="N15" s="47">
        <f t="shared" si="9"/>
        <v>2562.8906249999995</v>
      </c>
      <c r="P15" s="123" t="str">
        <f t="shared" si="10"/>
        <v>F#</v>
      </c>
      <c r="Q15" s="4">
        <f t="shared" si="11"/>
        <v>371.25000000000011</v>
      </c>
      <c r="R15" s="4">
        <f t="shared" si="12"/>
        <v>-11.730005192324629</v>
      </c>
      <c r="S15" s="145" t="str">
        <f t="shared" si="3"/>
        <v>F#</v>
      </c>
      <c r="T15" s="4">
        <f t="shared" si="4"/>
        <v>368.74309181876265</v>
      </c>
      <c r="U15" s="47">
        <f t="shared" si="5"/>
        <v>-11.730005192324629</v>
      </c>
    </row>
    <row r="16" spans="2:23" x14ac:dyDescent="0.2">
      <c r="B16" s="107" t="s">
        <v>74</v>
      </c>
      <c r="C16" s="185">
        <v>0</v>
      </c>
      <c r="D16" s="4">
        <f t="shared" si="13"/>
        <v>-6</v>
      </c>
      <c r="E16" s="4">
        <f t="shared" si="6"/>
        <v>4424.9171018251518</v>
      </c>
      <c r="F16" s="4">
        <f t="shared" si="7"/>
        <v>701.95500086538743</v>
      </c>
      <c r="G16" s="97">
        <v>4</v>
      </c>
      <c r="H16" s="188">
        <f t="shared" si="0"/>
        <v>276.55731886407199</v>
      </c>
      <c r="J16" s="85" t="s">
        <v>6</v>
      </c>
      <c r="K16" s="4">
        <f t="shared" si="1"/>
        <v>392.88176036212946</v>
      </c>
      <c r="L16" s="4">
        <f t="shared" si="2"/>
        <v>698.04499913461268</v>
      </c>
      <c r="M16" s="4">
        <f t="shared" si="8"/>
        <v>109.77500432693707</v>
      </c>
      <c r="N16" s="47">
        <f t="shared" si="9"/>
        <v>2405.4265389789161</v>
      </c>
      <c r="P16" s="123" t="str">
        <f t="shared" si="10"/>
        <v>G</v>
      </c>
      <c r="Q16" s="4">
        <f t="shared" si="11"/>
        <v>393.32567378088851</v>
      </c>
      <c r="R16" s="4">
        <f t="shared" si="12"/>
        <v>-1.955000865387585</v>
      </c>
      <c r="S16" s="145" t="str">
        <f t="shared" si="3"/>
        <v>C#</v>
      </c>
      <c r="T16" s="4">
        <f t="shared" si="4"/>
        <v>276.55731886407199</v>
      </c>
      <c r="U16" s="47">
        <f t="shared" si="5"/>
        <v>-9.7750043269371272</v>
      </c>
    </row>
    <row r="17" spans="2:26" x14ac:dyDescent="0.2">
      <c r="B17" s="107" t="s">
        <v>72</v>
      </c>
      <c r="C17" s="185">
        <v>0</v>
      </c>
      <c r="D17" s="4">
        <f t="shared" si="13"/>
        <v>-6</v>
      </c>
      <c r="E17" s="4">
        <f t="shared" si="6"/>
        <v>6637.3756527377282</v>
      </c>
      <c r="F17" s="4">
        <f t="shared" si="7"/>
        <v>701.95500086538743</v>
      </c>
      <c r="G17" s="97">
        <v>4</v>
      </c>
      <c r="H17" s="188">
        <f t="shared" si="0"/>
        <v>414.83597829610801</v>
      </c>
      <c r="J17" s="85" t="s">
        <v>72</v>
      </c>
      <c r="K17" s="4">
        <f t="shared" si="1"/>
        <v>414.83597829610801</v>
      </c>
      <c r="L17" s="4">
        <f t="shared" si="2"/>
        <v>792.17999653845038</v>
      </c>
      <c r="M17" s="4">
        <f t="shared" si="8"/>
        <v>94.134997403837943</v>
      </c>
      <c r="N17" s="47">
        <f t="shared" si="9"/>
        <v>2278.1249999999995</v>
      </c>
      <c r="P17" s="123" t="str">
        <f t="shared" si="10"/>
        <v>G#</v>
      </c>
      <c r="Q17" s="4">
        <f t="shared" si="11"/>
        <v>416.71403543485491</v>
      </c>
      <c r="R17" s="4">
        <f t="shared" si="12"/>
        <v>-7.8200034615498835</v>
      </c>
      <c r="S17" s="145" t="str">
        <f t="shared" si="3"/>
        <v>G#</v>
      </c>
      <c r="T17" s="4">
        <f t="shared" si="4"/>
        <v>414.83597829610801</v>
      </c>
      <c r="U17" s="47">
        <f t="shared" si="5"/>
        <v>-7.8200034615498835</v>
      </c>
    </row>
    <row r="18" spans="2:26" x14ac:dyDescent="0.2">
      <c r="B18" s="107" t="s">
        <v>76</v>
      </c>
      <c r="C18" s="185">
        <v>0</v>
      </c>
      <c r="D18" s="4">
        <f t="shared" si="13"/>
        <v>-6</v>
      </c>
      <c r="E18" s="4">
        <f t="shared" si="6"/>
        <v>9956.0634791065931</v>
      </c>
      <c r="F18" s="4">
        <f t="shared" si="7"/>
        <v>701.95500086538766</v>
      </c>
      <c r="G18" s="97">
        <v>5</v>
      </c>
      <c r="H18" s="188">
        <f t="shared" si="0"/>
        <v>311.12698372208104</v>
      </c>
      <c r="J18" s="85" t="s">
        <v>7</v>
      </c>
      <c r="K18" s="4">
        <f t="shared" si="1"/>
        <v>440.00000000000011</v>
      </c>
      <c r="L18" s="4">
        <f t="shared" si="2"/>
        <v>894.13499740383804</v>
      </c>
      <c r="M18" s="4">
        <f t="shared" si="8"/>
        <v>101.95500086538728</v>
      </c>
      <c r="N18" s="47">
        <f t="shared" si="9"/>
        <v>2147.8368478541379</v>
      </c>
      <c r="P18" s="123" t="str">
        <f t="shared" si="10"/>
        <v>A</v>
      </c>
      <c r="Q18" s="4">
        <f t="shared" si="11"/>
        <v>441.4931414447604</v>
      </c>
      <c r="R18" s="4">
        <f t="shared" si="12"/>
        <v>-5.8650025961626593</v>
      </c>
      <c r="S18" s="145" t="str">
        <f t="shared" si="3"/>
        <v>D#</v>
      </c>
      <c r="T18" s="4">
        <f t="shared" si="4"/>
        <v>311.12698372208104</v>
      </c>
      <c r="U18" s="47">
        <f t="shared" si="5"/>
        <v>-5.8650025961620802</v>
      </c>
    </row>
    <row r="19" spans="2:26" x14ac:dyDescent="0.2">
      <c r="B19" s="107" t="s">
        <v>73</v>
      </c>
      <c r="C19" s="185">
        <v>0</v>
      </c>
      <c r="D19" s="4">
        <f t="shared" si="13"/>
        <v>-6</v>
      </c>
      <c r="E19" s="4">
        <f t="shared" si="6"/>
        <v>14934.09521865989</v>
      </c>
      <c r="F19" s="4">
        <f t="shared" si="7"/>
        <v>701.95500086538743</v>
      </c>
      <c r="G19" s="97">
        <v>5</v>
      </c>
      <c r="H19" s="188">
        <f t="shared" si="0"/>
        <v>466.69047558312155</v>
      </c>
      <c r="J19" s="85" t="s">
        <v>73</v>
      </c>
      <c r="K19" s="4">
        <f t="shared" si="1"/>
        <v>466.69047558312155</v>
      </c>
      <c r="L19" s="4">
        <f t="shared" si="2"/>
        <v>996.08999826922559</v>
      </c>
      <c r="M19" s="4">
        <f t="shared" si="8"/>
        <v>101.95500086538762</v>
      </c>
      <c r="N19" s="47">
        <f t="shared" si="9"/>
        <v>2024.9999999999995</v>
      </c>
      <c r="P19" s="123" t="str">
        <f t="shared" si="10"/>
        <v>A#</v>
      </c>
      <c r="Q19" s="4">
        <f t="shared" si="11"/>
        <v>467.7456897734719</v>
      </c>
      <c r="R19" s="4">
        <f t="shared" si="12"/>
        <v>-3.910001730775059</v>
      </c>
      <c r="S19" s="145" t="str">
        <f t="shared" si="3"/>
        <v>A#</v>
      </c>
      <c r="T19" s="4">
        <f t="shared" si="4"/>
        <v>466.69047558312155</v>
      </c>
      <c r="U19" s="47">
        <f t="shared" si="5"/>
        <v>-3.910001730775059</v>
      </c>
    </row>
    <row r="20" spans="2:26" x14ac:dyDescent="0.2">
      <c r="B20" s="107" t="s">
        <v>5</v>
      </c>
      <c r="C20" s="185">
        <v>0</v>
      </c>
      <c r="D20" s="4">
        <f t="shared" si="13"/>
        <v>-6</v>
      </c>
      <c r="E20" s="4">
        <f t="shared" si="6"/>
        <v>22401.142827989835</v>
      </c>
      <c r="F20" s="4">
        <f t="shared" si="7"/>
        <v>701.95500086538743</v>
      </c>
      <c r="G20" s="97">
        <v>6</v>
      </c>
      <c r="H20" s="188">
        <f t="shared" si="0"/>
        <v>350.01785668734118</v>
      </c>
      <c r="J20" s="85" t="s">
        <v>8</v>
      </c>
      <c r="K20" s="4">
        <f t="shared" si="1"/>
        <v>492.76912173666165</v>
      </c>
      <c r="L20" s="4">
        <f t="shared" si="2"/>
        <v>1090.2249956730632</v>
      </c>
      <c r="M20" s="4">
        <f t="shared" si="8"/>
        <v>94.134997403837588</v>
      </c>
      <c r="N20" s="47">
        <f t="shared" si="9"/>
        <v>1917.8316403535925</v>
      </c>
      <c r="P20" s="123" t="str">
        <f t="shared" si="10"/>
        <v>B</v>
      </c>
      <c r="Q20" s="4">
        <f t="shared" si="11"/>
        <v>495.55929586062553</v>
      </c>
      <c r="R20" s="4">
        <f t="shared" si="12"/>
        <v>-9.7750043269375144</v>
      </c>
      <c r="S20" s="145" t="str">
        <f t="shared" si="3"/>
        <v>F</v>
      </c>
      <c r="T20" s="4">
        <f t="shared" si="4"/>
        <v>350.01785668734118</v>
      </c>
      <c r="U20" s="47">
        <f t="shared" si="5"/>
        <v>-1.9550008653872004</v>
      </c>
    </row>
    <row r="21" spans="2:26" x14ac:dyDescent="0.2">
      <c r="B21" s="108" t="s">
        <v>78</v>
      </c>
      <c r="C21" s="186">
        <v>0</v>
      </c>
      <c r="D21" s="53">
        <f t="shared" si="13"/>
        <v>-6</v>
      </c>
      <c r="E21" s="53">
        <f t="shared" si="6"/>
        <v>33601.714241984751</v>
      </c>
      <c r="F21" s="53">
        <f t="shared" si="7"/>
        <v>701.95500086538743</v>
      </c>
      <c r="G21" s="98">
        <v>6</v>
      </c>
      <c r="H21" s="48">
        <f t="shared" si="0"/>
        <v>525.02678503101174</v>
      </c>
      <c r="J21" s="87" t="s">
        <v>78</v>
      </c>
      <c r="K21" s="53">
        <f t="shared" si="1"/>
        <v>525.02678503101174</v>
      </c>
      <c r="L21" s="53">
        <f t="shared" si="2"/>
        <v>1200.0000000000002</v>
      </c>
      <c r="M21" s="53">
        <f t="shared" si="8"/>
        <v>109.77500432693741</v>
      </c>
      <c r="N21" s="48">
        <f t="shared" si="9"/>
        <v>1799.9999999999995</v>
      </c>
      <c r="P21" s="108" t="str">
        <f t="shared" si="10"/>
        <v>c oct.</v>
      </c>
      <c r="Q21" s="53">
        <f t="shared" si="11"/>
        <v>525.02678503101185</v>
      </c>
      <c r="R21" s="53">
        <f t="shared" si="12"/>
        <v>-3.8441118045779024E-13</v>
      </c>
      <c r="S21" s="151" t="str">
        <f t="shared" si="3"/>
        <v>c oct.</v>
      </c>
      <c r="T21" s="53">
        <f t="shared" si="4"/>
        <v>525.02678503101174</v>
      </c>
      <c r="U21" s="48">
        <f t="shared" si="5"/>
        <v>-3.8441118045779024E-13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Vallotti-Young Interval in cents</v>
      </c>
      <c r="F26" s="84" t="s">
        <v>18</v>
      </c>
      <c r="G26" s="52" t="str">
        <f>_xlfn.CONCAT("diff ",$F$2)</f>
        <v>diff 1/6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392.17999653845061</v>
      </c>
      <c r="F27" s="4">
        <f t="shared" ref="F27" si="15">VLOOKUP(B27,Master_Frequencies,2,FALSE)*5/4</f>
        <v>328.14174064438225</v>
      </c>
      <c r="G27" s="47">
        <f t="shared" ref="G27" si="16">IF($D$2="Cents",LOG(VLOOKUP(C27,Master_Frequencies,2,FALSE)/F27,2)*1200*$F$3,LOG(D27*VLOOKUP(C27,Master_Frequencies,2,FALSE)/F27,$F$3))</f>
        <v>-1.500327385393095</v>
      </c>
      <c r="I27" s="123" t="s">
        <v>2</v>
      </c>
      <c r="J27" s="145" t="s">
        <v>6</v>
      </c>
      <c r="K27" s="97">
        <v>1</v>
      </c>
      <c r="L27" s="191">
        <f t="shared" ref="L27" si="17">K27*VLOOKUP(J27,Master_Frequencies,2,FALSE)/VLOOKUP(I27,Master_Frequencies,2,FALSE)</f>
        <v>1.4966160644124973</v>
      </c>
      <c r="M27" s="145" t="s">
        <v>2</v>
      </c>
      <c r="N27" s="145" t="s">
        <v>4</v>
      </c>
      <c r="O27" s="191">
        <f t="shared" ref="O27" si="18">D27*VLOOKUP(N27,Master_Frequencies,2,FALSE)/VLOOKUP(M27,Master_Frequencies,2,FALSE)</f>
        <v>1.2542428064933924</v>
      </c>
      <c r="Q27" s="99">
        <v>1</v>
      </c>
      <c r="R27" s="18">
        <f>$E$9*Q27</f>
        <v>262.51339251550581</v>
      </c>
      <c r="S27" s="97">
        <v>0</v>
      </c>
      <c r="T27" s="4">
        <f>R27/POWER(2,S27)</f>
        <v>262.51339251550581</v>
      </c>
      <c r="U27" s="18" t="str" cm="1">
        <f t="array" ref="U27">_xlfn.XLOOKUP(0,ABS($C$44:$C$56-T27),$B$44:$B$56,,1)</f>
        <v>C</v>
      </c>
      <c r="V27" s="47">
        <f t="shared" ref="V27" si="19">LOG(T27/VLOOKUP(U27,Master_Frequencies,2,FALSE),2)*1200</f>
        <v>0</v>
      </c>
      <c r="X27" s="85" t="s">
        <v>2</v>
      </c>
      <c r="Y27" s="4">
        <f t="shared" ref="Y27" si="20">VLOOKUP(X27,Master_Frequencies,2,FALSE)/POWER(2,$Z$25)</f>
        <v>131.25669625775291</v>
      </c>
      <c r="Z27" s="47">
        <f t="shared" ref="Z27" si="21">VLOOKUP(X27,Master_Frequencies,2,FALSE)*POWER(2,$Z$25)</f>
        <v>525.02678503101163</v>
      </c>
    </row>
    <row r="28" spans="2:26" x14ac:dyDescent="0.2">
      <c r="B28" s="123" t="s">
        <v>74</v>
      </c>
      <c r="C28" s="145" t="s">
        <v>5</v>
      </c>
      <c r="D28" s="97">
        <v>1</v>
      </c>
      <c r="E28" s="4">
        <f t="shared" ref="E28" si="22">LOG(D28*VLOOKUP(C28,Master_Frequencies,2,FALSE)/VLOOKUP(B28,Master_Frequencies,2,FALSE),2)*1200</f>
        <v>407.82000346154996</v>
      </c>
      <c r="F28" s="4">
        <f t="shared" ref="F28" si="23">VLOOKUP(B28,Master_Frequencies,2,FALSE)*5/4</f>
        <v>345.69664858008997</v>
      </c>
      <c r="G28" s="47">
        <f t="shared" ref="G28" si="24">IF($D$2="Cents",LOG(VLOOKUP(C28,Master_Frequencies,2,FALSE)/F28,2)*1200*$F$3,LOG(D28*VLOOKUP(C28,Master_Frequencies,2,FALSE)/F28,$F$3))</f>
        <v>-5.5003273853930343</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1.2656250000000002</v>
      </c>
      <c r="Q28" s="99">
        <v>2</v>
      </c>
      <c r="R28" s="18">
        <f t="shared" ref="R28:R39" si="27">$E$9*Q28</f>
        <v>525.02678503101163</v>
      </c>
      <c r="S28" s="97">
        <v>0</v>
      </c>
      <c r="T28" s="4">
        <f t="shared" ref="T28:T39" si="28">R28/POWER(2,S28)</f>
        <v>525.02678503101163</v>
      </c>
      <c r="U28" s="18" t="str" cm="1">
        <f t="array" ref="U28">_xlfn.XLOOKUP(0,ABS($C$44:$C$56-T28),$B$44:$B$56,,1)</f>
        <v>c oct.</v>
      </c>
      <c r="V28" s="47">
        <f t="shared" ref="V28" si="29">LOG(T28/VLOOKUP(U28,Master_Frequencies,2,FALSE),2)*1200</f>
        <v>-3.8441118045779024E-13</v>
      </c>
      <c r="X28" s="85" t="s">
        <v>74</v>
      </c>
      <c r="Y28" s="4">
        <f t="shared" ref="Y28" si="30">VLOOKUP(X28,Master_Frequencies,2,FALSE)/POWER(2,$Z$25)</f>
        <v>138.27865943203599</v>
      </c>
      <c r="Z28" s="47">
        <f t="shared" ref="Z28" si="31">VLOOKUP(X28,Master_Frequencies,2,FALSE)*POWER(2,$Z$25)</f>
        <v>553.11463772814398</v>
      </c>
    </row>
    <row r="29" spans="2:26" x14ac:dyDescent="0.2">
      <c r="B29" s="123" t="s">
        <v>3</v>
      </c>
      <c r="C29" s="145" t="s">
        <v>70</v>
      </c>
      <c r="D29" s="97">
        <v>1</v>
      </c>
      <c r="E29" s="4">
        <f t="shared" ref="E29" si="32">LOG(D29*VLOOKUP(C29,Master_Frequencies,2,FALSE)/VLOOKUP(B29,Master_Frequencies,2,FALSE),2)*1200</f>
        <v>392.17999653845027</v>
      </c>
      <c r="F29" s="4">
        <f t="shared" ref="F29" si="33">VLOOKUP(B29,Master_Frequencies,2,FALSE)*5/4</f>
        <v>367.49572123289005</v>
      </c>
      <c r="G29" s="47">
        <f t="shared" ref="G29" si="34">IF($D$2="Cents",LOG(VLOOKUP(C29,Master_Frequencies,2,FALSE)/F29,2)*1200*$F$3,LOG(D29*VLOOKUP(C29,Master_Frequencies,2,FALSE)/F29,$F$3))</f>
        <v>-1.500327385392997</v>
      </c>
      <c r="I29" s="123" t="s">
        <v>3</v>
      </c>
      <c r="J29" s="145" t="s">
        <v>7</v>
      </c>
      <c r="K29" s="97">
        <v>1</v>
      </c>
      <c r="L29" s="191">
        <f t="shared" ref="L29" si="35">K29*VLOOKUP(J29,Master_Frequencies,2,FALSE)/VLOOKUP(I29,Master_Frequencies,2,FALSE)</f>
        <v>1.4966160644124973</v>
      </c>
      <c r="M29" s="145" t="s">
        <v>3</v>
      </c>
      <c r="N29" s="145" t="s">
        <v>70</v>
      </c>
      <c r="O29" s="191">
        <f t="shared" ref="O29" si="36">D29*VLOOKUP(N29,Master_Frequencies,2,FALSE)/VLOOKUP(M29,Master_Frequencies,2,FALSE)</f>
        <v>1.2542428064933921</v>
      </c>
      <c r="Q29" s="99">
        <v>3</v>
      </c>
      <c r="R29" s="18">
        <f t="shared" si="27"/>
        <v>787.5401775465175</v>
      </c>
      <c r="S29" s="97">
        <v>1</v>
      </c>
      <c r="T29" s="4">
        <f t="shared" si="28"/>
        <v>393.77008877325875</v>
      </c>
      <c r="U29" s="18" t="str" cm="1">
        <f t="array" ref="U29">_xlfn.XLOOKUP(0,ABS($C$44:$C$56-T29),$B$44:$B$56,,1)</f>
        <v>G</v>
      </c>
      <c r="V29" s="47">
        <f t="shared" ref="V29" si="37">LOG(T29/VLOOKUP(U29,Master_Frequencies,2,FALSE),2)*1200</f>
        <v>3.9100017307747521</v>
      </c>
      <c r="X29" s="85" t="s">
        <v>3</v>
      </c>
      <c r="Y29" s="4">
        <f t="shared" ref="Y29" si="38">VLOOKUP(X29,Master_Frequencies,2,FALSE)/POWER(2,$Z$25)</f>
        <v>146.99828849315602</v>
      </c>
      <c r="Z29" s="47">
        <f t="shared" ref="Z29" si="39">VLOOKUP(X29,Master_Frequencies,2,FALSE)*POWER(2,$Z$25)</f>
        <v>587.9931539726241</v>
      </c>
    </row>
    <row r="30" spans="2:26" x14ac:dyDescent="0.2">
      <c r="B30" s="123" t="s">
        <v>76</v>
      </c>
      <c r="C30" s="145" t="s">
        <v>6</v>
      </c>
      <c r="D30" s="97">
        <v>1</v>
      </c>
      <c r="E30" s="4">
        <f t="shared" ref="E30" si="40">LOG(D30*VLOOKUP(C30,Master_Frequencies,2,FALSE)/VLOOKUP(B30,Master_Frequencies,2,FALSE),2)*1200</f>
        <v>403.91000173077458</v>
      </c>
      <c r="F30" s="4">
        <f t="shared" ref="F30" si="41">VLOOKUP(B30,Master_Frequencies,2,FALSE)*5/4</f>
        <v>388.90872965260132</v>
      </c>
      <c r="G30" s="47">
        <f t="shared" ref="G30" si="42">IF($D$2="Cents",LOG(VLOOKUP(C30,Master_Frequencies,2,FALSE)/F30,2)*1200*$F$3,LOG(D30*VLOOKUP(C30,Master_Frequencies,2,FALSE)/F30,$F$3))</f>
        <v>-4.5003273853928425</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1.2627698043480444</v>
      </c>
      <c r="Q30" s="99">
        <v>4</v>
      </c>
      <c r="R30" s="18">
        <f t="shared" si="27"/>
        <v>1050.0535700620233</v>
      </c>
      <c r="S30" s="97">
        <v>1</v>
      </c>
      <c r="T30" s="4">
        <f t="shared" si="28"/>
        <v>525.02678503101163</v>
      </c>
      <c r="U30" s="18" t="str" cm="1">
        <f t="array" ref="U30">_xlfn.XLOOKUP(0,ABS($C$44:$C$56-T30),$B$44:$B$56,,1)</f>
        <v>c oct.</v>
      </c>
      <c r="V30" s="47">
        <f t="shared" ref="V30" si="45">LOG(T30/VLOOKUP(U30,Master_Frequencies,2,FALSE),2)*1200</f>
        <v>-3.8441118045779024E-13</v>
      </c>
      <c r="X30" s="85" t="s">
        <v>76</v>
      </c>
      <c r="Y30" s="4">
        <f t="shared" ref="Y30" si="46">VLOOKUP(X30,Master_Frequencies,2,FALSE)/POWER(2,$Z$25)</f>
        <v>155.56349186104052</v>
      </c>
      <c r="Z30" s="47">
        <f t="shared" ref="Z30" si="47">VLOOKUP(X30,Master_Frequencies,2,FALSE)*POWER(2,$Z$25)</f>
        <v>622.25396744416207</v>
      </c>
    </row>
    <row r="31" spans="2:26" x14ac:dyDescent="0.2">
      <c r="B31" s="123" t="s">
        <v>4</v>
      </c>
      <c r="C31" s="145" t="s">
        <v>72</v>
      </c>
      <c r="D31" s="97">
        <v>1</v>
      </c>
      <c r="E31" s="4">
        <f t="shared" ref="E31" si="48">LOG(D31*VLOOKUP(C31,Master_Frequencies,2,FALSE)/VLOOKUP(B31,Master_Frequencies,2,FALSE),2)*1200</f>
        <v>400.00000000000006</v>
      </c>
      <c r="F31" s="4">
        <f t="shared" ref="F31" si="49">VLOOKUP(B31,Master_Frequencies,2,FALSE)*5/4</f>
        <v>411.56941771343691</v>
      </c>
      <c r="G31" s="47">
        <f t="shared" ref="G31" si="50">IF($D$2="Cents",LOG(VLOOKUP(C31,Master_Frequencies,2,FALSE)/F31,2)*1200*$F$3,LOG(D31*VLOOKUP(C31,Master_Frequencies,2,FALSE)/F31,$F$3))</f>
        <v>-3.5003273853929815</v>
      </c>
      <c r="I31" s="123" t="s">
        <v>4</v>
      </c>
      <c r="J31" s="145" t="s">
        <v>8</v>
      </c>
      <c r="K31" s="97">
        <v>1</v>
      </c>
      <c r="L31" s="191">
        <f t="shared" ref="L31" si="51">K31*VLOOKUP(J31,Master_Frequencies,2,FALSE)/VLOOKUP(I31,Master_Frequencies,2,FALSE)</f>
        <v>1.4966160644124973</v>
      </c>
      <c r="M31" s="145" t="s">
        <v>4</v>
      </c>
      <c r="N31" s="145" t="s">
        <v>72</v>
      </c>
      <c r="O31" s="191">
        <f t="shared" ref="O31" si="52">D31*VLOOKUP(N31,Master_Frequencies,2,FALSE)/VLOOKUP(M31,Master_Frequencies,2,FALSE)</f>
        <v>1.2599210498948732</v>
      </c>
      <c r="Q31" s="99">
        <v>5</v>
      </c>
      <c r="R31" s="18">
        <f t="shared" si="27"/>
        <v>1312.566962577529</v>
      </c>
      <c r="S31" s="97">
        <v>2</v>
      </c>
      <c r="T31" s="4">
        <f t="shared" si="28"/>
        <v>328.14174064438225</v>
      </c>
      <c r="U31" s="18" t="str" cm="1">
        <f t="array" ref="U31">_xlfn.XLOOKUP(0,ABS($C$44:$C$56-T31),$B$44:$B$56,,1)</f>
        <v>E</v>
      </c>
      <c r="V31" s="47">
        <f t="shared" ref="V31" si="53">LOG(T31/VLOOKUP(U31,Master_Frequencies,2,FALSE),2)*1200</f>
        <v>-5.8662826736158431</v>
      </c>
      <c r="X31" s="85" t="s">
        <v>4</v>
      </c>
      <c r="Y31" s="4">
        <f t="shared" ref="Y31" si="54">VLOOKUP(X31,Master_Frequencies,2,FALSE)/POWER(2,$Z$25)</f>
        <v>164.62776708537476</v>
      </c>
      <c r="Z31" s="47">
        <f t="shared" ref="Z31" si="55">VLOOKUP(X31,Master_Frequencies,2,FALSE)*POWER(2,$Z$25)</f>
        <v>658.51106834149903</v>
      </c>
    </row>
    <row r="32" spans="2:26" x14ac:dyDescent="0.2">
      <c r="B32" s="123" t="s">
        <v>5</v>
      </c>
      <c r="C32" s="145" t="s">
        <v>7</v>
      </c>
      <c r="D32" s="97">
        <v>1</v>
      </c>
      <c r="E32" s="4">
        <f t="shared" ref="E32" si="56">LOG(D32*VLOOKUP(C32,Master_Frequencies,2,FALSE)/VLOOKUP(B32,Master_Frequencies,2,FALSE),2)*1200</f>
        <v>396.08999826922474</v>
      </c>
      <c r="F32" s="4">
        <f t="shared" ref="F32" si="57">VLOOKUP(B32,Master_Frequencies,2,FALSE)*5/4</f>
        <v>437.52232085917649</v>
      </c>
      <c r="G32" s="47">
        <f t="shared" ref="G32" si="58">IF($D$2="Cents",LOG(VLOOKUP(C32,Master_Frequencies,2,FALSE)/F32,2)*1200*$F$3,LOG(D32*VLOOKUP(C32,Master_Frequencies,2,FALSE)/F32,$F$3))</f>
        <v>-2.5003273853929104</v>
      </c>
      <c r="I32" s="123" t="s">
        <v>5</v>
      </c>
      <c r="J32" s="145" t="s">
        <v>78</v>
      </c>
      <c r="K32" s="97">
        <v>1</v>
      </c>
      <c r="L32" s="191">
        <f t="shared" ref="L32" si="59">K32*VLOOKUP(J32,Master_Frequencies,2,FALSE)/VLOOKUP(I32,Master_Frequencies,2,FALSE)</f>
        <v>1.5</v>
      </c>
      <c r="M32" s="145" t="s">
        <v>5</v>
      </c>
      <c r="N32" s="145" t="s">
        <v>7</v>
      </c>
      <c r="O32" s="191">
        <f t="shared" ref="O32" si="60">D32*VLOOKUP(N32,Master_Frequencies,2,FALSE)/VLOOKUP(M32,Master_Frequencies,2,FALSE)</f>
        <v>1.2570787221094175</v>
      </c>
      <c r="Q32" s="99">
        <v>6</v>
      </c>
      <c r="R32" s="18">
        <f t="shared" si="27"/>
        <v>1575.080355093035</v>
      </c>
      <c r="S32" s="97">
        <v>2</v>
      </c>
      <c r="T32" s="4">
        <f t="shared" si="28"/>
        <v>393.77008877325875</v>
      </c>
      <c r="U32" s="18" t="str" cm="1">
        <f t="array" ref="U32">_xlfn.XLOOKUP(0,ABS($C$44:$C$56-T32),$B$44:$B$56,,1)</f>
        <v>G</v>
      </c>
      <c r="V32" s="47">
        <f t="shared" ref="V32" si="61">LOG(T32/VLOOKUP(U32,Master_Frequencies,2,FALSE),2)*1200</f>
        <v>3.9100017307747521</v>
      </c>
      <c r="X32" s="85" t="s">
        <v>5</v>
      </c>
      <c r="Y32" s="4">
        <f t="shared" ref="Y32" si="62">VLOOKUP(X32,Master_Frequencies,2,FALSE)/POWER(2,$Z$25)</f>
        <v>175.00892834367059</v>
      </c>
      <c r="Z32" s="47">
        <f t="shared" ref="Z32" si="63">VLOOKUP(X32,Master_Frequencies,2,FALSE)*POWER(2,$Z$25)</f>
        <v>700.03571337468236</v>
      </c>
    </row>
    <row r="33" spans="2:26" x14ac:dyDescent="0.2">
      <c r="B33" s="123" t="s">
        <v>70</v>
      </c>
      <c r="C33" s="145" t="s">
        <v>73</v>
      </c>
      <c r="D33" s="97">
        <v>1</v>
      </c>
      <c r="E33" s="4">
        <f t="shared" ref="E33" si="64">LOG(D33*VLOOKUP(C33,Master_Frequencies,2,FALSE)/VLOOKUP(B33,Master_Frequencies,2,FALSE),2)*1200</f>
        <v>407.82000346154996</v>
      </c>
      <c r="F33" s="4">
        <f t="shared" ref="F33" si="65">VLOOKUP(B33,Master_Frequencies,2,FALSE)*5/4</f>
        <v>460.92886477345331</v>
      </c>
      <c r="G33" s="47">
        <f t="shared" ref="G33" si="66">IF($D$2="Cents",LOG(VLOOKUP(C33,Master_Frequencies,2,FALSE)/F33,2)*1200*$F$3,LOG(D33*VLOOKUP(C33,Master_Frequencies,2,FALSE)/F33,$F$3))</f>
        <v>-5.5003273853930343</v>
      </c>
      <c r="I33" s="123" t="s">
        <v>70</v>
      </c>
      <c r="J33" s="145" t="s">
        <v>74</v>
      </c>
      <c r="K33" s="97">
        <v>2</v>
      </c>
      <c r="L33" s="191">
        <f t="shared" ref="L33" si="67">K33*VLOOKUP(J33,Master_Frequencies,2,FALSE)/VLOOKUP(I33,Master_Frequencies,2,FALSE)</f>
        <v>1.5</v>
      </c>
      <c r="M33" s="145" t="s">
        <v>70</v>
      </c>
      <c r="N33" s="145" t="s">
        <v>73</v>
      </c>
      <c r="O33" s="191">
        <f t="shared" ref="O33" si="68">D33*VLOOKUP(N33,Master_Frequencies,2,FALSE)/VLOOKUP(M33,Master_Frequencies,2,FALSE)</f>
        <v>1.2656250000000002</v>
      </c>
      <c r="Q33" s="99">
        <v>7</v>
      </c>
      <c r="R33" s="18">
        <f t="shared" si="27"/>
        <v>1837.5937476085408</v>
      </c>
      <c r="S33" s="97">
        <v>2</v>
      </c>
      <c r="T33" s="4">
        <f t="shared" si="28"/>
        <v>459.39843690213519</v>
      </c>
      <c r="U33" s="18" t="str" cm="1">
        <f t="array" ref="U33">_xlfn.XLOOKUP(0,ABS($C$44:$C$56-T33),$B$44:$B$56,,1)</f>
        <v>A#</v>
      </c>
      <c r="V33" s="47">
        <f t="shared" ref="V33" si="69">LOG(T33/VLOOKUP(U33,Master_Frequencies,2,FALSE),2)*1200</f>
        <v>-27.264091800100626</v>
      </c>
      <c r="X33" s="85" t="s">
        <v>70</v>
      </c>
      <c r="Y33" s="4">
        <f t="shared" ref="Y33" si="70">VLOOKUP(X33,Master_Frequencies,2,FALSE)/POWER(2,$Z$25)</f>
        <v>184.37154590938133</v>
      </c>
      <c r="Z33" s="47">
        <f t="shared" ref="Z33" si="71">VLOOKUP(X33,Master_Frequencies,2,FALSE)*POWER(2,$Z$25)</f>
        <v>737.4861836375253</v>
      </c>
    </row>
    <row r="34" spans="2:26" x14ac:dyDescent="0.2">
      <c r="B34" s="123" t="s">
        <v>6</v>
      </c>
      <c r="C34" s="145" t="s">
        <v>8</v>
      </c>
      <c r="D34" s="97">
        <v>1</v>
      </c>
      <c r="E34" s="4">
        <f t="shared" ref="E34" si="72">LOG(D34*VLOOKUP(C34,Master_Frequencies,2,FALSE)/VLOOKUP(B34,Master_Frequencies,2,FALSE),2)*1200</f>
        <v>392.17999653845061</v>
      </c>
      <c r="F34" s="4">
        <f t="shared" ref="F34" si="73">VLOOKUP(B34,Master_Frequencies,2,FALSE)*5/4</f>
        <v>491.1022004526618</v>
      </c>
      <c r="G34" s="47">
        <f t="shared" ref="G34" si="74">IF($D$2="Cents",LOG(VLOOKUP(C34,Master_Frequencies,2,FALSE)/F34,2)*1200*$F$3,LOG(D34*VLOOKUP(C34,Master_Frequencies,2,FALSE)/F34,$F$3))</f>
        <v>-1.500327385392997</v>
      </c>
      <c r="I34" s="123" t="s">
        <v>6</v>
      </c>
      <c r="J34" s="145" t="s">
        <v>3</v>
      </c>
      <c r="K34" s="97">
        <v>2</v>
      </c>
      <c r="L34" s="191">
        <f t="shared" ref="L34" si="75">K34*VLOOKUP(J34,Master_Frequencies,2,FALSE)/VLOOKUP(I34,Master_Frequencies,2,FALSE)</f>
        <v>1.4966160644124973</v>
      </c>
      <c r="M34" s="145" t="s">
        <v>6</v>
      </c>
      <c r="N34" s="145" t="s">
        <v>8</v>
      </c>
      <c r="O34" s="191">
        <f t="shared" ref="O34" si="76">D34*VLOOKUP(N34,Master_Frequencies,2,FALSE)/VLOOKUP(M34,Master_Frequencies,2,FALSE)</f>
        <v>1.2542428064933924</v>
      </c>
      <c r="Q34" s="99">
        <v>8</v>
      </c>
      <c r="R34" s="18">
        <f t="shared" si="27"/>
        <v>2100.1071401240465</v>
      </c>
      <c r="S34" s="97">
        <v>3</v>
      </c>
      <c r="T34" s="4">
        <f t="shared" si="28"/>
        <v>262.51339251550581</v>
      </c>
      <c r="U34" s="18" t="str" cm="1">
        <f t="array" ref="U34">_xlfn.XLOOKUP(0,ABS($C$44:$C$56-T34),$B$44:$B$56,,1)</f>
        <v>C</v>
      </c>
      <c r="V34" s="47">
        <f t="shared" ref="V34" si="77">LOG(T34/VLOOKUP(U34,Master_Frequencies,2,FALSE),2)*1200</f>
        <v>0</v>
      </c>
      <c r="X34" s="85" t="s">
        <v>6</v>
      </c>
      <c r="Y34" s="4">
        <f t="shared" ref="Y34" si="78">VLOOKUP(X34,Master_Frequencies,2,FALSE)/POWER(2,$Z$25)</f>
        <v>196.44088018106473</v>
      </c>
      <c r="Z34" s="47">
        <f t="shared" ref="Z34" si="79">VLOOKUP(X34,Master_Frequencies,2,FALSE)*POWER(2,$Z$25)</f>
        <v>785.76352072425891</v>
      </c>
    </row>
    <row r="35" spans="2:26" x14ac:dyDescent="0.2">
      <c r="B35" s="123" t="s">
        <v>72</v>
      </c>
      <c r="C35" s="145" t="s">
        <v>78</v>
      </c>
      <c r="D35" s="97">
        <v>1</v>
      </c>
      <c r="E35" s="4">
        <f t="shared" ref="E35" si="80">LOG(D35*VLOOKUP(C35,Master_Frequencies,2,FALSE)/VLOOKUP(B35,Master_Frequencies,2,FALSE),2)*1200</f>
        <v>407.82000346154967</v>
      </c>
      <c r="F35" s="4">
        <f t="shared" ref="F35" si="81">VLOOKUP(B35,Master_Frequencies,2,FALSE)*5/4</f>
        <v>518.54497287013498</v>
      </c>
      <c r="G35" s="47">
        <f t="shared" ref="G35" si="82">IF($D$2="Cents",LOG(VLOOKUP(C35,Master_Frequencies,2,FALSE)/F35,2)*1200*$F$3,LOG(D35*VLOOKUP(C35,Master_Frequencies,2,FALSE)/F35,$F$3))</f>
        <v>-5.5003273853930343</v>
      </c>
      <c r="I35" s="123" t="s">
        <v>72</v>
      </c>
      <c r="J35" s="145" t="s">
        <v>76</v>
      </c>
      <c r="K35" s="97">
        <v>2</v>
      </c>
      <c r="L35" s="191">
        <f t="shared" ref="L35" si="83">K35*VLOOKUP(J35,Master_Frequencies,2,FALSE)/VLOOKUP(I35,Master_Frequencies,2,FALSE)</f>
        <v>1.5000000000000002</v>
      </c>
      <c r="M35" s="145" t="s">
        <v>72</v>
      </c>
      <c r="N35" s="145" t="s">
        <v>78</v>
      </c>
      <c r="O35" s="191">
        <f t="shared" ref="O35" si="84">D35*VLOOKUP(N35,Master_Frequencies,2,FALSE)/VLOOKUP(M35,Master_Frequencies,2,FALSE)</f>
        <v>1.265625</v>
      </c>
      <c r="Q35" s="99">
        <v>9</v>
      </c>
      <c r="R35" s="18">
        <f t="shared" si="27"/>
        <v>2362.6205326395525</v>
      </c>
      <c r="S35" s="97">
        <v>3</v>
      </c>
      <c r="T35" s="4">
        <f t="shared" si="28"/>
        <v>295.32756657994406</v>
      </c>
      <c r="U35" s="18" t="str" cm="1">
        <f t="array" ref="U35">_xlfn.XLOOKUP(0,ABS($C$44:$C$56-T35),$B$44:$B$56,,1)</f>
        <v>D</v>
      </c>
      <c r="V35" s="47">
        <f t="shared" ref="V35" si="85">LOG(T35/VLOOKUP(U35,Master_Frequencies,2,FALSE),2)*1200</f>
        <v>7.8200034615495593</v>
      </c>
      <c r="X35" s="85" t="s">
        <v>72</v>
      </c>
      <c r="Y35" s="4">
        <f t="shared" ref="Y35" si="86">VLOOKUP(X35,Master_Frequencies,2,FALSE)/POWER(2,$Z$25)</f>
        <v>207.417989148054</v>
      </c>
      <c r="Z35" s="47">
        <f t="shared" ref="Z35" si="87">VLOOKUP(X35,Master_Frequencies,2,FALSE)*POWER(2,$Z$25)</f>
        <v>829.67195659221602</v>
      </c>
    </row>
    <row r="36" spans="2:26" x14ac:dyDescent="0.2">
      <c r="B36" s="123" t="s">
        <v>7</v>
      </c>
      <c r="C36" s="145" t="s">
        <v>74</v>
      </c>
      <c r="D36" s="97">
        <v>2</v>
      </c>
      <c r="E36" s="4">
        <f t="shared" ref="E36" si="88">LOG(D36*VLOOKUP(C36,Master_Frequencies,2,FALSE)/VLOOKUP(B36,Master_Frequencies,2,FALSE),2)*1200</f>
        <v>396.08999826922508</v>
      </c>
      <c r="F36" s="4">
        <f t="shared" ref="F36" si="89">VLOOKUP(B36,Master_Frequencies,2,FALSE)*5/4</f>
        <v>550.00000000000011</v>
      </c>
      <c r="G36" s="47">
        <f t="shared" ref="G36" si="90">IF($D$2="Cents",LOG(VLOOKUP(C36,Master_Frequencies,2,FALSE)/F36,2)*1200*$F$3,LOG(D36*VLOOKUP(C36,Master_Frequencies,2,FALSE)/F36,$F$3))</f>
        <v>-2.5003273853930081</v>
      </c>
      <c r="I36" s="123" t="s">
        <v>7</v>
      </c>
      <c r="J36" s="145" t="s">
        <v>4</v>
      </c>
      <c r="K36" s="97">
        <v>2</v>
      </c>
      <c r="L36" s="191">
        <f t="shared" ref="L36" si="91">K36*VLOOKUP(J36,Master_Frequencies,2,FALSE)/VLOOKUP(I36,Master_Frequencies,2,FALSE)</f>
        <v>1.4966160644124975</v>
      </c>
      <c r="M36" s="145" t="s">
        <v>7</v>
      </c>
      <c r="N36" s="145" t="s">
        <v>74</v>
      </c>
      <c r="O36" s="191">
        <f t="shared" ref="O36" si="92">D36*VLOOKUP(N36,Master_Frequencies,2,FALSE)/VLOOKUP(M36,Master_Frequencies,2,FALSE)</f>
        <v>1.2570787221094177</v>
      </c>
      <c r="Q36" s="99">
        <v>10</v>
      </c>
      <c r="R36" s="18">
        <f t="shared" si="27"/>
        <v>2625.133925155058</v>
      </c>
      <c r="S36" s="97">
        <v>3</v>
      </c>
      <c r="T36" s="4">
        <f t="shared" si="28"/>
        <v>328.14174064438225</v>
      </c>
      <c r="U36" s="18" t="str" cm="1">
        <f t="array" ref="U36">_xlfn.XLOOKUP(0,ABS($C$44:$C$56-T36),$B$44:$B$56,,1)</f>
        <v>E</v>
      </c>
      <c r="V36" s="47">
        <f t="shared" ref="V36" si="93">LOG(T36/VLOOKUP(U36,Master_Frequencies,2,FALSE),2)*1200</f>
        <v>-5.8662826736158431</v>
      </c>
      <c r="X36" s="85" t="s">
        <v>7</v>
      </c>
      <c r="Y36" s="4">
        <f t="shared" ref="Y36" si="94">VLOOKUP(X36,Master_Frequencies,2,FALSE)/POWER(2,$Z$25)</f>
        <v>220.00000000000006</v>
      </c>
      <c r="Z36" s="47">
        <f t="shared" ref="Z36" si="95">VLOOKUP(X36,Master_Frequencies,2,FALSE)*POWER(2,$Z$25)</f>
        <v>880.00000000000023</v>
      </c>
    </row>
    <row r="37" spans="2:26" x14ac:dyDescent="0.2">
      <c r="B37" s="123" t="s">
        <v>73</v>
      </c>
      <c r="C37" s="145" t="s">
        <v>3</v>
      </c>
      <c r="D37" s="97">
        <v>2</v>
      </c>
      <c r="E37" s="4">
        <f t="shared" ref="E37" si="96">LOG(D37*VLOOKUP(C37,Master_Frequencies,2,FALSE)/VLOOKUP(B37,Master_Frequencies,2,FALSE),2)*1200</f>
        <v>399.99999999999972</v>
      </c>
      <c r="F37" s="4">
        <f t="shared" ref="F37" si="97">VLOOKUP(B37,Master_Frequencies,2,FALSE)*5/4</f>
        <v>583.36309447890198</v>
      </c>
      <c r="G37" s="47">
        <f t="shared" ref="G37" si="98">IF($D$2="Cents",LOG(VLOOKUP(C37,Master_Frequencies,2,FALSE)/F37,2)*1200*$F$3,LOG(D37*VLOOKUP(C37,Master_Frequencies,2,FALSE)/F37,$F$3))</f>
        <v>-3.5003273853928838</v>
      </c>
      <c r="I37" s="123" t="s">
        <v>73</v>
      </c>
      <c r="J37" s="145" t="s">
        <v>5</v>
      </c>
      <c r="K37" s="97">
        <v>2</v>
      </c>
      <c r="L37" s="191">
        <f t="shared" ref="L37" si="99">K37*VLOOKUP(J37,Master_Frequencies,2,FALSE)/VLOOKUP(I37,Master_Frequencies,2,FALSE)</f>
        <v>1.5</v>
      </c>
      <c r="M37" s="145" t="s">
        <v>73</v>
      </c>
      <c r="N37" s="145" t="s">
        <v>3</v>
      </c>
      <c r="O37" s="191">
        <f t="shared" ref="O37" si="100">D37*VLOOKUP(N37,Master_Frequencies,2,FALSE)/VLOOKUP(M37,Master_Frequencies,2,FALSE)</f>
        <v>1.259921049894873</v>
      </c>
      <c r="Q37" s="99">
        <v>11</v>
      </c>
      <c r="R37" s="18">
        <f t="shared" si="27"/>
        <v>2887.647317670564</v>
      </c>
      <c r="S37" s="97">
        <v>3</v>
      </c>
      <c r="T37" s="4">
        <f t="shared" si="28"/>
        <v>360.9559147088205</v>
      </c>
      <c r="U37" s="18" t="str" cm="1">
        <f t="array" ref="U37">_xlfn.XLOOKUP(0,ABS($C$44:$C$56-T37),$B$44:$B$56,,1)</f>
        <v>F#</v>
      </c>
      <c r="V37" s="47">
        <f t="shared" ref="V37" si="101">LOG(T37/VLOOKUP(U37,Master_Frequencies,2,FALSE),2)*1200</f>
        <v>-36.952052442918792</v>
      </c>
      <c r="X37" s="85" t="s">
        <v>73</v>
      </c>
      <c r="Y37" s="4">
        <f t="shared" ref="Y37" si="102">VLOOKUP(X37,Master_Frequencies,2,FALSE)/POWER(2,$Z$25)</f>
        <v>233.34523779156078</v>
      </c>
      <c r="Z37" s="47">
        <f t="shared" ref="Z37" si="103">VLOOKUP(X37,Master_Frequencies,2,FALSE)*POWER(2,$Z$25)</f>
        <v>933.38095116624311</v>
      </c>
    </row>
    <row r="38" spans="2:26" x14ac:dyDescent="0.2">
      <c r="B38" s="124" t="s">
        <v>8</v>
      </c>
      <c r="C38" s="153" t="s">
        <v>76</v>
      </c>
      <c r="D38" s="98">
        <v>2</v>
      </c>
      <c r="E38" s="53">
        <f t="shared" ref="E38" si="104">LOG(D38*VLOOKUP(C38,Master_Frequencies,2,FALSE)/VLOOKUP(B38,Master_Frequencies,2,FALSE),2)*1200</f>
        <v>403.91000173077492</v>
      </c>
      <c r="F38" s="53">
        <f t="shared" ref="F38" si="105">VLOOKUP(B38,Master_Frequencies,2,FALSE)*5/4</f>
        <v>615.96140217082711</v>
      </c>
      <c r="G38" s="48">
        <f t="shared" ref="G38" si="106">IF($D$2="Cents",LOG(VLOOKUP(C38,Master_Frequencies,2,FALSE)/F38,2)*1200*$F$3,LOG(D38*VLOOKUP(C38,Master_Frequencies,2,FALSE)/F38,$F$3))</f>
        <v>-4.5003273853929393</v>
      </c>
      <c r="I38" s="124" t="s">
        <v>8</v>
      </c>
      <c r="J38" s="153" t="s">
        <v>70</v>
      </c>
      <c r="K38" s="98">
        <v>2</v>
      </c>
      <c r="L38" s="192">
        <f t="shared" ref="L38" si="107">K38*VLOOKUP(J38,Master_Frequencies,2,FALSE)/VLOOKUP(I38,Master_Frequencies,2,FALSE)</f>
        <v>1.4966160644124973</v>
      </c>
      <c r="M38" s="153" t="s">
        <v>8</v>
      </c>
      <c r="N38" s="153" t="s">
        <v>76</v>
      </c>
      <c r="O38" s="192">
        <f t="shared" ref="O38" si="108">D38*VLOOKUP(N38,Master_Frequencies,2,FALSE)/VLOOKUP(M38,Master_Frequencies,2,FALSE)</f>
        <v>1.2627698043480446</v>
      </c>
      <c r="Q38" s="99">
        <v>12</v>
      </c>
      <c r="R38" s="18">
        <f t="shared" si="27"/>
        <v>3150.16071018607</v>
      </c>
      <c r="S38" s="97">
        <v>3</v>
      </c>
      <c r="T38" s="4">
        <f t="shared" si="28"/>
        <v>393.77008877325875</v>
      </c>
      <c r="U38" s="18" t="str" cm="1">
        <f t="array" ref="U38">_xlfn.XLOOKUP(0,ABS($C$44:$C$56-T38),$B$44:$B$56,,1)</f>
        <v>G</v>
      </c>
      <c r="V38" s="47">
        <f t="shared" ref="V38" si="109">LOG(T38/VLOOKUP(U38,Master_Frequencies,2,FALSE),2)*1200</f>
        <v>3.9100017307747521</v>
      </c>
      <c r="X38" s="85" t="s">
        <v>8</v>
      </c>
      <c r="Y38" s="4">
        <f t="shared" ref="Y38" si="110">VLOOKUP(X38,Master_Frequencies,2,FALSE)/POWER(2,$Z$25)</f>
        <v>246.38456086833082</v>
      </c>
      <c r="Z38" s="47">
        <f t="shared" ref="Z38" si="111">VLOOKUP(X38,Master_Frequencies,2,FALSE)*POWER(2,$Z$25)</f>
        <v>985.53824347332329</v>
      </c>
    </row>
    <row r="39" spans="2:26" x14ac:dyDescent="0.2">
      <c r="Q39" s="100">
        <v>13</v>
      </c>
      <c r="R39" s="50">
        <f t="shared" si="27"/>
        <v>3412.6741027015755</v>
      </c>
      <c r="S39" s="98">
        <v>3</v>
      </c>
      <c r="T39" s="53">
        <f t="shared" si="28"/>
        <v>426.58426283769694</v>
      </c>
      <c r="U39" s="50" t="str" cm="1">
        <f t="array" ref="U39">_xlfn.XLOOKUP(0,ABS($C$44:$C$56-T39),$B$44:$B$56,,1)</f>
        <v>G#</v>
      </c>
      <c r="V39" s="48">
        <f t="shared" ref="V39" si="112">LOG(T39/VLOOKUP(U39,Master_Frequencies,2,FALSE),2)*1200</f>
        <v>48.347665230859889</v>
      </c>
      <c r="X39" s="87" t="s">
        <v>78</v>
      </c>
      <c r="Y39" s="53">
        <f t="shared" ref="Y39" si="113">VLOOKUP(X39,Master_Frequencies,2,FALSE)/POWER(2,$Z$25)</f>
        <v>262.51339251550587</v>
      </c>
      <c r="Z39" s="48">
        <f t="shared" ref="Z39" si="114">VLOOKUP(X39,Master_Frequencies,2,FALSE)*POWER(2,$Z$25)</f>
        <v>1050.0535700620235</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262.51339251550581</v>
      </c>
    </row>
    <row r="45" spans="2:26" x14ac:dyDescent="0.2">
      <c r="B45" s="92" t="s">
        <v>74</v>
      </c>
      <c r="C45" s="93">
        <f t="shared" ref="C45:C56" si="115">VLOOKUP(B45,$B$9:$H$21,7,FALSE)</f>
        <v>276.55731886407199</v>
      </c>
    </row>
    <row r="46" spans="2:26" x14ac:dyDescent="0.2">
      <c r="B46" s="92" t="s">
        <v>3</v>
      </c>
      <c r="C46" s="93">
        <f t="shared" si="115"/>
        <v>293.99657698631205</v>
      </c>
    </row>
    <row r="47" spans="2:26" x14ac:dyDescent="0.2">
      <c r="B47" s="92" t="s">
        <v>76</v>
      </c>
      <c r="C47" s="93">
        <f t="shared" si="115"/>
        <v>311.12698372208104</v>
      </c>
    </row>
    <row r="48" spans="2:26" x14ac:dyDescent="0.2">
      <c r="B48" s="92" t="s">
        <v>4</v>
      </c>
      <c r="C48" s="93">
        <f t="shared" si="115"/>
        <v>329.25553417074951</v>
      </c>
    </row>
    <row r="49" spans="2:3" x14ac:dyDescent="0.2">
      <c r="B49" s="92" t="s">
        <v>5</v>
      </c>
      <c r="C49" s="93">
        <f t="shared" si="115"/>
        <v>350.01785668734118</v>
      </c>
    </row>
    <row r="50" spans="2:3" x14ac:dyDescent="0.2">
      <c r="B50" s="92" t="s">
        <v>70</v>
      </c>
      <c r="C50" s="93">
        <f t="shared" si="115"/>
        <v>368.74309181876265</v>
      </c>
    </row>
    <row r="51" spans="2:3" x14ac:dyDescent="0.2">
      <c r="B51" s="92" t="s">
        <v>6</v>
      </c>
      <c r="C51" s="93">
        <f t="shared" si="115"/>
        <v>392.88176036212946</v>
      </c>
    </row>
    <row r="52" spans="2:3" x14ac:dyDescent="0.2">
      <c r="B52" s="92" t="s">
        <v>72</v>
      </c>
      <c r="C52" s="93">
        <f t="shared" si="115"/>
        <v>414.83597829610801</v>
      </c>
    </row>
    <row r="53" spans="2:3" x14ac:dyDescent="0.2">
      <c r="B53" s="92" t="s">
        <v>7</v>
      </c>
      <c r="C53" s="93">
        <f t="shared" si="115"/>
        <v>440.00000000000011</v>
      </c>
    </row>
    <row r="54" spans="2:3" x14ac:dyDescent="0.2">
      <c r="B54" s="92" t="s">
        <v>73</v>
      </c>
      <c r="C54" s="93">
        <f t="shared" si="115"/>
        <v>466.69047558312155</v>
      </c>
    </row>
    <row r="55" spans="2:3" x14ac:dyDescent="0.2">
      <c r="B55" s="92" t="s">
        <v>8</v>
      </c>
      <c r="C55" s="93">
        <f t="shared" si="115"/>
        <v>492.76912173666165</v>
      </c>
    </row>
    <row r="56" spans="2:3" ht="16" thickBot="1" x14ac:dyDescent="0.25">
      <c r="B56" s="94" t="s">
        <v>78</v>
      </c>
      <c r="C56" s="95">
        <f t="shared" si="115"/>
        <v>525.02678503101174</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17" priority="3">
      <formula>_xlfn.ISFORMULA(A1)</formula>
    </cfRule>
  </conditionalFormatting>
  <conditionalFormatting sqref="A1:XFD1048576">
    <cfRule type="expression" dxfId="16"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A6788D30-446B-AE49-90DD-28690CFBE69B}">
      <formula1>Units</formula1>
    </dataValidation>
  </dataValidations>
  <hyperlinks>
    <hyperlink ref="B40" location="Overview!A1" display="Back to Overview" xr:uid="{1331E889-C3A5-6E47-B6A2-5FAF2A2C07A0}"/>
    <hyperlink ref="B4" location="Overview!A1" display="Back to Overview" xr:uid="{1E4EE59D-E9BF-C345-A780-D22F120D4B78}"/>
  </hyperlinks>
  <pageMargins left="0.7" right="0.7" top="0.75" bottom="0.75" header="0.3" footer="0.3"/>
  <drawing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35D72-98B2-4148-A515-0B1E462DDB2C}">
  <sheetPr>
    <tabColor theme="5" tint="0.59999389629810485"/>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24</v>
      </c>
      <c r="C1" s="289"/>
      <c r="D1" s="289"/>
      <c r="E1" s="289"/>
      <c r="F1" s="289"/>
      <c r="G1" s="289"/>
      <c r="P1" s="4" t="s">
        <v>478</v>
      </c>
    </row>
    <row r="2" spans="2:23" s="70" customFormat="1" ht="48" x14ac:dyDescent="0.2">
      <c r="D2" s="154" t="s">
        <v>84</v>
      </c>
      <c r="E2" s="72" t="str">
        <f>D2</f>
        <v>Pythagorean Comma</v>
      </c>
      <c r="F2" s="72" t="str">
        <f>_xlfn.CONCAT("1/",D3," ",D2)</f>
        <v>1/4 Pythagorean Comma</v>
      </c>
      <c r="G2" s="102"/>
      <c r="H2" s="103" t="s">
        <v>143</v>
      </c>
      <c r="I2" s="161">
        <v>440</v>
      </c>
      <c r="J2" s="103" t="str">
        <f>_xlfn.CONCAT("C for A=", I2,":")</f>
        <v>C for A=440:</v>
      </c>
      <c r="K2" s="70">
        <f>I2*2*8/27*POWER($F$3,$D$12-$D$9)</f>
        <v>263.40423257498196</v>
      </c>
      <c r="L2" s="103"/>
      <c r="U2" s="103"/>
      <c r="V2" s="103"/>
      <c r="W2" s="103"/>
    </row>
    <row r="3" spans="2:23" ht="16" x14ac:dyDescent="0.2">
      <c r="B3" s="105"/>
      <c r="C3" s="74" t="s">
        <v>125</v>
      </c>
      <c r="D3" s="155">
        <v>4</v>
      </c>
      <c r="E3" s="1">
        <f>IF(D2="Pythagorean Comma",524288/531441,IF(D2="Syntonic Comma",80/81,IF(D2="Cents",1/POWER(2,1/1200),"Not in List")))</f>
        <v>0.98654036854514426</v>
      </c>
      <c r="F3" s="132">
        <f>POWER(E3,1/D3)</f>
        <v>0.99661797363403204</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263.40423257498196</v>
      </c>
      <c r="G9" s="97">
        <v>0</v>
      </c>
      <c r="H9" s="188">
        <f t="shared" ref="H9:H21" si="0">E9/POWER(2,G9)</f>
        <v>263.40423257498196</v>
      </c>
      <c r="J9" s="85" t="s">
        <v>2</v>
      </c>
      <c r="K9" s="4">
        <f t="shared" ref="K9:K21" si="1">VLOOKUP(J9,Master_Frequencies,2,FALSE)</f>
        <v>263.40423257498196</v>
      </c>
      <c r="L9" s="4">
        <f t="shared" ref="L9:L21" si="2">LOG(K9/K$9,2)*1200</f>
        <v>0</v>
      </c>
      <c r="N9" s="158">
        <v>3600</v>
      </c>
      <c r="P9" s="123" t="str">
        <f>J9</f>
        <v>C</v>
      </c>
      <c r="Q9" s="4">
        <f>E9</f>
        <v>263.40423257498196</v>
      </c>
      <c r="R9" s="4">
        <f>LOG(K9/Q9,2)*1200</f>
        <v>0</v>
      </c>
      <c r="S9" s="145" t="str">
        <f t="shared" ref="S9:S21" si="3">B9</f>
        <v>C</v>
      </c>
      <c r="T9" s="4">
        <f t="shared" ref="T9:T21" si="4">VLOOKUP(S9,Master_Frequencies,2,FALSE)</f>
        <v>263.40423257498196</v>
      </c>
      <c r="U9" s="47">
        <f t="shared" ref="U9:U21" si="5">VLOOKUP(S9,$P$9:$R$21,3,FALSE)</f>
        <v>0</v>
      </c>
    </row>
    <row r="10" spans="2:23" x14ac:dyDescent="0.2">
      <c r="B10" s="107" t="s">
        <v>6</v>
      </c>
      <c r="C10" s="185">
        <v>-1</v>
      </c>
      <c r="D10" s="4">
        <f>D9+C10</f>
        <v>-1</v>
      </c>
      <c r="E10" s="4">
        <f t="shared" ref="E10:E21" si="6">IF(C10&lt;0,(E9*3/2)*POWER($F$3,ABS(C10)),(E9*3/2)*POWER(1/$F$3,ABS(C10)))</f>
        <v>393.77008877325875</v>
      </c>
      <c r="F10" s="4">
        <f t="shared" ref="F10:F21" si="7">LOG(E10/E9,2)*1200</f>
        <v>696.08999826922525</v>
      </c>
      <c r="G10" s="97">
        <v>0</v>
      </c>
      <c r="H10" s="188">
        <f t="shared" si="0"/>
        <v>393.77008877325875</v>
      </c>
      <c r="J10" s="85" t="s">
        <v>74</v>
      </c>
      <c r="K10" s="4">
        <f t="shared" si="1"/>
        <v>277.49581703372587</v>
      </c>
      <c r="L10" s="4">
        <f t="shared" si="2"/>
        <v>90.224995673063063</v>
      </c>
      <c r="M10" s="4">
        <f t="shared" ref="M10:M21" si="8">LOG(K10/K9,2)*1200</f>
        <v>90.224995673063063</v>
      </c>
      <c r="N10" s="47">
        <f t="shared" ref="N10:N21" si="9">N$9*K$9/K10</f>
        <v>3417.1875</v>
      </c>
      <c r="P10" s="123" t="str">
        <f t="shared" ref="P10:P21" si="10">J10</f>
        <v>C#</v>
      </c>
      <c r="Q10" s="4">
        <f t="shared" ref="Q10:Q21" si="11">Q9*POWER($Q$9*2/$Q$9,1/12)</f>
        <v>279.06706331122587</v>
      </c>
      <c r="R10" s="4">
        <f t="shared" ref="R10:R21" si="12">LOG(K10/Q10,2)*1200</f>
        <v>-9.7750043269369336</v>
      </c>
      <c r="S10" s="145" t="str">
        <f t="shared" si="3"/>
        <v>G</v>
      </c>
      <c r="T10" s="4">
        <f t="shared" si="4"/>
        <v>393.77008877325875</v>
      </c>
      <c r="U10" s="47">
        <f t="shared" si="5"/>
        <v>-3.9100017307752508</v>
      </c>
    </row>
    <row r="11" spans="2:23" x14ac:dyDescent="0.2">
      <c r="B11" s="107" t="s">
        <v>3</v>
      </c>
      <c r="C11" s="185">
        <v>-1</v>
      </c>
      <c r="D11" s="4">
        <f t="shared" ref="D11:D21" si="13">D10+C11</f>
        <v>-2</v>
      </c>
      <c r="E11" s="4">
        <f t="shared" si="6"/>
        <v>588.65752192634704</v>
      </c>
      <c r="F11" s="4">
        <f t="shared" si="7"/>
        <v>696.08999826922502</v>
      </c>
      <c r="G11" s="97">
        <v>1</v>
      </c>
      <c r="H11" s="188">
        <f t="shared" si="0"/>
        <v>294.32876096317352</v>
      </c>
      <c r="J11" s="85" t="s">
        <v>3</v>
      </c>
      <c r="K11" s="4">
        <f t="shared" si="1"/>
        <v>294.32876096317352</v>
      </c>
      <c r="L11" s="4">
        <f t="shared" si="2"/>
        <v>192.17999653845041</v>
      </c>
      <c r="M11" s="4">
        <f t="shared" si="8"/>
        <v>101.95500086538728</v>
      </c>
      <c r="N11" s="47">
        <f t="shared" si="9"/>
        <v>3221.7552717812073</v>
      </c>
      <c r="P11" s="123" t="str">
        <f t="shared" si="10"/>
        <v>D</v>
      </c>
      <c r="Q11" s="4">
        <f t="shared" si="11"/>
        <v>295.66125442947271</v>
      </c>
      <c r="R11" s="4">
        <f t="shared" si="12"/>
        <v>-7.820003461549498</v>
      </c>
      <c r="S11" s="145" t="str">
        <f t="shared" si="3"/>
        <v>D</v>
      </c>
      <c r="T11" s="4">
        <f t="shared" si="4"/>
        <v>294.32876096317352</v>
      </c>
      <c r="U11" s="47">
        <f t="shared" si="5"/>
        <v>-7.820003461549498</v>
      </c>
    </row>
    <row r="12" spans="2:23" x14ac:dyDescent="0.2">
      <c r="B12" s="107" t="s">
        <v>7</v>
      </c>
      <c r="C12" s="185">
        <v>-1</v>
      </c>
      <c r="D12" s="4">
        <f t="shared" si="13"/>
        <v>-3</v>
      </c>
      <c r="E12" s="4">
        <f t="shared" si="6"/>
        <v>880.00000000000011</v>
      </c>
      <c r="F12" s="4">
        <f t="shared" si="7"/>
        <v>696.08999826922502</v>
      </c>
      <c r="G12" s="97">
        <v>1</v>
      </c>
      <c r="H12" s="188">
        <f t="shared" si="0"/>
        <v>440.00000000000006</v>
      </c>
      <c r="J12" s="85" t="s">
        <v>76</v>
      </c>
      <c r="K12" s="4">
        <f t="shared" si="1"/>
        <v>312.1827941629416</v>
      </c>
      <c r="L12" s="4">
        <f t="shared" si="2"/>
        <v>294.13499740383799</v>
      </c>
      <c r="M12" s="4">
        <f t="shared" si="8"/>
        <v>101.95500086538762</v>
      </c>
      <c r="N12" s="47">
        <f t="shared" si="9"/>
        <v>3037.5</v>
      </c>
      <c r="P12" s="123" t="str">
        <f t="shared" si="10"/>
        <v>D#</v>
      </c>
      <c r="Q12" s="4">
        <f t="shared" si="11"/>
        <v>313.24218750000006</v>
      </c>
      <c r="R12" s="4">
        <f t="shared" si="12"/>
        <v>-5.8650025961620802</v>
      </c>
      <c r="S12" s="145" t="str">
        <f t="shared" si="3"/>
        <v>A</v>
      </c>
      <c r="T12" s="4">
        <f t="shared" si="4"/>
        <v>440.00000000000006</v>
      </c>
      <c r="U12" s="47">
        <f t="shared" si="5"/>
        <v>-11.730005192325208</v>
      </c>
    </row>
    <row r="13" spans="2:23" x14ac:dyDescent="0.2">
      <c r="B13" s="107" t="s">
        <v>4</v>
      </c>
      <c r="C13" s="185">
        <v>0</v>
      </c>
      <c r="D13" s="4">
        <f t="shared" si="13"/>
        <v>-3</v>
      </c>
      <c r="E13" s="4">
        <f t="shared" si="6"/>
        <v>1320.0000000000002</v>
      </c>
      <c r="F13" s="4">
        <f t="shared" si="7"/>
        <v>701.95500086538743</v>
      </c>
      <c r="G13" s="97">
        <v>2</v>
      </c>
      <c r="H13" s="188">
        <f t="shared" si="0"/>
        <v>330.00000000000006</v>
      </c>
      <c r="J13" s="85" t="s">
        <v>4</v>
      </c>
      <c r="K13" s="4">
        <f t="shared" si="1"/>
        <v>330.00000000000006</v>
      </c>
      <c r="L13" s="4">
        <f t="shared" si="2"/>
        <v>390.22499567306272</v>
      </c>
      <c r="M13" s="4">
        <f t="shared" si="8"/>
        <v>96.089998269224949</v>
      </c>
      <c r="N13" s="47">
        <f t="shared" si="9"/>
        <v>2873.5007189998028</v>
      </c>
      <c r="P13" s="123" t="str">
        <f t="shared" si="10"/>
        <v>E</v>
      </c>
      <c r="Q13" s="4">
        <f t="shared" si="11"/>
        <v>331.86853725262466</v>
      </c>
      <c r="R13" s="4">
        <f t="shared" si="12"/>
        <v>-9.7750043269373208</v>
      </c>
      <c r="S13" s="145" t="str">
        <f t="shared" si="3"/>
        <v>E</v>
      </c>
      <c r="T13" s="4">
        <f t="shared" si="4"/>
        <v>330.00000000000006</v>
      </c>
      <c r="U13" s="47">
        <f t="shared" si="5"/>
        <v>-9.7750043269373208</v>
      </c>
    </row>
    <row r="14" spans="2:23" x14ac:dyDescent="0.2">
      <c r="B14" s="107" t="s">
        <v>8</v>
      </c>
      <c r="C14" s="185">
        <v>0</v>
      </c>
      <c r="D14" s="4">
        <f t="shared" si="13"/>
        <v>-3</v>
      </c>
      <c r="E14" s="4">
        <f t="shared" si="6"/>
        <v>1980.0000000000005</v>
      </c>
      <c r="F14" s="4">
        <f t="shared" si="7"/>
        <v>701.95500086538743</v>
      </c>
      <c r="G14" s="97">
        <v>2</v>
      </c>
      <c r="H14" s="188">
        <f t="shared" si="0"/>
        <v>495.00000000000011</v>
      </c>
      <c r="J14" s="85" t="s">
        <v>5</v>
      </c>
      <c r="K14" s="4">
        <f t="shared" si="1"/>
        <v>351.20564343330932</v>
      </c>
      <c r="L14" s="4">
        <f t="shared" si="2"/>
        <v>498.04499913461279</v>
      </c>
      <c r="M14" s="4">
        <f t="shared" si="8"/>
        <v>107.82000346154977</v>
      </c>
      <c r="N14" s="47">
        <f t="shared" si="9"/>
        <v>2699.9999999999995</v>
      </c>
      <c r="P14" s="123" t="str">
        <f t="shared" si="10"/>
        <v>F</v>
      </c>
      <c r="Q14" s="4">
        <f t="shared" si="11"/>
        <v>351.60246739815881</v>
      </c>
      <c r="R14" s="4">
        <f t="shared" si="12"/>
        <v>-1.955000865387585</v>
      </c>
      <c r="S14" s="145" t="str">
        <f t="shared" si="3"/>
        <v>B</v>
      </c>
      <c r="T14" s="4">
        <f t="shared" si="4"/>
        <v>495.00000000000011</v>
      </c>
      <c r="U14" s="47">
        <f t="shared" si="5"/>
        <v>-7.8200034615502698</v>
      </c>
    </row>
    <row r="15" spans="2:23" x14ac:dyDescent="0.2">
      <c r="B15" s="107" t="s">
        <v>70</v>
      </c>
      <c r="C15" s="185">
        <v>-1</v>
      </c>
      <c r="D15" s="4">
        <f t="shared" si="13"/>
        <v>-4</v>
      </c>
      <c r="E15" s="4">
        <f t="shared" si="6"/>
        <v>2959.9553816930761</v>
      </c>
      <c r="F15" s="4">
        <f t="shared" si="7"/>
        <v>696.08999826922525</v>
      </c>
      <c r="G15" s="97">
        <v>3</v>
      </c>
      <c r="H15" s="188">
        <f t="shared" si="0"/>
        <v>369.99442271163451</v>
      </c>
      <c r="J15" s="85" t="s">
        <v>70</v>
      </c>
      <c r="K15" s="4">
        <f t="shared" si="1"/>
        <v>369.99442271163451</v>
      </c>
      <c r="L15" s="4">
        <f t="shared" si="2"/>
        <v>588.26999480767574</v>
      </c>
      <c r="M15" s="4">
        <f t="shared" si="8"/>
        <v>90.224995673063063</v>
      </c>
      <c r="N15" s="47">
        <f t="shared" si="9"/>
        <v>2562.8906249999995</v>
      </c>
      <c r="P15" s="123" t="str">
        <f t="shared" si="10"/>
        <v>F#</v>
      </c>
      <c r="Q15" s="4">
        <f t="shared" si="11"/>
        <v>372.50983809401657</v>
      </c>
      <c r="R15" s="4">
        <f t="shared" si="12"/>
        <v>-11.730005192324629</v>
      </c>
      <c r="S15" s="145" t="str">
        <f t="shared" si="3"/>
        <v>F#</v>
      </c>
      <c r="T15" s="4">
        <f t="shared" si="4"/>
        <v>369.99442271163451</v>
      </c>
      <c r="U15" s="47">
        <f t="shared" si="5"/>
        <v>-11.730005192324629</v>
      </c>
    </row>
    <row r="16" spans="2:23" x14ac:dyDescent="0.2">
      <c r="B16" s="107" t="s">
        <v>74</v>
      </c>
      <c r="C16" s="185">
        <v>0</v>
      </c>
      <c r="D16" s="4">
        <f t="shared" si="13"/>
        <v>-4</v>
      </c>
      <c r="E16" s="4">
        <f t="shared" si="6"/>
        <v>4439.9330725396139</v>
      </c>
      <c r="F16" s="4">
        <f t="shared" si="7"/>
        <v>701.95500086538743</v>
      </c>
      <c r="G16" s="97">
        <v>4</v>
      </c>
      <c r="H16" s="188">
        <f t="shared" si="0"/>
        <v>277.49581703372587</v>
      </c>
      <c r="J16" s="85" t="s">
        <v>6</v>
      </c>
      <c r="K16" s="4">
        <f t="shared" si="1"/>
        <v>393.77008877325875</v>
      </c>
      <c r="L16" s="4">
        <f t="shared" si="2"/>
        <v>696.08999826922525</v>
      </c>
      <c r="M16" s="4">
        <f t="shared" si="8"/>
        <v>107.82000346154942</v>
      </c>
      <c r="N16" s="47">
        <f t="shared" si="9"/>
        <v>2408.1444078805102</v>
      </c>
      <c r="P16" s="123" t="str">
        <f t="shared" si="10"/>
        <v>G</v>
      </c>
      <c r="Q16" s="4">
        <f t="shared" si="11"/>
        <v>394.66042574636691</v>
      </c>
      <c r="R16" s="4">
        <f t="shared" si="12"/>
        <v>-3.9100017307752508</v>
      </c>
      <c r="S16" s="145" t="str">
        <f t="shared" si="3"/>
        <v>C#</v>
      </c>
      <c r="T16" s="4">
        <f t="shared" si="4"/>
        <v>277.49581703372587</v>
      </c>
      <c r="U16" s="47">
        <f t="shared" si="5"/>
        <v>-9.7750043269369336</v>
      </c>
    </row>
    <row r="17" spans="2:26" x14ac:dyDescent="0.2">
      <c r="B17" s="107" t="s">
        <v>72</v>
      </c>
      <c r="C17" s="185">
        <v>0</v>
      </c>
      <c r="D17" s="4">
        <f t="shared" si="13"/>
        <v>-4</v>
      </c>
      <c r="E17" s="4">
        <f t="shared" si="6"/>
        <v>6659.8996088094209</v>
      </c>
      <c r="F17" s="4">
        <f t="shared" si="7"/>
        <v>701.95500086538743</v>
      </c>
      <c r="G17" s="97">
        <v>4</v>
      </c>
      <c r="H17" s="188">
        <f t="shared" si="0"/>
        <v>416.24372555058881</v>
      </c>
      <c r="J17" s="85" t="s">
        <v>72</v>
      </c>
      <c r="K17" s="4">
        <f t="shared" si="1"/>
        <v>416.24372555058881</v>
      </c>
      <c r="L17" s="4">
        <f t="shared" si="2"/>
        <v>792.17999653845038</v>
      </c>
      <c r="M17" s="4">
        <f t="shared" si="8"/>
        <v>96.089998269225319</v>
      </c>
      <c r="N17" s="47">
        <f t="shared" si="9"/>
        <v>2278.125</v>
      </c>
      <c r="P17" s="123" t="str">
        <f t="shared" si="10"/>
        <v>G#</v>
      </c>
      <c r="Q17" s="4">
        <f t="shared" si="11"/>
        <v>418.12815588240278</v>
      </c>
      <c r="R17" s="4">
        <f t="shared" si="12"/>
        <v>-7.8200034615500771</v>
      </c>
      <c r="S17" s="145" t="str">
        <f t="shared" si="3"/>
        <v>G#</v>
      </c>
      <c r="T17" s="4">
        <f t="shared" si="4"/>
        <v>416.24372555058881</v>
      </c>
      <c r="U17" s="47">
        <f t="shared" si="5"/>
        <v>-7.8200034615500771</v>
      </c>
    </row>
    <row r="18" spans="2:26" x14ac:dyDescent="0.2">
      <c r="B18" s="107" t="s">
        <v>76</v>
      </c>
      <c r="C18" s="185">
        <v>0</v>
      </c>
      <c r="D18" s="4">
        <f t="shared" si="13"/>
        <v>-4</v>
      </c>
      <c r="E18" s="4">
        <f t="shared" si="6"/>
        <v>9989.8494132141313</v>
      </c>
      <c r="F18" s="4">
        <f t="shared" si="7"/>
        <v>701.95500086538743</v>
      </c>
      <c r="G18" s="97">
        <v>5</v>
      </c>
      <c r="H18" s="188">
        <f t="shared" si="0"/>
        <v>312.1827941629416</v>
      </c>
      <c r="J18" s="85" t="s">
        <v>7</v>
      </c>
      <c r="K18" s="4">
        <f t="shared" si="1"/>
        <v>440.00000000000006</v>
      </c>
      <c r="L18" s="4">
        <f t="shared" si="2"/>
        <v>888.26999480767529</v>
      </c>
      <c r="M18" s="4">
        <f t="shared" si="8"/>
        <v>96.089998269224949</v>
      </c>
      <c r="N18" s="47">
        <f t="shared" si="9"/>
        <v>2155.125539249852</v>
      </c>
      <c r="P18" s="123" t="str">
        <f t="shared" si="10"/>
        <v>A</v>
      </c>
      <c r="Q18" s="4">
        <f t="shared" si="11"/>
        <v>442.99134986991623</v>
      </c>
      <c r="R18" s="4">
        <f t="shared" si="12"/>
        <v>-11.730005192325208</v>
      </c>
      <c r="S18" s="145" t="str">
        <f t="shared" si="3"/>
        <v>D#</v>
      </c>
      <c r="T18" s="4">
        <f t="shared" si="4"/>
        <v>312.1827941629416</v>
      </c>
      <c r="U18" s="47">
        <f t="shared" si="5"/>
        <v>-5.8650025961620802</v>
      </c>
    </row>
    <row r="19" spans="2:26" x14ac:dyDescent="0.2">
      <c r="B19" s="107" t="s">
        <v>73</v>
      </c>
      <c r="C19" s="185">
        <v>0</v>
      </c>
      <c r="D19" s="4">
        <f t="shared" si="13"/>
        <v>-4</v>
      </c>
      <c r="E19" s="4">
        <f t="shared" si="6"/>
        <v>14984.774119821197</v>
      </c>
      <c r="F19" s="4">
        <f t="shared" si="7"/>
        <v>701.95500086538743</v>
      </c>
      <c r="G19" s="97">
        <v>5</v>
      </c>
      <c r="H19" s="188">
        <f t="shared" si="0"/>
        <v>468.27419124441241</v>
      </c>
      <c r="J19" s="85" t="s">
        <v>73</v>
      </c>
      <c r="K19" s="4">
        <f t="shared" si="1"/>
        <v>468.27419124441241</v>
      </c>
      <c r="L19" s="4">
        <f t="shared" si="2"/>
        <v>996.08999826922525</v>
      </c>
      <c r="M19" s="4">
        <f t="shared" si="8"/>
        <v>107.82000346154977</v>
      </c>
      <c r="N19" s="47">
        <f t="shared" si="9"/>
        <v>2025</v>
      </c>
      <c r="P19" s="123" t="str">
        <f t="shared" si="10"/>
        <v>A#</v>
      </c>
      <c r="Q19" s="4">
        <f t="shared" si="11"/>
        <v>469.33298630758264</v>
      </c>
      <c r="R19" s="4">
        <f t="shared" si="12"/>
        <v>-3.910001730775444</v>
      </c>
      <c r="S19" s="145" t="str">
        <f t="shared" si="3"/>
        <v>A#</v>
      </c>
      <c r="T19" s="4">
        <f t="shared" si="4"/>
        <v>468.27419124441241</v>
      </c>
      <c r="U19" s="47">
        <f t="shared" si="5"/>
        <v>-3.910001730775444</v>
      </c>
    </row>
    <row r="20" spans="2:26" x14ac:dyDescent="0.2">
      <c r="B20" s="107" t="s">
        <v>5</v>
      </c>
      <c r="C20" s="185">
        <v>0</v>
      </c>
      <c r="D20" s="4">
        <f t="shared" si="13"/>
        <v>-4</v>
      </c>
      <c r="E20" s="4">
        <f t="shared" si="6"/>
        <v>22477.161179731796</v>
      </c>
      <c r="F20" s="4">
        <f t="shared" si="7"/>
        <v>701.95500086538743</v>
      </c>
      <c r="G20" s="97">
        <v>6</v>
      </c>
      <c r="H20" s="188">
        <f t="shared" si="0"/>
        <v>351.20564343330932</v>
      </c>
      <c r="J20" s="85" t="s">
        <v>8</v>
      </c>
      <c r="K20" s="4">
        <f t="shared" si="1"/>
        <v>495.00000000000011</v>
      </c>
      <c r="L20" s="4">
        <f t="shared" si="2"/>
        <v>1092.1799965384505</v>
      </c>
      <c r="M20" s="4">
        <f t="shared" si="8"/>
        <v>96.089998269224949</v>
      </c>
      <c r="N20" s="47">
        <f t="shared" si="9"/>
        <v>1915.6671459998684</v>
      </c>
      <c r="P20" s="123" t="str">
        <f t="shared" si="10"/>
        <v>B</v>
      </c>
      <c r="Q20" s="4">
        <f t="shared" si="11"/>
        <v>497.24097795832029</v>
      </c>
      <c r="R20" s="4">
        <f t="shared" si="12"/>
        <v>-7.8200034615502698</v>
      </c>
      <c r="S20" s="145" t="str">
        <f t="shared" si="3"/>
        <v>F</v>
      </c>
      <c r="T20" s="4">
        <f t="shared" si="4"/>
        <v>351.20564343330932</v>
      </c>
      <c r="U20" s="47">
        <f t="shared" si="5"/>
        <v>-1.955000865387585</v>
      </c>
    </row>
    <row r="21" spans="2:26" x14ac:dyDescent="0.2">
      <c r="B21" s="108" t="s">
        <v>78</v>
      </c>
      <c r="C21" s="186">
        <v>0</v>
      </c>
      <c r="D21" s="53">
        <f t="shared" si="13"/>
        <v>-4</v>
      </c>
      <c r="E21" s="53">
        <f t="shared" si="6"/>
        <v>33715.741769597691</v>
      </c>
      <c r="F21" s="53">
        <f t="shared" si="7"/>
        <v>701.95500086538721</v>
      </c>
      <c r="G21" s="98">
        <v>6</v>
      </c>
      <c r="H21" s="48">
        <f t="shared" si="0"/>
        <v>526.80846514996392</v>
      </c>
      <c r="J21" s="87" t="s">
        <v>78</v>
      </c>
      <c r="K21" s="53">
        <f t="shared" si="1"/>
        <v>526.80846514996392</v>
      </c>
      <c r="L21" s="53">
        <f t="shared" si="2"/>
        <v>1200</v>
      </c>
      <c r="M21" s="53">
        <f t="shared" si="8"/>
        <v>107.82000346154977</v>
      </c>
      <c r="N21" s="48">
        <f t="shared" si="9"/>
        <v>1800</v>
      </c>
      <c r="P21" s="108" t="str">
        <f t="shared" si="10"/>
        <v>c oct.</v>
      </c>
      <c r="Q21" s="53">
        <f t="shared" si="11"/>
        <v>526.80846514996415</v>
      </c>
      <c r="R21" s="53">
        <f t="shared" si="12"/>
        <v>-7.6882236091558047E-13</v>
      </c>
      <c r="S21" s="151" t="str">
        <f t="shared" si="3"/>
        <v>c oct.</v>
      </c>
      <c r="T21" s="53">
        <f t="shared" si="4"/>
        <v>526.80846514996392</v>
      </c>
      <c r="U21" s="48">
        <f t="shared" si="5"/>
        <v>-7.6882236091558047E-13</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Werckmeister III Interval in cents</v>
      </c>
      <c r="F26" s="84" t="s">
        <v>18</v>
      </c>
      <c r="G26" s="52" t="str">
        <f>_xlfn.CONCAT("diff ",$F$2)</f>
        <v>diff 1/4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 si="14">LOG(D27*VLOOKUP(C27,Master_Frequencies,2,FALSE)/VLOOKUP(B27,Master_Frequencies,2,FALSE),2)*1200</f>
        <v>390.22499567306272</v>
      </c>
      <c r="F27" s="4">
        <f t="shared" ref="F27" si="15">VLOOKUP(B27,Master_Frequencies,2,FALSE)*5/4</f>
        <v>329.25529071872745</v>
      </c>
      <c r="G27" s="47">
        <f t="shared" ref="G27" si="16">IF($D$2="Cents",LOG(VLOOKUP(C27,Master_Frequencies,2,FALSE)/F27,2)*1200*$F$3,LOG(D27*VLOOKUP(C27,Master_Frequencies,2,FALSE)/F27,$F$3))</f>
        <v>-0.66688492359530105</v>
      </c>
      <c r="I27" s="123" t="s">
        <v>2</v>
      </c>
      <c r="J27" s="145" t="s">
        <v>6</v>
      </c>
      <c r="K27" s="97">
        <v>1</v>
      </c>
      <c r="L27" s="191">
        <f t="shared" ref="L27" si="17">K27*VLOOKUP(J27,Master_Frequencies,2,FALSE)/VLOOKUP(I27,Master_Frequencies,2,FALSE)</f>
        <v>1.4949269604510482</v>
      </c>
      <c r="M27" s="145" t="s">
        <v>2</v>
      </c>
      <c r="N27" s="145" t="s">
        <v>4</v>
      </c>
      <c r="O27" s="191">
        <f t="shared" ref="O27" si="18">D27*VLOOKUP(N27,Master_Frequencies,2,FALSE)/VLOOKUP(M27,Master_Frequencies,2,FALSE)</f>
        <v>1.2528272487271463</v>
      </c>
      <c r="Q27" s="99">
        <v>1</v>
      </c>
      <c r="R27" s="18">
        <f>$E$9*Q27</f>
        <v>263.40423257498196</v>
      </c>
      <c r="S27" s="97">
        <v>0</v>
      </c>
      <c r="T27" s="4">
        <f>R27/POWER(2,S27)</f>
        <v>263.40423257498196</v>
      </c>
      <c r="U27" s="18" t="str" cm="1">
        <f t="array" ref="U27">_xlfn.XLOOKUP(0,ABS($C$44:$C$56-T27),$B$44:$B$56,,1)</f>
        <v>C</v>
      </c>
      <c r="V27" s="47">
        <f t="shared" ref="V27" si="19">LOG(T27/VLOOKUP(U27,Master_Frequencies,2,FALSE),2)*1200</f>
        <v>0</v>
      </c>
      <c r="X27" s="85" t="s">
        <v>2</v>
      </c>
      <c r="Y27" s="4">
        <f t="shared" ref="Y27" si="20">VLOOKUP(X27,Master_Frequencies,2,FALSE)/POWER(2,$Z$25)</f>
        <v>131.70211628749098</v>
      </c>
      <c r="Z27" s="47">
        <f t="shared" ref="Z27" si="21">VLOOKUP(X27,Master_Frequencies,2,FALSE)*POWER(2,$Z$25)</f>
        <v>526.80846514996392</v>
      </c>
    </row>
    <row r="28" spans="2:26" x14ac:dyDescent="0.2">
      <c r="B28" s="123" t="s">
        <v>74</v>
      </c>
      <c r="C28" s="145" t="s">
        <v>5</v>
      </c>
      <c r="D28" s="97">
        <v>1</v>
      </c>
      <c r="E28" s="4">
        <f t="shared" ref="E28" si="22">LOG(D28*VLOOKUP(C28,Master_Frequencies,2,FALSE)/VLOOKUP(B28,Master_Frequencies,2,FALSE),2)*1200</f>
        <v>407.82000346154967</v>
      </c>
      <c r="F28" s="4">
        <f t="shared" ref="F28" si="23">VLOOKUP(B28,Master_Frequencies,2,FALSE)*5/4</f>
        <v>346.86977129215734</v>
      </c>
      <c r="G28" s="47">
        <f t="shared" ref="G28" si="24">IF($D$2="Cents",LOG(VLOOKUP(C28,Master_Frequencies,2,FALSE)/F28,2)*1200*$F$3,LOG(D28*VLOOKUP(C28,Master_Frequencies,2,FALSE)/F28,$F$3))</f>
        <v>-3.6668849235953078</v>
      </c>
      <c r="I28" s="123" t="s">
        <v>74</v>
      </c>
      <c r="J28" s="145" t="s">
        <v>72</v>
      </c>
      <c r="K28" s="97">
        <v>1</v>
      </c>
      <c r="L28" s="191">
        <f t="shared" ref="L28" si="25">K28*VLOOKUP(J28,Master_Frequencies,2,FALSE)/VLOOKUP(I28,Master_Frequencies,2,FALSE)</f>
        <v>1.5</v>
      </c>
      <c r="M28" s="145" t="s">
        <v>74</v>
      </c>
      <c r="N28" s="145" t="s">
        <v>5</v>
      </c>
      <c r="O28" s="191">
        <f t="shared" ref="O28" si="26">D28*VLOOKUP(N28,Master_Frequencies,2,FALSE)/VLOOKUP(M28,Master_Frequencies,2,FALSE)</f>
        <v>1.265625</v>
      </c>
      <c r="Q28" s="99">
        <v>2</v>
      </c>
      <c r="R28" s="18">
        <f t="shared" ref="R28:R39" si="27">$E$9*Q28</f>
        <v>526.80846514996392</v>
      </c>
      <c r="S28" s="97">
        <v>0</v>
      </c>
      <c r="T28" s="4">
        <f t="shared" ref="T28:T39" si="28">R28/POWER(2,S28)</f>
        <v>526.80846514996392</v>
      </c>
      <c r="U28" s="18" t="str" cm="1">
        <f t="array" ref="U28">_xlfn.XLOOKUP(0,ABS($C$44:$C$56-T28),$B$44:$B$56,,1)</f>
        <v>c oct.</v>
      </c>
      <c r="V28" s="47">
        <f t="shared" ref="V28" si="29">LOG(T28/VLOOKUP(U28,Master_Frequencies,2,FALSE),2)*1200</f>
        <v>0</v>
      </c>
      <c r="X28" s="85" t="s">
        <v>74</v>
      </c>
      <c r="Y28" s="4">
        <f t="shared" ref="Y28" si="30">VLOOKUP(X28,Master_Frequencies,2,FALSE)/POWER(2,$Z$25)</f>
        <v>138.74790851686294</v>
      </c>
      <c r="Z28" s="47">
        <f t="shared" ref="Z28" si="31">VLOOKUP(X28,Master_Frequencies,2,FALSE)*POWER(2,$Z$25)</f>
        <v>554.99163406745174</v>
      </c>
    </row>
    <row r="29" spans="2:26" x14ac:dyDescent="0.2">
      <c r="B29" s="123" t="s">
        <v>3</v>
      </c>
      <c r="C29" s="145" t="s">
        <v>70</v>
      </c>
      <c r="D29" s="97">
        <v>1</v>
      </c>
      <c r="E29" s="4">
        <f t="shared" ref="E29" si="32">LOG(D29*VLOOKUP(C29,Master_Frequencies,2,FALSE)/VLOOKUP(B29,Master_Frequencies,2,FALSE),2)*1200</f>
        <v>396.08999826922536</v>
      </c>
      <c r="F29" s="4">
        <f t="shared" ref="F29" si="33">VLOOKUP(B29,Master_Frequencies,2,FALSE)*5/4</f>
        <v>367.91095120396687</v>
      </c>
      <c r="G29" s="47">
        <f t="shared" ref="G29" si="34">IF($D$2="Cents",LOG(VLOOKUP(C29,Master_Frequencies,2,FALSE)/F29,2)*1200*$F$3,LOG(D29*VLOOKUP(C29,Master_Frequencies,2,FALSE)/F29,$F$3))</f>
        <v>-1.6668849235954113</v>
      </c>
      <c r="I29" s="123" t="s">
        <v>3</v>
      </c>
      <c r="J29" s="145" t="s">
        <v>7</v>
      </c>
      <c r="K29" s="97">
        <v>1</v>
      </c>
      <c r="L29" s="191">
        <f t="shared" ref="L29" si="35">K29*VLOOKUP(J29,Master_Frequencies,2,FALSE)/VLOOKUP(I29,Master_Frequencies,2,FALSE)</f>
        <v>1.494926960451048</v>
      </c>
      <c r="M29" s="145" t="s">
        <v>3</v>
      </c>
      <c r="N29" s="145" t="s">
        <v>70</v>
      </c>
      <c r="O29" s="191">
        <f t="shared" ref="O29" si="36">D29*VLOOKUP(N29,Master_Frequencies,2,FALSE)/VLOOKUP(M29,Master_Frequencies,2,FALSE)</f>
        <v>1.257078722109418</v>
      </c>
      <c r="Q29" s="99">
        <v>3</v>
      </c>
      <c r="R29" s="18">
        <f t="shared" si="27"/>
        <v>790.21269772494588</v>
      </c>
      <c r="S29" s="97">
        <v>1</v>
      </c>
      <c r="T29" s="4">
        <f t="shared" si="28"/>
        <v>395.10634886247294</v>
      </c>
      <c r="U29" s="18" t="str" cm="1">
        <f t="array" ref="U29">_xlfn.XLOOKUP(0,ABS($C$44:$C$56-T29),$B$44:$B$56,,1)</f>
        <v>G</v>
      </c>
      <c r="V29" s="47">
        <f t="shared" ref="V29" si="37">LOG(T29/VLOOKUP(U29,Master_Frequencies,2,FALSE),2)*1200</f>
        <v>5.8650025961623031</v>
      </c>
      <c r="X29" s="85" t="s">
        <v>3</v>
      </c>
      <c r="Y29" s="4">
        <f t="shared" ref="Y29" si="38">VLOOKUP(X29,Master_Frequencies,2,FALSE)/POWER(2,$Z$25)</f>
        <v>147.16438048158676</v>
      </c>
      <c r="Z29" s="47">
        <f t="shared" ref="Z29" si="39">VLOOKUP(X29,Master_Frequencies,2,FALSE)*POWER(2,$Z$25)</f>
        <v>588.65752192634704</v>
      </c>
    </row>
    <row r="30" spans="2:26" x14ac:dyDescent="0.2">
      <c r="B30" s="123" t="s">
        <v>76</v>
      </c>
      <c r="C30" s="145" t="s">
        <v>6</v>
      </c>
      <c r="D30" s="97">
        <v>1</v>
      </c>
      <c r="E30" s="4">
        <f t="shared" ref="E30" si="40">LOG(D30*VLOOKUP(C30,Master_Frequencies,2,FALSE)/VLOOKUP(B30,Master_Frequencies,2,FALSE),2)*1200</f>
        <v>401.95500086538743</v>
      </c>
      <c r="F30" s="4">
        <f t="shared" ref="F30" si="41">VLOOKUP(B30,Master_Frequencies,2,FALSE)*5/4</f>
        <v>390.22849270367703</v>
      </c>
      <c r="G30" s="47">
        <f t="shared" ref="G30" si="42">IF($D$2="Cents",LOG(VLOOKUP(C30,Master_Frequencies,2,FALSE)/F30,2)*1200*$F$3,LOG(D30*VLOOKUP(C30,Master_Frequencies,2,FALSE)/F30,$F$3))</f>
        <v>-2.6668849235952834</v>
      </c>
      <c r="I30" s="123" t="s">
        <v>76</v>
      </c>
      <c r="J30" s="145" t="s">
        <v>73</v>
      </c>
      <c r="K30" s="97">
        <v>1</v>
      </c>
      <c r="L30" s="191">
        <f t="shared" ref="L30" si="43">K30*VLOOKUP(J30,Master_Frequencies,2,FALSE)/VLOOKUP(I30,Master_Frequencies,2,FALSE)</f>
        <v>1.5</v>
      </c>
      <c r="M30" s="145" t="s">
        <v>76</v>
      </c>
      <c r="N30" s="145" t="s">
        <v>6</v>
      </c>
      <c r="O30" s="191">
        <f t="shared" ref="O30" si="44">D30*VLOOKUP(N30,Master_Frequencies,2,FALSE)/VLOOKUP(M30,Master_Frequencies,2,FALSE)</f>
        <v>1.2613446228805718</v>
      </c>
      <c r="Q30" s="99">
        <v>4</v>
      </c>
      <c r="R30" s="18">
        <f t="shared" si="27"/>
        <v>1053.6169302999278</v>
      </c>
      <c r="S30" s="97">
        <v>1</v>
      </c>
      <c r="T30" s="4">
        <f t="shared" si="28"/>
        <v>526.80846514996392</v>
      </c>
      <c r="U30" s="18" t="str" cm="1">
        <f t="array" ref="U30">_xlfn.XLOOKUP(0,ABS($C$44:$C$56-T30),$B$44:$B$56,,1)</f>
        <v>c oct.</v>
      </c>
      <c r="V30" s="47">
        <f t="shared" ref="V30" si="45">LOG(T30/VLOOKUP(U30,Master_Frequencies,2,FALSE),2)*1200</f>
        <v>0</v>
      </c>
      <c r="X30" s="85" t="s">
        <v>76</v>
      </c>
      <c r="Y30" s="4">
        <f t="shared" ref="Y30" si="46">VLOOKUP(X30,Master_Frequencies,2,FALSE)/POWER(2,$Z$25)</f>
        <v>156.0913970814708</v>
      </c>
      <c r="Z30" s="47">
        <f t="shared" ref="Z30" si="47">VLOOKUP(X30,Master_Frequencies,2,FALSE)*POWER(2,$Z$25)</f>
        <v>624.36558832588321</v>
      </c>
    </row>
    <row r="31" spans="2:26" x14ac:dyDescent="0.2">
      <c r="B31" s="123" t="s">
        <v>4</v>
      </c>
      <c r="C31" s="145" t="s">
        <v>72</v>
      </c>
      <c r="D31" s="97">
        <v>1</v>
      </c>
      <c r="E31" s="4">
        <f t="shared" ref="E31" si="48">LOG(D31*VLOOKUP(C31,Master_Frequencies,2,FALSE)/VLOOKUP(B31,Master_Frequencies,2,FALSE),2)*1200</f>
        <v>401.95500086538777</v>
      </c>
      <c r="F31" s="4">
        <f t="shared" ref="F31" si="49">VLOOKUP(B31,Master_Frequencies,2,FALSE)*5/4</f>
        <v>412.50000000000006</v>
      </c>
      <c r="G31" s="47">
        <f t="shared" ref="G31" si="50">IF($D$2="Cents",LOG(VLOOKUP(C31,Master_Frequencies,2,FALSE)/F31,2)*1200*$F$3,LOG(D31*VLOOKUP(C31,Master_Frequencies,2,FALSE)/F31,$F$3))</f>
        <v>-2.6668849235953482</v>
      </c>
      <c r="I31" s="123" t="s">
        <v>4</v>
      </c>
      <c r="J31" s="145" t="s">
        <v>8</v>
      </c>
      <c r="K31" s="97">
        <v>1</v>
      </c>
      <c r="L31" s="191">
        <f t="shared" ref="L31" si="51">K31*VLOOKUP(J31,Master_Frequencies,2,FALSE)/VLOOKUP(I31,Master_Frequencies,2,FALSE)</f>
        <v>1.5</v>
      </c>
      <c r="M31" s="145" t="s">
        <v>4</v>
      </c>
      <c r="N31" s="145" t="s">
        <v>72</v>
      </c>
      <c r="O31" s="191">
        <f t="shared" ref="O31" si="52">D31*VLOOKUP(N31,Master_Frequencies,2,FALSE)/VLOOKUP(M31,Master_Frequencies,2,FALSE)</f>
        <v>1.261344622880572</v>
      </c>
      <c r="Q31" s="99">
        <v>5</v>
      </c>
      <c r="R31" s="18">
        <f t="shared" si="27"/>
        <v>1317.0211628749098</v>
      </c>
      <c r="S31" s="97">
        <v>2</v>
      </c>
      <c r="T31" s="4">
        <f t="shared" si="28"/>
        <v>329.25529071872745</v>
      </c>
      <c r="U31" s="18" t="str" cm="1">
        <f t="array" ref="U31">_xlfn.XLOOKUP(0,ABS($C$44:$C$56-T31),$B$44:$B$56,,1)</f>
        <v>E</v>
      </c>
      <c r="V31" s="47">
        <f t="shared" ref="V31" si="53">LOG(T31/VLOOKUP(U31,Master_Frequencies,2,FALSE),2)*1200</f>
        <v>-3.911281808228086</v>
      </c>
      <c r="X31" s="85" t="s">
        <v>4</v>
      </c>
      <c r="Y31" s="4">
        <f t="shared" ref="Y31" si="54">VLOOKUP(X31,Master_Frequencies,2,FALSE)/POWER(2,$Z$25)</f>
        <v>165.00000000000003</v>
      </c>
      <c r="Z31" s="47">
        <f t="shared" ref="Z31" si="55">VLOOKUP(X31,Master_Frequencies,2,FALSE)*POWER(2,$Z$25)</f>
        <v>660.00000000000011</v>
      </c>
    </row>
    <row r="32" spans="2:26" x14ac:dyDescent="0.2">
      <c r="B32" s="123" t="s">
        <v>5</v>
      </c>
      <c r="C32" s="145" t="s">
        <v>7</v>
      </c>
      <c r="D32" s="97">
        <v>1</v>
      </c>
      <c r="E32" s="4">
        <f t="shared" ref="E32" si="56">LOG(D32*VLOOKUP(C32,Master_Frequencies,2,FALSE)/VLOOKUP(B32,Master_Frequencies,2,FALSE),2)*1200</f>
        <v>390.22499567306272</v>
      </c>
      <c r="F32" s="4">
        <f t="shared" ref="F32" si="57">VLOOKUP(B32,Master_Frequencies,2,FALSE)*5/4</f>
        <v>439.00705429163668</v>
      </c>
      <c r="G32" s="47">
        <f t="shared" ref="G32" si="58">IF($D$2="Cents",LOG(VLOOKUP(C32,Master_Frequencies,2,FALSE)/F32,2)*1200*$F$3,LOG(D32*VLOOKUP(C32,Master_Frequencies,2,FALSE)/F32,$F$3))</f>
        <v>-0.66688492359523566</v>
      </c>
      <c r="I32" s="123" t="s">
        <v>5</v>
      </c>
      <c r="J32" s="145" t="s">
        <v>78</v>
      </c>
      <c r="K32" s="97">
        <v>1</v>
      </c>
      <c r="L32" s="191">
        <f t="shared" ref="L32" si="59">K32*VLOOKUP(J32,Master_Frequencies,2,FALSE)/VLOOKUP(I32,Master_Frequencies,2,FALSE)</f>
        <v>1.4999999999999998</v>
      </c>
      <c r="M32" s="145" t="s">
        <v>5</v>
      </c>
      <c r="N32" s="145" t="s">
        <v>7</v>
      </c>
      <c r="O32" s="191">
        <f t="shared" ref="O32" si="60">D32*VLOOKUP(N32,Master_Frequencies,2,FALSE)/VLOOKUP(M32,Master_Frequencies,2,FALSE)</f>
        <v>1.2528272487271463</v>
      </c>
      <c r="Q32" s="99">
        <v>6</v>
      </c>
      <c r="R32" s="18">
        <f t="shared" si="27"/>
        <v>1580.4253954498918</v>
      </c>
      <c r="S32" s="97">
        <v>2</v>
      </c>
      <c r="T32" s="4">
        <f t="shared" si="28"/>
        <v>395.10634886247294</v>
      </c>
      <c r="U32" s="18" t="str" cm="1">
        <f t="array" ref="U32">_xlfn.XLOOKUP(0,ABS($C$44:$C$56-T32),$B$44:$B$56,,1)</f>
        <v>G</v>
      </c>
      <c r="V32" s="47">
        <f t="shared" ref="V32" si="61">LOG(T32/VLOOKUP(U32,Master_Frequencies,2,FALSE),2)*1200</f>
        <v>5.8650025961623031</v>
      </c>
      <c r="X32" s="85" t="s">
        <v>5</v>
      </c>
      <c r="Y32" s="4">
        <f t="shared" ref="Y32" si="62">VLOOKUP(X32,Master_Frequencies,2,FALSE)/POWER(2,$Z$25)</f>
        <v>175.60282171665466</v>
      </c>
      <c r="Z32" s="47">
        <f t="shared" ref="Z32" si="63">VLOOKUP(X32,Master_Frequencies,2,FALSE)*POWER(2,$Z$25)</f>
        <v>702.41128686661864</v>
      </c>
    </row>
    <row r="33" spans="2:26" x14ac:dyDescent="0.2">
      <c r="B33" s="123" t="s">
        <v>70</v>
      </c>
      <c r="C33" s="145" t="s">
        <v>73</v>
      </c>
      <c r="D33" s="97">
        <v>1</v>
      </c>
      <c r="E33" s="4">
        <f t="shared" ref="E33" si="64">LOG(D33*VLOOKUP(C33,Master_Frequencies,2,FALSE)/VLOOKUP(B33,Master_Frequencies,2,FALSE),2)*1200</f>
        <v>407.82000346154967</v>
      </c>
      <c r="F33" s="4">
        <f t="shared" ref="F33" si="65">VLOOKUP(B33,Master_Frequencies,2,FALSE)*5/4</f>
        <v>462.49302838954316</v>
      </c>
      <c r="G33" s="47">
        <f t="shared" ref="G33" si="66">IF($D$2="Cents",LOG(VLOOKUP(C33,Master_Frequencies,2,FALSE)/F33,2)*1200*$F$3,LOG(D33*VLOOKUP(C33,Master_Frequencies,2,FALSE)/F33,$F$3))</f>
        <v>-3.6668849235953078</v>
      </c>
      <c r="I33" s="123" t="s">
        <v>70</v>
      </c>
      <c r="J33" s="145" t="s">
        <v>74</v>
      </c>
      <c r="K33" s="97">
        <v>2</v>
      </c>
      <c r="L33" s="191">
        <f t="shared" ref="L33" si="67">K33*VLOOKUP(J33,Master_Frequencies,2,FALSE)/VLOOKUP(I33,Master_Frequencies,2,FALSE)</f>
        <v>1.5</v>
      </c>
      <c r="M33" s="145" t="s">
        <v>70</v>
      </c>
      <c r="N33" s="145" t="s">
        <v>73</v>
      </c>
      <c r="O33" s="191">
        <f t="shared" ref="O33" si="68">D33*VLOOKUP(N33,Master_Frequencies,2,FALSE)/VLOOKUP(M33,Master_Frequencies,2,FALSE)</f>
        <v>1.265625</v>
      </c>
      <c r="Q33" s="99">
        <v>7</v>
      </c>
      <c r="R33" s="18">
        <f t="shared" si="27"/>
        <v>1843.8296280248737</v>
      </c>
      <c r="S33" s="97">
        <v>2</v>
      </c>
      <c r="T33" s="4">
        <f t="shared" si="28"/>
        <v>460.95740700621843</v>
      </c>
      <c r="U33" s="18" t="str" cm="1">
        <f t="array" ref="U33">_xlfn.XLOOKUP(0,ABS($C$44:$C$56-T33),$B$44:$B$56,,1)</f>
        <v>A#</v>
      </c>
      <c r="V33" s="47">
        <f t="shared" ref="V33" si="69">LOG(T33/VLOOKUP(U33,Master_Frequencies,2,FALSE),2)*1200</f>
        <v>-27.264091800100434</v>
      </c>
      <c r="X33" s="85" t="s">
        <v>70</v>
      </c>
      <c r="Y33" s="4">
        <f t="shared" ref="Y33" si="70">VLOOKUP(X33,Master_Frequencies,2,FALSE)/POWER(2,$Z$25)</f>
        <v>184.99721135581726</v>
      </c>
      <c r="Z33" s="47">
        <f t="shared" ref="Z33" si="71">VLOOKUP(X33,Master_Frequencies,2,FALSE)*POWER(2,$Z$25)</f>
        <v>739.98884542326903</v>
      </c>
    </row>
    <row r="34" spans="2:26" x14ac:dyDescent="0.2">
      <c r="B34" s="123" t="s">
        <v>6</v>
      </c>
      <c r="C34" s="145" t="s">
        <v>8</v>
      </c>
      <c r="D34" s="97">
        <v>1</v>
      </c>
      <c r="E34" s="4">
        <f t="shared" ref="E34" si="72">LOG(D34*VLOOKUP(C34,Master_Frequencies,2,FALSE)/VLOOKUP(B34,Master_Frequencies,2,FALSE),2)*1200</f>
        <v>396.08999826922508</v>
      </c>
      <c r="F34" s="4">
        <f t="shared" ref="F34" si="73">VLOOKUP(B34,Master_Frequencies,2,FALSE)*5/4</f>
        <v>492.21261096657344</v>
      </c>
      <c r="G34" s="47">
        <f t="shared" ref="G34" si="74">IF($D$2="Cents",LOG(VLOOKUP(C34,Master_Frequencies,2,FALSE)/F34,2)*1200*$F$3,LOG(D34*VLOOKUP(C34,Master_Frequencies,2,FALSE)/F34,$F$3))</f>
        <v>-1.666884923595346</v>
      </c>
      <c r="I34" s="123" t="s">
        <v>6</v>
      </c>
      <c r="J34" s="145" t="s">
        <v>3</v>
      </c>
      <c r="K34" s="97">
        <v>2</v>
      </c>
      <c r="L34" s="191">
        <f t="shared" ref="L34" si="75">K34*VLOOKUP(J34,Master_Frequencies,2,FALSE)/VLOOKUP(I34,Master_Frequencies,2,FALSE)</f>
        <v>1.494926960451048</v>
      </c>
      <c r="M34" s="145" t="s">
        <v>6</v>
      </c>
      <c r="N34" s="145" t="s">
        <v>8</v>
      </c>
      <c r="O34" s="191">
        <f t="shared" ref="O34" si="76">D34*VLOOKUP(N34,Master_Frequencies,2,FALSE)/VLOOKUP(M34,Master_Frequencies,2,FALSE)</f>
        <v>1.2570787221094177</v>
      </c>
      <c r="Q34" s="99">
        <v>8</v>
      </c>
      <c r="R34" s="18">
        <f t="shared" si="27"/>
        <v>2107.2338605998557</v>
      </c>
      <c r="S34" s="97">
        <v>3</v>
      </c>
      <c r="T34" s="4">
        <f t="shared" si="28"/>
        <v>263.40423257498196</v>
      </c>
      <c r="U34" s="18" t="str" cm="1">
        <f t="array" ref="U34">_xlfn.XLOOKUP(0,ABS($C$44:$C$56-T34),$B$44:$B$56,,1)</f>
        <v>C</v>
      </c>
      <c r="V34" s="47">
        <f t="shared" ref="V34" si="77">LOG(T34/VLOOKUP(U34,Master_Frequencies,2,FALSE),2)*1200</f>
        <v>0</v>
      </c>
      <c r="X34" s="85" t="s">
        <v>6</v>
      </c>
      <c r="Y34" s="4">
        <f t="shared" ref="Y34" si="78">VLOOKUP(X34,Master_Frequencies,2,FALSE)/POWER(2,$Z$25)</f>
        <v>196.88504438662937</v>
      </c>
      <c r="Z34" s="47">
        <f t="shared" ref="Z34" si="79">VLOOKUP(X34,Master_Frequencies,2,FALSE)*POWER(2,$Z$25)</f>
        <v>787.5401775465175</v>
      </c>
    </row>
    <row r="35" spans="2:26" x14ac:dyDescent="0.2">
      <c r="B35" s="123" t="s">
        <v>72</v>
      </c>
      <c r="C35" s="145" t="s">
        <v>78</v>
      </c>
      <c r="D35" s="97">
        <v>1</v>
      </c>
      <c r="E35" s="4">
        <f t="shared" ref="E35" si="80">LOG(D35*VLOOKUP(C35,Master_Frequencies,2,FALSE)/VLOOKUP(B35,Master_Frequencies,2,FALSE),2)*1200</f>
        <v>407.82000346154967</v>
      </c>
      <c r="F35" s="4">
        <f t="shared" ref="F35" si="81">VLOOKUP(B35,Master_Frequencies,2,FALSE)*5/4</f>
        <v>520.30465693823601</v>
      </c>
      <c r="G35" s="47">
        <f t="shared" ref="G35" si="82">IF($D$2="Cents",LOG(VLOOKUP(C35,Master_Frequencies,2,FALSE)/F35,2)*1200*$F$3,LOG(D35*VLOOKUP(C35,Master_Frequencies,2,FALSE)/F35,$F$3))</f>
        <v>-3.6668849235953078</v>
      </c>
      <c r="I35" s="123" t="s">
        <v>72</v>
      </c>
      <c r="J35" s="145" t="s">
        <v>76</v>
      </c>
      <c r="K35" s="97">
        <v>2</v>
      </c>
      <c r="L35" s="191">
        <f t="shared" ref="L35" si="83">K35*VLOOKUP(J35,Master_Frequencies,2,FALSE)/VLOOKUP(I35,Master_Frequencies,2,FALSE)</f>
        <v>1.5</v>
      </c>
      <c r="M35" s="145" t="s">
        <v>72</v>
      </c>
      <c r="N35" s="145" t="s">
        <v>78</v>
      </c>
      <c r="O35" s="191">
        <f t="shared" ref="O35" si="84">D35*VLOOKUP(N35,Master_Frequencies,2,FALSE)/VLOOKUP(M35,Master_Frequencies,2,FALSE)</f>
        <v>1.265625</v>
      </c>
      <c r="Q35" s="99">
        <v>9</v>
      </c>
      <c r="R35" s="18">
        <f t="shared" si="27"/>
        <v>2370.6380931748376</v>
      </c>
      <c r="S35" s="97">
        <v>3</v>
      </c>
      <c r="T35" s="4">
        <f t="shared" si="28"/>
        <v>296.32976164685471</v>
      </c>
      <c r="U35" s="18" t="str" cm="1">
        <f t="array" ref="U35">_xlfn.XLOOKUP(0,ABS($C$44:$C$56-T35),$B$44:$B$56,,1)</f>
        <v>D</v>
      </c>
      <c r="V35" s="47">
        <f t="shared" ref="V35" si="85">LOG(T35/VLOOKUP(U35,Master_Frequencies,2,FALSE),2)*1200</f>
        <v>11.730005192324361</v>
      </c>
      <c r="X35" s="85" t="s">
        <v>72</v>
      </c>
      <c r="Y35" s="4">
        <f t="shared" ref="Y35" si="86">VLOOKUP(X35,Master_Frequencies,2,FALSE)/POWER(2,$Z$25)</f>
        <v>208.1218627752944</v>
      </c>
      <c r="Z35" s="47">
        <f t="shared" ref="Z35" si="87">VLOOKUP(X35,Master_Frequencies,2,FALSE)*POWER(2,$Z$25)</f>
        <v>832.48745110117761</v>
      </c>
    </row>
    <row r="36" spans="2:26" x14ac:dyDescent="0.2">
      <c r="B36" s="123" t="s">
        <v>7</v>
      </c>
      <c r="C36" s="145" t="s">
        <v>74</v>
      </c>
      <c r="D36" s="97">
        <v>2</v>
      </c>
      <c r="E36" s="4">
        <f t="shared" ref="E36" si="88">LOG(D36*VLOOKUP(C36,Master_Frequencies,2,FALSE)/VLOOKUP(B36,Master_Frequencies,2,FALSE),2)*1200</f>
        <v>401.95500086538777</v>
      </c>
      <c r="F36" s="4">
        <f t="shared" ref="F36" si="89">VLOOKUP(B36,Master_Frequencies,2,FALSE)*5/4</f>
        <v>550.00000000000011</v>
      </c>
      <c r="G36" s="47">
        <f t="shared" ref="G36" si="90">IF($D$2="Cents",LOG(VLOOKUP(C36,Master_Frequencies,2,FALSE)/F36,2)*1200*$F$3,LOG(D36*VLOOKUP(C36,Master_Frequencies,2,FALSE)/F36,$F$3))</f>
        <v>-2.6668849235953482</v>
      </c>
      <c r="I36" s="123" t="s">
        <v>7</v>
      </c>
      <c r="J36" s="145" t="s">
        <v>4</v>
      </c>
      <c r="K36" s="97">
        <v>2</v>
      </c>
      <c r="L36" s="191">
        <f t="shared" ref="L36" si="91">K36*VLOOKUP(J36,Master_Frequencies,2,FALSE)/VLOOKUP(I36,Master_Frequencies,2,FALSE)</f>
        <v>1.5</v>
      </c>
      <c r="M36" s="145" t="s">
        <v>7</v>
      </c>
      <c r="N36" s="145" t="s">
        <v>74</v>
      </c>
      <c r="O36" s="191">
        <f t="shared" ref="O36" si="92">D36*VLOOKUP(N36,Master_Frequencies,2,FALSE)/VLOOKUP(M36,Master_Frequencies,2,FALSE)</f>
        <v>1.261344622880572</v>
      </c>
      <c r="Q36" s="99">
        <v>10</v>
      </c>
      <c r="R36" s="18">
        <f t="shared" si="27"/>
        <v>2634.0423257498196</v>
      </c>
      <c r="S36" s="97">
        <v>3</v>
      </c>
      <c r="T36" s="4">
        <f t="shared" si="28"/>
        <v>329.25529071872745</v>
      </c>
      <c r="U36" s="18" t="str" cm="1">
        <f t="array" ref="U36">_xlfn.XLOOKUP(0,ABS($C$44:$C$56-T36),$B$44:$B$56,,1)</f>
        <v>E</v>
      </c>
      <c r="V36" s="47">
        <f t="shared" ref="V36" si="93">LOG(T36/VLOOKUP(U36,Master_Frequencies,2,FALSE),2)*1200</f>
        <v>-3.911281808228086</v>
      </c>
      <c r="X36" s="85" t="s">
        <v>7</v>
      </c>
      <c r="Y36" s="4">
        <f t="shared" ref="Y36" si="94">VLOOKUP(X36,Master_Frequencies,2,FALSE)/POWER(2,$Z$25)</f>
        <v>220.00000000000003</v>
      </c>
      <c r="Z36" s="47">
        <f t="shared" ref="Z36" si="95">VLOOKUP(X36,Master_Frequencies,2,FALSE)*POWER(2,$Z$25)</f>
        <v>880.00000000000011</v>
      </c>
    </row>
    <row r="37" spans="2:26" x14ac:dyDescent="0.2">
      <c r="B37" s="123" t="s">
        <v>73</v>
      </c>
      <c r="C37" s="145" t="s">
        <v>3</v>
      </c>
      <c r="D37" s="97">
        <v>2</v>
      </c>
      <c r="E37" s="4">
        <f t="shared" ref="E37" si="96">LOG(D37*VLOOKUP(C37,Master_Frequencies,2,FALSE)/VLOOKUP(B37,Master_Frequencies,2,FALSE),2)*1200</f>
        <v>396.08999826922508</v>
      </c>
      <c r="F37" s="4">
        <f t="shared" ref="F37" si="97">VLOOKUP(B37,Master_Frequencies,2,FALSE)*5/4</f>
        <v>585.34273905551549</v>
      </c>
      <c r="G37" s="47">
        <f t="shared" ref="G37" si="98">IF($D$2="Cents",LOG(VLOOKUP(C37,Master_Frequencies,2,FALSE)/F37,2)*1200*$F$3,LOG(D37*VLOOKUP(C37,Master_Frequencies,2,FALSE)/F37,$F$3))</f>
        <v>-1.666884923595346</v>
      </c>
      <c r="I37" s="123" t="s">
        <v>73</v>
      </c>
      <c r="J37" s="145" t="s">
        <v>5</v>
      </c>
      <c r="K37" s="97">
        <v>2</v>
      </c>
      <c r="L37" s="191">
        <f t="shared" ref="L37" si="99">K37*VLOOKUP(J37,Master_Frequencies,2,FALSE)/VLOOKUP(I37,Master_Frequencies,2,FALSE)</f>
        <v>1.5</v>
      </c>
      <c r="M37" s="145" t="s">
        <v>73</v>
      </c>
      <c r="N37" s="145" t="s">
        <v>3</v>
      </c>
      <c r="O37" s="191">
        <f t="shared" ref="O37" si="100">D37*VLOOKUP(N37,Master_Frequencies,2,FALSE)/VLOOKUP(M37,Master_Frequencies,2,FALSE)</f>
        <v>1.2570787221094177</v>
      </c>
      <c r="Q37" s="99">
        <v>11</v>
      </c>
      <c r="R37" s="18">
        <f t="shared" si="27"/>
        <v>2897.4465583248016</v>
      </c>
      <c r="S37" s="97">
        <v>3</v>
      </c>
      <c r="T37" s="4">
        <f t="shared" si="28"/>
        <v>362.1808197906002</v>
      </c>
      <c r="U37" s="18" t="str" cm="1">
        <f t="array" ref="U37">_xlfn.XLOOKUP(0,ABS($C$44:$C$56-T37),$B$44:$B$56,,1)</f>
        <v>F#</v>
      </c>
      <c r="V37" s="47">
        <f t="shared" ref="V37" si="101">LOG(T37/VLOOKUP(U37,Master_Frequencies,2,FALSE),2)*1200</f>
        <v>-36.952052442918983</v>
      </c>
      <c r="X37" s="85" t="s">
        <v>73</v>
      </c>
      <c r="Y37" s="4">
        <f t="shared" ref="Y37" si="102">VLOOKUP(X37,Master_Frequencies,2,FALSE)/POWER(2,$Z$25)</f>
        <v>234.1370956222062</v>
      </c>
      <c r="Z37" s="47">
        <f t="shared" ref="Z37" si="103">VLOOKUP(X37,Master_Frequencies,2,FALSE)*POWER(2,$Z$25)</f>
        <v>936.54838248882481</v>
      </c>
    </row>
    <row r="38" spans="2:26" x14ac:dyDescent="0.2">
      <c r="B38" s="124" t="s">
        <v>8</v>
      </c>
      <c r="C38" s="153" t="s">
        <v>76</v>
      </c>
      <c r="D38" s="98">
        <v>2</v>
      </c>
      <c r="E38" s="53">
        <f t="shared" ref="E38" si="104">LOG(D38*VLOOKUP(C38,Master_Frequencies,2,FALSE)/VLOOKUP(B38,Master_Frequencies,2,FALSE),2)*1200</f>
        <v>401.95500086538743</v>
      </c>
      <c r="F38" s="53">
        <f t="shared" ref="F38" si="105">VLOOKUP(B38,Master_Frequencies,2,FALSE)*5/4</f>
        <v>618.75000000000011</v>
      </c>
      <c r="G38" s="48">
        <f t="shared" ref="G38" si="106">IF($D$2="Cents",LOG(VLOOKUP(C38,Master_Frequencies,2,FALSE)/F38,2)*1200*$F$3,LOG(D38*VLOOKUP(C38,Master_Frequencies,2,FALSE)/F38,$F$3))</f>
        <v>-2.6668849235953482</v>
      </c>
      <c r="I38" s="124" t="s">
        <v>8</v>
      </c>
      <c r="J38" s="153" t="s">
        <v>70</v>
      </c>
      <c r="K38" s="98">
        <v>2</v>
      </c>
      <c r="L38" s="192">
        <f t="shared" ref="L38" si="107">K38*VLOOKUP(J38,Master_Frequencies,2,FALSE)/VLOOKUP(I38,Master_Frequencies,2,FALSE)</f>
        <v>1.4949269604510482</v>
      </c>
      <c r="M38" s="153" t="s">
        <v>8</v>
      </c>
      <c r="N38" s="153" t="s">
        <v>76</v>
      </c>
      <c r="O38" s="192">
        <f t="shared" ref="O38" si="108">D38*VLOOKUP(N38,Master_Frequencies,2,FALSE)/VLOOKUP(M38,Master_Frequencies,2,FALSE)</f>
        <v>1.2613446228805718</v>
      </c>
      <c r="Q38" s="99">
        <v>12</v>
      </c>
      <c r="R38" s="18">
        <f t="shared" si="27"/>
        <v>3160.8507908997835</v>
      </c>
      <c r="S38" s="97">
        <v>3</v>
      </c>
      <c r="T38" s="4">
        <f t="shared" si="28"/>
        <v>395.10634886247294</v>
      </c>
      <c r="U38" s="18" t="str" cm="1">
        <f t="array" ref="U38">_xlfn.XLOOKUP(0,ABS($C$44:$C$56-T38),$B$44:$B$56,,1)</f>
        <v>G</v>
      </c>
      <c r="V38" s="47">
        <f t="shared" ref="V38" si="109">LOG(T38/VLOOKUP(U38,Master_Frequencies,2,FALSE),2)*1200</f>
        <v>5.8650025961623031</v>
      </c>
      <c r="X38" s="85" t="s">
        <v>8</v>
      </c>
      <c r="Y38" s="4">
        <f t="shared" ref="Y38" si="110">VLOOKUP(X38,Master_Frequencies,2,FALSE)/POWER(2,$Z$25)</f>
        <v>247.50000000000006</v>
      </c>
      <c r="Z38" s="47">
        <f t="shared" ref="Z38" si="111">VLOOKUP(X38,Master_Frequencies,2,FALSE)*POWER(2,$Z$25)</f>
        <v>990.00000000000023</v>
      </c>
    </row>
    <row r="39" spans="2:26" x14ac:dyDescent="0.2">
      <c r="Q39" s="100">
        <v>13</v>
      </c>
      <c r="R39" s="50">
        <f t="shared" si="27"/>
        <v>3424.2550234747655</v>
      </c>
      <c r="S39" s="98">
        <v>3</v>
      </c>
      <c r="T39" s="53">
        <f t="shared" si="28"/>
        <v>428.03187793434569</v>
      </c>
      <c r="U39" s="50" t="str" cm="1">
        <f t="array" ref="U39">_xlfn.XLOOKUP(0,ABS($C$44:$C$56-T39),$B$44:$B$56,,1)</f>
        <v>G#</v>
      </c>
      <c r="V39" s="48">
        <f t="shared" ref="V39" si="112">LOG(T39/VLOOKUP(U39,Master_Frequencies,2,FALSE),2)*1200</f>
        <v>48.347665230860265</v>
      </c>
      <c r="X39" s="87" t="s">
        <v>78</v>
      </c>
      <c r="Y39" s="53">
        <f t="shared" ref="Y39" si="113">VLOOKUP(X39,Master_Frequencies,2,FALSE)/POWER(2,$Z$25)</f>
        <v>263.40423257498196</v>
      </c>
      <c r="Z39" s="48">
        <f t="shared" ref="Z39" si="114">VLOOKUP(X39,Master_Frequencies,2,FALSE)*POWER(2,$Z$25)</f>
        <v>1053.6169302999278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263.40423257498196</v>
      </c>
    </row>
    <row r="45" spans="2:26" x14ac:dyDescent="0.2">
      <c r="B45" s="92" t="s">
        <v>74</v>
      </c>
      <c r="C45" s="93">
        <f t="shared" ref="C45:C56" si="115">VLOOKUP(B45,$B$9:$H$21,7,FALSE)</f>
        <v>277.49581703372587</v>
      </c>
    </row>
    <row r="46" spans="2:26" x14ac:dyDescent="0.2">
      <c r="B46" s="92" t="s">
        <v>3</v>
      </c>
      <c r="C46" s="93">
        <f t="shared" si="115"/>
        <v>294.32876096317352</v>
      </c>
    </row>
    <row r="47" spans="2:26" x14ac:dyDescent="0.2">
      <c r="B47" s="92" t="s">
        <v>76</v>
      </c>
      <c r="C47" s="93">
        <f t="shared" si="115"/>
        <v>312.1827941629416</v>
      </c>
    </row>
    <row r="48" spans="2:26" x14ac:dyDescent="0.2">
      <c r="B48" s="92" t="s">
        <v>4</v>
      </c>
      <c r="C48" s="93">
        <f t="shared" si="115"/>
        <v>330.00000000000006</v>
      </c>
    </row>
    <row r="49" spans="2:3" x14ac:dyDescent="0.2">
      <c r="B49" s="92" t="s">
        <v>5</v>
      </c>
      <c r="C49" s="93">
        <f t="shared" si="115"/>
        <v>351.20564343330932</v>
      </c>
    </row>
    <row r="50" spans="2:3" x14ac:dyDescent="0.2">
      <c r="B50" s="92" t="s">
        <v>70</v>
      </c>
      <c r="C50" s="93">
        <f t="shared" si="115"/>
        <v>369.99442271163451</v>
      </c>
    </row>
    <row r="51" spans="2:3" x14ac:dyDescent="0.2">
      <c r="B51" s="92" t="s">
        <v>6</v>
      </c>
      <c r="C51" s="93">
        <f t="shared" si="115"/>
        <v>393.77008877325875</v>
      </c>
    </row>
    <row r="52" spans="2:3" x14ac:dyDescent="0.2">
      <c r="B52" s="92" t="s">
        <v>72</v>
      </c>
      <c r="C52" s="93">
        <f t="shared" si="115"/>
        <v>416.24372555058881</v>
      </c>
    </row>
    <row r="53" spans="2:3" x14ac:dyDescent="0.2">
      <c r="B53" s="92" t="s">
        <v>7</v>
      </c>
      <c r="C53" s="93">
        <f t="shared" si="115"/>
        <v>440.00000000000006</v>
      </c>
    </row>
    <row r="54" spans="2:3" x14ac:dyDescent="0.2">
      <c r="B54" s="92" t="s">
        <v>73</v>
      </c>
      <c r="C54" s="93">
        <f t="shared" si="115"/>
        <v>468.27419124441241</v>
      </c>
    </row>
    <row r="55" spans="2:3" x14ac:dyDescent="0.2">
      <c r="B55" s="92" t="s">
        <v>8</v>
      </c>
      <c r="C55" s="93">
        <f t="shared" si="115"/>
        <v>495.00000000000011</v>
      </c>
    </row>
    <row r="56" spans="2:3" ht="16" thickBot="1" x14ac:dyDescent="0.25">
      <c r="B56" s="94" t="s">
        <v>78</v>
      </c>
      <c r="C56" s="95">
        <f t="shared" si="115"/>
        <v>526.80846514996392</v>
      </c>
    </row>
    <row r="57" spans="2:3" ht="16" thickTop="1" x14ac:dyDescent="0.2"/>
  </sheetData>
  <sheetProtection sheet="1" scenarios="1" formatCells="0"/>
  <mergeCells count="9">
    <mergeCell ref="X24:Z24"/>
    <mergeCell ref="B25:D25"/>
    <mergeCell ref="I25:O25"/>
    <mergeCell ref="Q25:V25"/>
    <mergeCell ref="B42:C42"/>
    <mergeCell ref="B1:G1"/>
    <mergeCell ref="B7:H7"/>
    <mergeCell ref="J7:N7"/>
    <mergeCell ref="P7:U7"/>
  </mergeCells>
  <conditionalFormatting sqref="A1 H1:XFD1 A2:XFD1048576">
    <cfRule type="expression" dxfId="15" priority="3">
      <formula>_xlfn.ISFORMULA(A1)</formula>
    </cfRule>
  </conditionalFormatting>
  <conditionalFormatting sqref="A1:XFD1048576">
    <cfRule type="expression" dxfId="14" priority="1">
      <formula>CELL("protect",A1)=0</formula>
    </cfRule>
  </conditionalFormatting>
  <dataValidations count="1">
    <dataValidation type="list" showInputMessage="1" showErrorMessage="1" errorTitle="Choose from list" error="You must choose the units from the list:_x000a_Pythagoream Comma_x000a_Syntonic Comma_x000a_Cents" sqref="D2" xr:uid="{85C4650C-6453-B14D-A16B-E5C5350EF860}">
      <formula1>Units</formula1>
    </dataValidation>
  </dataValidations>
  <hyperlinks>
    <hyperlink ref="B40" location="Overview!A1" display="Back to Overview" xr:uid="{1D7EF16B-D622-1D4B-BFF0-EE2C8E92F714}"/>
    <hyperlink ref="B4" location="Overview!A1" display="Back to Overview" xr:uid="{9A4A90D2-4F4F-1944-89B4-680EAF5F81EB}"/>
  </hyperlinks>
  <pageMargins left="0.7" right="0.7" top="0.75" bottom="0.75" header="0.3" footer="0.3"/>
  <drawing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ADF-7934-C64E-BA77-F0CD73B01F27}">
  <sheetPr codeName="Sheet40">
    <tabColor rgb="FFFFFF00"/>
  </sheetPr>
  <dimension ref="A1:Z40"/>
  <sheetViews>
    <sheetView zoomScaleNormal="100" workbookViewId="0"/>
  </sheetViews>
  <sheetFormatPr baseColWidth="10" defaultColWidth="12" defaultRowHeight="16" x14ac:dyDescent="0.2"/>
  <cols>
    <col min="1" max="1" width="2.83203125" style="110" customWidth="1"/>
    <col min="2" max="6" width="12" style="110"/>
    <col min="7" max="7" width="12.1640625" style="110" customWidth="1"/>
    <col min="8" max="8" width="15.5" style="110" customWidth="1"/>
    <col min="9"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477</v>
      </c>
      <c r="C1" s="289"/>
      <c r="D1" s="289"/>
      <c r="E1" s="289"/>
      <c r="F1" s="289"/>
      <c r="G1" s="289"/>
      <c r="H1" s="69"/>
      <c r="M1" s="111" t="s">
        <v>481</v>
      </c>
    </row>
    <row r="3" spans="1:26" s="112" customFormat="1" x14ac:dyDescent="0.2">
      <c r="B3" s="290" t="s">
        <v>59</v>
      </c>
      <c r="C3" s="290"/>
      <c r="D3" s="291"/>
      <c r="E3" s="290"/>
      <c r="H3" s="292" t="s">
        <v>24</v>
      </c>
      <c r="I3" s="292"/>
      <c r="J3" s="292"/>
      <c r="K3" s="292"/>
      <c r="M3" s="292" t="s">
        <v>58</v>
      </c>
      <c r="N3" s="292"/>
      <c r="O3" s="292"/>
      <c r="P3" s="292"/>
      <c r="R3" s="292" t="s">
        <v>109</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Meantone Octave with Matching Octaves</v>
      </c>
      <c r="S4" s="287"/>
      <c r="T4" s="287"/>
      <c r="U4" s="287"/>
      <c r="W4" s="287" t="str" cm="1">
        <f t="array" aca="1" ref="W4" ca="1">INDIRECT("'"&amp;W3&amp;"'!B1")</f>
        <v>Equal Temperament</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Template Instrument Fretted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Meantone Oct 1 Frequency 1</v>
      </c>
      <c r="S5" s="115" t="str">
        <f>_xlfn.CONCAT(R3," Frequency 2")</f>
        <v>Meantone Oct 1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5</v>
      </c>
      <c r="C6" s="163" t="s">
        <v>70</v>
      </c>
      <c r="D6" s="162">
        <v>879</v>
      </c>
      <c r="E6" s="162">
        <v>829.66552084720854</v>
      </c>
      <c r="F6" s="110">
        <f>1200*LOG(D6/E6,2)</f>
        <v>100.00000000000007</v>
      </c>
      <c r="H6" s="110">
        <f t="shared" ref="H6:I21" ca="1" si="0">VLOOKUP(B6,INDIRECT("'"&amp;$H$3&amp;"'!Master_Frequencies"),2,FALSE)</f>
        <v>351.20564343330932</v>
      </c>
      <c r="I6" s="110">
        <f ca="1">VLOOKUP(C6,INDIRECT("'"&amp;$H$3&amp;"'!Master_Frequencies"),2,FALSE)</f>
        <v>369.99442271163451</v>
      </c>
      <c r="J6" s="110">
        <f ca="1">LOG(I6/H6,2)*1200</f>
        <v>90.224995673063063</v>
      </c>
      <c r="K6" s="110">
        <f ca="1">J6-F6</f>
        <v>-9.7750043269370082</v>
      </c>
      <c r="M6" s="110">
        <f t="shared" ref="M6:N22" ca="1" si="1">VLOOKUP(B6,INDIRECT("'"&amp;$M$3&amp;"'!Master_Frequencies"),2,FALSE)</f>
        <v>343.75000000000006</v>
      </c>
      <c r="N6" s="110">
        <f t="shared" ca="1" si="1"/>
        <v>367.80716773703227</v>
      </c>
      <c r="O6" s="110">
        <f ca="1">LOG(N6/M6,2)*1200</f>
        <v>117.10785766895694</v>
      </c>
      <c r="P6" s="110">
        <f ca="1">O6-F6</f>
        <v>17.107857668956868</v>
      </c>
      <c r="R6" s="110">
        <f t="shared" ref="R6:S22" ca="1" si="2">VLOOKUP(B6,INDIRECT("'"&amp;$R$3&amp;"'!Master_Frequencies"),2,FALSE)</f>
        <v>352.00000000000017</v>
      </c>
      <c r="S6" s="110">
        <f t="shared" ca="1" si="2"/>
        <v>367.80716773703227</v>
      </c>
      <c r="T6" s="110">
        <f ca="1">LOG(S6/R6,2)*1200</f>
        <v>76.048999263460743</v>
      </c>
      <c r="U6" s="110">
        <f ca="1">T6-F6</f>
        <v>-23.951000736539328</v>
      </c>
      <c r="W6" s="110">
        <f t="shared" ref="W6:X22" ca="1" si="3">VLOOKUP(B6,INDIRECT("'"&amp;$W$3&amp;"'!Master_Frequencies"),2,FALSE)</f>
        <v>349.22823143300388</v>
      </c>
      <c r="X6" s="110">
        <f t="shared" ca="1" si="3"/>
        <v>369.9944227116344</v>
      </c>
      <c r="Y6" s="110">
        <f ca="1">LOG(X6/W6,2)*1200</f>
        <v>100.00000000000007</v>
      </c>
      <c r="Z6" s="110">
        <f ca="1">Y6-F6</f>
        <v>0</v>
      </c>
    </row>
    <row r="7" spans="1:26" x14ac:dyDescent="0.2">
      <c r="B7" s="163" t="s">
        <v>6</v>
      </c>
      <c r="C7" s="163" t="s">
        <v>72</v>
      </c>
      <c r="D7" s="162">
        <v>836</v>
      </c>
      <c r="E7" s="162">
        <v>789.07892540189573</v>
      </c>
      <c r="F7" s="110">
        <f t="shared" ref="F7:F23" si="4">1200*LOG(D7/E7,2)</f>
        <v>100.00000000000007</v>
      </c>
      <c r="H7" s="110">
        <f t="shared" ca="1" si="0"/>
        <v>393.77008877325875</v>
      </c>
      <c r="I7" s="110">
        <f t="shared" ca="1" si="0"/>
        <v>416.24372555058881</v>
      </c>
      <c r="J7" s="110">
        <f t="shared" ref="J7:J23" ca="1" si="5">LOG(I7/H7,2)*1200</f>
        <v>96.089998269225319</v>
      </c>
      <c r="K7" s="110">
        <f t="shared" ref="K7:K23" ca="1" si="6">J7-F7</f>
        <v>-3.9100017307747521</v>
      </c>
      <c r="M7" s="110">
        <f t="shared" ca="1" si="1"/>
        <v>393.54796403996318</v>
      </c>
      <c r="N7" s="110">
        <f t="shared" ca="1" si="1"/>
        <v>411.2209148358358</v>
      </c>
      <c r="O7" s="110">
        <f t="shared" ref="O7:O23" ca="1" si="7">LOG(N7/M7,2)*1200</f>
        <v>76.048999263460743</v>
      </c>
      <c r="P7" s="110">
        <f t="shared" ref="P7:P23" ca="1" si="8">O7-F7</f>
        <v>-23.951000736539328</v>
      </c>
      <c r="R7" s="110">
        <f t="shared" ca="1" si="2"/>
        <v>393.54796403996318</v>
      </c>
      <c r="S7" s="110">
        <f t="shared" ca="1" si="2"/>
        <v>411.2209148358358</v>
      </c>
      <c r="T7" s="110">
        <f t="shared" ref="T7:T23" ca="1" si="9">LOG(S7/R7,2)*1200</f>
        <v>76.048999263460743</v>
      </c>
      <c r="U7" s="110">
        <f t="shared" ref="U7:U23" ca="1" si="10">T7-F7</f>
        <v>-23.951000736539328</v>
      </c>
      <c r="W7" s="110">
        <f t="shared" ca="1" si="3"/>
        <v>391.99543598174927</v>
      </c>
      <c r="X7" s="110">
        <f t="shared" ca="1" si="3"/>
        <v>415.30469757994507</v>
      </c>
      <c r="Y7" s="110">
        <f t="shared" ref="Y7:Y23" ca="1" si="11">LOG(X7/W7,2)*1200</f>
        <v>99.99999999999973</v>
      </c>
      <c r="Z7" s="110">
        <f t="shared" ref="Z7:Z23" ca="1" si="12">Y7-F7</f>
        <v>-3.4106051316484809E-13</v>
      </c>
    </row>
    <row r="8" spans="1:26" x14ac:dyDescent="0.2">
      <c r="B8" s="163" t="s">
        <v>2</v>
      </c>
      <c r="C8" s="163" t="s">
        <v>74</v>
      </c>
      <c r="D8" s="162">
        <v>745</v>
      </c>
      <c r="E8" s="162">
        <v>703.18636294786165</v>
      </c>
      <c r="F8" s="110">
        <f t="shared" si="4"/>
        <v>100.00000000000007</v>
      </c>
      <c r="H8" s="110">
        <f t="shared" ca="1" si="0"/>
        <v>263.40423257498196</v>
      </c>
      <c r="I8" s="110">
        <f t="shared" ca="1" si="0"/>
        <v>277.49581703372587</v>
      </c>
      <c r="J8" s="110">
        <f t="shared" ca="1" si="5"/>
        <v>90.224995673063063</v>
      </c>
      <c r="K8" s="110">
        <f t="shared" ca="1" si="6"/>
        <v>-9.7750043269370082</v>
      </c>
      <c r="M8" s="110">
        <f t="shared" ca="1" si="1"/>
        <v>263.18138549493494</v>
      </c>
      <c r="N8" s="110">
        <f t="shared" ca="1" si="1"/>
        <v>275.00000000000011</v>
      </c>
      <c r="O8" s="110">
        <f t="shared" ca="1" si="7"/>
        <v>76.048999263460743</v>
      </c>
      <c r="P8" s="110">
        <f t="shared" ca="1" si="8"/>
        <v>-23.951000736539328</v>
      </c>
      <c r="R8" s="110">
        <f t="shared" ca="1" si="2"/>
        <v>263.18138549493494</v>
      </c>
      <c r="S8" s="110">
        <f t="shared" ca="1" si="2"/>
        <v>275.00000000000011</v>
      </c>
      <c r="T8" s="110">
        <f t="shared" ca="1" si="9"/>
        <v>76.048999263460743</v>
      </c>
      <c r="U8" s="110">
        <f t="shared" ca="1" si="10"/>
        <v>-23.951000736539328</v>
      </c>
      <c r="W8" s="110">
        <f t="shared" ca="1" si="3"/>
        <v>261.62556530059862</v>
      </c>
      <c r="X8" s="110">
        <f t="shared" ca="1" si="3"/>
        <v>277.18263097687208</v>
      </c>
      <c r="Y8" s="110">
        <f t="shared" ca="1" si="11"/>
        <v>100.00000000000007</v>
      </c>
      <c r="Z8" s="110">
        <f t="shared" ca="1" si="12"/>
        <v>0</v>
      </c>
    </row>
    <row r="9" spans="1:26" x14ac:dyDescent="0.2">
      <c r="B9" s="163" t="s">
        <v>76</v>
      </c>
      <c r="C9" s="163" t="s">
        <v>4</v>
      </c>
      <c r="D9" s="162">
        <v>676</v>
      </c>
      <c r="E9" s="162">
        <v>656</v>
      </c>
      <c r="F9" s="110">
        <f t="shared" si="4"/>
        <v>51.992917996920802</v>
      </c>
      <c r="H9" s="110">
        <f t="shared" ca="1" si="0"/>
        <v>312.1827941629416</v>
      </c>
      <c r="I9" s="110">
        <f t="shared" ca="1" si="0"/>
        <v>330.00000000000006</v>
      </c>
      <c r="J9" s="110">
        <f t="shared" ca="1" si="5"/>
        <v>96.089998269224949</v>
      </c>
      <c r="K9" s="110">
        <f t="shared" ca="1" si="6"/>
        <v>44.097080272304147</v>
      </c>
      <c r="M9" s="110">
        <f t="shared" ca="1" si="1"/>
        <v>307.45934690622119</v>
      </c>
      <c r="N9" s="110">
        <f t="shared" ca="1" si="1"/>
        <v>328.97673186866865</v>
      </c>
      <c r="O9" s="110">
        <f t="shared" ca="1" si="7"/>
        <v>117.1078576689566</v>
      </c>
      <c r="P9" s="110">
        <f t="shared" ca="1" si="8"/>
        <v>65.114939672035803</v>
      </c>
      <c r="R9" s="110">
        <f t="shared" ca="1" si="2"/>
        <v>307.45934690622119</v>
      </c>
      <c r="S9" s="110">
        <f t="shared" ca="1" si="2"/>
        <v>328.97673186866865</v>
      </c>
      <c r="T9" s="110">
        <f t="shared" ca="1" si="9"/>
        <v>117.1078576689566</v>
      </c>
      <c r="U9" s="110">
        <f t="shared" ca="1" si="10"/>
        <v>65.114939672035803</v>
      </c>
      <c r="W9" s="110">
        <f t="shared" ca="1" si="3"/>
        <v>311.12698372208087</v>
      </c>
      <c r="X9" s="110">
        <f t="shared" ca="1" si="3"/>
        <v>329.62755691286992</v>
      </c>
      <c r="Y9" s="110">
        <f t="shared" ca="1" si="11"/>
        <v>100.00000000000007</v>
      </c>
      <c r="Z9" s="110">
        <f t="shared" ca="1" si="12"/>
        <v>48.007082003079269</v>
      </c>
    </row>
    <row r="10" spans="1:26" x14ac:dyDescent="0.2">
      <c r="B10" s="163" t="s">
        <v>5</v>
      </c>
      <c r="C10" s="163" t="s">
        <v>70</v>
      </c>
      <c r="D10" s="162">
        <v>637</v>
      </c>
      <c r="E10" s="162">
        <v>615</v>
      </c>
      <c r="F10" s="110">
        <f t="shared" si="4"/>
        <v>60.848354435637958</v>
      </c>
      <c r="G10" s="7"/>
      <c r="H10" s="110">
        <f t="shared" ca="1" si="0"/>
        <v>351.20564343330932</v>
      </c>
      <c r="I10" s="110">
        <f t="shared" ca="1" si="0"/>
        <v>369.99442271163451</v>
      </c>
      <c r="J10" s="110">
        <f t="shared" ca="1" si="5"/>
        <v>90.224995673063063</v>
      </c>
      <c r="K10" s="110">
        <f t="shared" ca="1" si="6"/>
        <v>29.376641237425105</v>
      </c>
      <c r="M10" s="110">
        <f t="shared" ca="1" si="1"/>
        <v>343.75000000000006</v>
      </c>
      <c r="N10" s="110">
        <f t="shared" ca="1" si="1"/>
        <v>367.80716773703227</v>
      </c>
      <c r="O10" s="110">
        <f t="shared" ca="1" si="7"/>
        <v>117.10785766895694</v>
      </c>
      <c r="P10" s="110">
        <f t="shared" ca="1" si="8"/>
        <v>56.259503233318981</v>
      </c>
      <c r="R10" s="110">
        <f t="shared" ca="1" si="2"/>
        <v>352.00000000000017</v>
      </c>
      <c r="S10" s="110">
        <f t="shared" ca="1" si="2"/>
        <v>367.80716773703227</v>
      </c>
      <c r="T10" s="110">
        <f t="shared" ca="1" si="9"/>
        <v>76.048999263460743</v>
      </c>
      <c r="U10" s="110">
        <f t="shared" ca="1" si="10"/>
        <v>15.200644827822785</v>
      </c>
      <c r="W10" s="110">
        <f t="shared" ca="1" si="3"/>
        <v>349.22823143300388</v>
      </c>
      <c r="X10" s="110">
        <f t="shared" ca="1" si="3"/>
        <v>369.9944227116344</v>
      </c>
      <c r="Y10" s="110">
        <f t="shared" ca="1" si="11"/>
        <v>100.00000000000007</v>
      </c>
      <c r="Z10" s="110">
        <f t="shared" ca="1" si="12"/>
        <v>39.151645564362113</v>
      </c>
    </row>
    <row r="11" spans="1:26" x14ac:dyDescent="0.2">
      <c r="B11" s="163" t="s">
        <v>6</v>
      </c>
      <c r="C11" s="163" t="s">
        <v>72</v>
      </c>
      <c r="D11" s="162">
        <v>597</v>
      </c>
      <c r="E11" s="162">
        <v>576</v>
      </c>
      <c r="F11" s="110">
        <f t="shared" si="4"/>
        <v>61.994543786991073</v>
      </c>
      <c r="G11" s="7"/>
      <c r="H11" s="110">
        <f t="shared" ca="1" si="0"/>
        <v>393.77008877325875</v>
      </c>
      <c r="I11" s="110">
        <f t="shared" ca="1" si="0"/>
        <v>416.24372555058881</v>
      </c>
      <c r="J11" s="110">
        <f t="shared" ca="1" si="5"/>
        <v>96.089998269225319</v>
      </c>
      <c r="K11" s="110">
        <f t="shared" ca="1" si="6"/>
        <v>34.095454482234246</v>
      </c>
      <c r="M11" s="110">
        <f t="shared" ca="1" si="1"/>
        <v>393.54796403996318</v>
      </c>
      <c r="N11" s="110">
        <f t="shared" ca="1" si="1"/>
        <v>411.2209148358358</v>
      </c>
      <c r="O11" s="110">
        <f t="shared" ca="1" si="7"/>
        <v>76.048999263460743</v>
      </c>
      <c r="P11" s="110">
        <f t="shared" ca="1" si="8"/>
        <v>14.05445547646967</v>
      </c>
      <c r="R11" s="110">
        <f t="shared" ca="1" si="2"/>
        <v>393.54796403996318</v>
      </c>
      <c r="S11" s="110">
        <f t="shared" ca="1" si="2"/>
        <v>411.2209148358358</v>
      </c>
      <c r="T11" s="110">
        <f t="shared" ca="1" si="9"/>
        <v>76.048999263460743</v>
      </c>
      <c r="U11" s="110">
        <f t="shared" ca="1" si="10"/>
        <v>14.05445547646967</v>
      </c>
      <c r="W11" s="110">
        <f t="shared" ca="1" si="3"/>
        <v>391.99543598174927</v>
      </c>
      <c r="X11" s="110">
        <f t="shared" ca="1" si="3"/>
        <v>415.30469757994507</v>
      </c>
      <c r="Y11" s="110">
        <f t="shared" ca="1" si="11"/>
        <v>99.99999999999973</v>
      </c>
      <c r="Z11" s="110">
        <f t="shared" ca="1" si="12"/>
        <v>38.005456213008657</v>
      </c>
    </row>
    <row r="12" spans="1:26" x14ac:dyDescent="0.2">
      <c r="B12" s="163" t="s">
        <v>73</v>
      </c>
      <c r="C12" s="163" t="s">
        <v>8</v>
      </c>
      <c r="D12" s="162">
        <v>538</v>
      </c>
      <c r="E12" s="162">
        <v>519</v>
      </c>
      <c r="F12" s="110">
        <f t="shared" si="4"/>
        <v>62.245961038491807</v>
      </c>
      <c r="G12" s="7"/>
      <c r="H12" s="110">
        <f ca="1">VLOOKUP(B12,INDIRECT("'"&amp;$H$3&amp;"'!Master_Frequencies"),2,FALSE)</f>
        <v>468.27419124441241</v>
      </c>
      <c r="I12" s="110">
        <f t="shared" ca="1" si="0"/>
        <v>495.00000000000011</v>
      </c>
      <c r="J12" s="110">
        <f t="shared" ca="1" si="5"/>
        <v>96.089998269224949</v>
      </c>
      <c r="K12" s="110">
        <f t="shared" ca="1" si="6"/>
        <v>33.844037230733143</v>
      </c>
      <c r="M12" s="110">
        <f t="shared" ca="1" si="1"/>
        <v>459.75895967129026</v>
      </c>
      <c r="N12" s="110">
        <f t="shared" ca="1" si="1"/>
        <v>491.93495504995394</v>
      </c>
      <c r="O12" s="110">
        <f t="shared" ca="1" si="7"/>
        <v>117.10785766895694</v>
      </c>
      <c r="P12" s="110">
        <f t="shared" ca="1" si="8"/>
        <v>54.861896630465132</v>
      </c>
      <c r="R12" s="110">
        <f t="shared" ca="1" si="2"/>
        <v>470.79317470340129</v>
      </c>
      <c r="S12" s="110">
        <f t="shared" ca="1" si="2"/>
        <v>491.93495504995394</v>
      </c>
      <c r="T12" s="110">
        <f t="shared" ca="1" si="9"/>
        <v>76.048999263461113</v>
      </c>
      <c r="U12" s="110">
        <f t="shared" ca="1" si="10"/>
        <v>13.803038224969306</v>
      </c>
      <c r="W12" s="110">
        <f t="shared" ca="1" si="3"/>
        <v>466.16376151808987</v>
      </c>
      <c r="X12" s="110">
        <f t="shared" ca="1" si="3"/>
        <v>493.88330125612407</v>
      </c>
      <c r="Y12" s="110">
        <f t="shared" ca="1" si="11"/>
        <v>100.00000000000007</v>
      </c>
      <c r="Z12" s="110">
        <f t="shared" ca="1" si="12"/>
        <v>37.754038961508265</v>
      </c>
    </row>
    <row r="13" spans="1:26" x14ac:dyDescent="0.2">
      <c r="B13" s="163" t="s">
        <v>2</v>
      </c>
      <c r="C13" s="163" t="s">
        <v>74</v>
      </c>
      <c r="D13" s="162">
        <v>501</v>
      </c>
      <c r="E13" s="162">
        <v>482</v>
      </c>
      <c r="F13" s="110">
        <f t="shared" si="4"/>
        <v>66.932948358296272</v>
      </c>
      <c r="G13" s="7"/>
      <c r="H13" s="110">
        <f t="shared" ref="H13:I23" ca="1" si="13">VLOOKUP(B13,INDIRECT("'"&amp;$H$3&amp;"'!Master_Frequencies"),2,FALSE)</f>
        <v>263.40423257498196</v>
      </c>
      <c r="I13" s="110">
        <f t="shared" ca="1" si="0"/>
        <v>277.49581703372587</v>
      </c>
      <c r="J13" s="110">
        <f t="shared" ca="1" si="5"/>
        <v>90.224995673063063</v>
      </c>
      <c r="K13" s="110">
        <f t="shared" ca="1" si="6"/>
        <v>23.292047314766791</v>
      </c>
      <c r="M13" s="110">
        <f t="shared" ca="1" si="1"/>
        <v>263.18138549493494</v>
      </c>
      <c r="N13" s="110">
        <f t="shared" ca="1" si="1"/>
        <v>275.00000000000011</v>
      </c>
      <c r="O13" s="110">
        <f t="shared" ca="1" si="7"/>
        <v>76.048999263460743</v>
      </c>
      <c r="P13" s="110">
        <f t="shared" ca="1" si="8"/>
        <v>9.1160509051644709</v>
      </c>
      <c r="R13" s="110">
        <f t="shared" ca="1" si="2"/>
        <v>263.18138549493494</v>
      </c>
      <c r="S13" s="110">
        <f t="shared" ca="1" si="2"/>
        <v>275.00000000000011</v>
      </c>
      <c r="T13" s="110">
        <f t="shared" ca="1" si="9"/>
        <v>76.048999263460743</v>
      </c>
      <c r="U13" s="110">
        <f t="shared" ca="1" si="10"/>
        <v>9.1160509051644709</v>
      </c>
      <c r="W13" s="110">
        <f t="shared" ca="1" si="3"/>
        <v>261.62556530059862</v>
      </c>
      <c r="X13" s="110">
        <f t="shared" ca="1" si="3"/>
        <v>277.18263097687208</v>
      </c>
      <c r="Y13" s="110">
        <f t="shared" ca="1" si="11"/>
        <v>100.00000000000007</v>
      </c>
      <c r="Z13" s="110">
        <f t="shared" ca="1" si="12"/>
        <v>33.067051641703799</v>
      </c>
    </row>
    <row r="14" spans="1:26" x14ac:dyDescent="0.2">
      <c r="B14" s="163" t="s">
        <v>76</v>
      </c>
      <c r="C14" s="163" t="s">
        <v>4</v>
      </c>
      <c r="D14" s="162">
        <v>464</v>
      </c>
      <c r="E14" s="162">
        <v>444</v>
      </c>
      <c r="F14" s="110">
        <f t="shared" si="4"/>
        <v>76.278154532959363</v>
      </c>
      <c r="G14" s="7"/>
      <c r="H14" s="110">
        <f t="shared" ca="1" si="13"/>
        <v>312.1827941629416</v>
      </c>
      <c r="I14" s="110">
        <f t="shared" ca="1" si="0"/>
        <v>330.00000000000006</v>
      </c>
      <c r="J14" s="110">
        <f t="shared" ca="1" si="5"/>
        <v>96.089998269224949</v>
      </c>
      <c r="K14" s="110">
        <f t="shared" ca="1" si="6"/>
        <v>19.811843736265587</v>
      </c>
      <c r="M14" s="110">
        <f t="shared" ca="1" si="1"/>
        <v>307.45934690622119</v>
      </c>
      <c r="N14" s="110">
        <f t="shared" ca="1" si="1"/>
        <v>328.97673186866865</v>
      </c>
      <c r="O14" s="110">
        <f t="shared" ca="1" si="7"/>
        <v>117.1078576689566</v>
      </c>
      <c r="P14" s="110">
        <f t="shared" ca="1" si="8"/>
        <v>40.829703135997235</v>
      </c>
      <c r="R14" s="110">
        <f t="shared" ca="1" si="2"/>
        <v>307.45934690622119</v>
      </c>
      <c r="S14" s="110">
        <f t="shared" ca="1" si="2"/>
        <v>328.97673186866865</v>
      </c>
      <c r="T14" s="110">
        <f t="shared" ca="1" si="9"/>
        <v>117.1078576689566</v>
      </c>
      <c r="U14" s="110">
        <f t="shared" ca="1" si="10"/>
        <v>40.829703135997235</v>
      </c>
      <c r="W14" s="110">
        <f t="shared" ca="1" si="3"/>
        <v>311.12698372208087</v>
      </c>
      <c r="X14" s="110">
        <f t="shared" ca="1" si="3"/>
        <v>329.62755691286992</v>
      </c>
      <c r="Y14" s="110">
        <f t="shared" ca="1" si="11"/>
        <v>100.00000000000007</v>
      </c>
      <c r="Z14" s="110">
        <f t="shared" ca="1" si="12"/>
        <v>23.721845467040708</v>
      </c>
    </row>
    <row r="15" spans="1:26" x14ac:dyDescent="0.2">
      <c r="B15" s="163" t="s">
        <v>5</v>
      </c>
      <c r="C15" s="163" t="s">
        <v>70</v>
      </c>
      <c r="D15" s="162">
        <v>406</v>
      </c>
      <c r="E15" s="162">
        <v>391</v>
      </c>
      <c r="F15" s="110">
        <f t="shared" si="4"/>
        <v>65.173343853388914</v>
      </c>
      <c r="G15" s="7"/>
      <c r="H15" s="110">
        <f t="shared" ca="1" si="13"/>
        <v>351.20564343330932</v>
      </c>
      <c r="I15" s="110">
        <f t="shared" ca="1" si="0"/>
        <v>369.99442271163451</v>
      </c>
      <c r="J15" s="110">
        <f t="shared" ca="1" si="5"/>
        <v>90.224995673063063</v>
      </c>
      <c r="K15" s="110">
        <f t="shared" ca="1" si="6"/>
        <v>25.051651819674149</v>
      </c>
      <c r="M15" s="110">
        <f t="shared" ca="1" si="1"/>
        <v>343.75000000000006</v>
      </c>
      <c r="N15" s="110">
        <f t="shared" ca="1" si="1"/>
        <v>367.80716773703227</v>
      </c>
      <c r="O15" s="110">
        <f t="shared" ca="1" si="7"/>
        <v>117.10785766895694</v>
      </c>
      <c r="P15" s="110">
        <f t="shared" ca="1" si="8"/>
        <v>51.934513815568025</v>
      </c>
      <c r="R15" s="110">
        <f t="shared" ca="1" si="2"/>
        <v>352.00000000000017</v>
      </c>
      <c r="S15" s="110">
        <f t="shared" ca="1" si="2"/>
        <v>367.80716773703227</v>
      </c>
      <c r="T15" s="110">
        <f t="shared" ca="1" si="9"/>
        <v>76.048999263460743</v>
      </c>
      <c r="U15" s="110">
        <f t="shared" ca="1" si="10"/>
        <v>10.875655410071829</v>
      </c>
      <c r="W15" s="110">
        <f t="shared" ca="1" si="3"/>
        <v>349.22823143300388</v>
      </c>
      <c r="X15" s="110">
        <f t="shared" ca="1" si="3"/>
        <v>369.9944227116344</v>
      </c>
      <c r="Y15" s="110">
        <f t="shared" ca="1" si="11"/>
        <v>100.00000000000007</v>
      </c>
      <c r="Z15" s="110">
        <f t="shared" ca="1" si="12"/>
        <v>34.826656146611157</v>
      </c>
    </row>
    <row r="16" spans="1:26" x14ac:dyDescent="0.2">
      <c r="B16" s="163" t="s">
        <v>6</v>
      </c>
      <c r="C16" s="163" t="s">
        <v>72</v>
      </c>
      <c r="D16" s="162">
        <v>371</v>
      </c>
      <c r="E16" s="162">
        <v>357</v>
      </c>
      <c r="F16" s="110">
        <f t="shared" si="4"/>
        <v>66.594135110044448</v>
      </c>
      <c r="G16" s="7"/>
      <c r="H16" s="110">
        <f t="shared" ca="1" si="13"/>
        <v>393.77008877325875</v>
      </c>
      <c r="I16" s="110">
        <f t="shared" ca="1" si="0"/>
        <v>416.24372555058881</v>
      </c>
      <c r="J16" s="110">
        <f t="shared" ca="1" si="5"/>
        <v>96.089998269225319</v>
      </c>
      <c r="K16" s="110">
        <f t="shared" ca="1" si="6"/>
        <v>29.495863159180871</v>
      </c>
      <c r="M16" s="110">
        <f t="shared" ca="1" si="1"/>
        <v>393.54796403996318</v>
      </c>
      <c r="N16" s="110">
        <f t="shared" ca="1" si="1"/>
        <v>411.2209148358358</v>
      </c>
      <c r="O16" s="110">
        <f t="shared" ca="1" si="7"/>
        <v>76.048999263460743</v>
      </c>
      <c r="P16" s="110">
        <f t="shared" ca="1" si="8"/>
        <v>9.4548641534162954</v>
      </c>
      <c r="R16" s="110">
        <f t="shared" ca="1" si="2"/>
        <v>393.54796403996318</v>
      </c>
      <c r="S16" s="110">
        <f t="shared" ca="1" si="2"/>
        <v>411.2209148358358</v>
      </c>
      <c r="T16" s="110">
        <f t="shared" ca="1" si="9"/>
        <v>76.048999263460743</v>
      </c>
      <c r="U16" s="110">
        <f t="shared" ca="1" si="10"/>
        <v>9.4548641534162954</v>
      </c>
      <c r="W16" s="110">
        <f t="shared" ca="1" si="3"/>
        <v>391.99543598174927</v>
      </c>
      <c r="X16" s="110">
        <f t="shared" ca="1" si="3"/>
        <v>415.30469757994507</v>
      </c>
      <c r="Y16" s="110">
        <f t="shared" ca="1" si="11"/>
        <v>99.99999999999973</v>
      </c>
      <c r="Z16" s="110">
        <f t="shared" ca="1" si="12"/>
        <v>33.405864889955282</v>
      </c>
    </row>
    <row r="17" spans="2:26" x14ac:dyDescent="0.2">
      <c r="B17" s="163" t="s">
        <v>73</v>
      </c>
      <c r="C17" s="163" t="s">
        <v>8</v>
      </c>
      <c r="D17" s="162">
        <v>325</v>
      </c>
      <c r="E17" s="162">
        <v>312</v>
      </c>
      <c r="F17" s="110">
        <f t="shared" si="4"/>
        <v>70.672426864282343</v>
      </c>
      <c r="G17" s="7"/>
      <c r="H17" s="110">
        <f t="shared" ca="1" si="13"/>
        <v>468.27419124441241</v>
      </c>
      <c r="I17" s="110">
        <f t="shared" ca="1" si="0"/>
        <v>495.00000000000011</v>
      </c>
      <c r="J17" s="110">
        <f t="shared" ca="1" si="5"/>
        <v>96.089998269224949</v>
      </c>
      <c r="K17" s="110">
        <f t="shared" ca="1" si="6"/>
        <v>25.417571404942606</v>
      </c>
      <c r="M17" s="110">
        <f t="shared" ca="1" si="1"/>
        <v>459.75895967129026</v>
      </c>
      <c r="N17" s="110">
        <f t="shared" ca="1" si="1"/>
        <v>491.93495504995394</v>
      </c>
      <c r="O17" s="110">
        <f t="shared" ca="1" si="7"/>
        <v>117.10785766895694</v>
      </c>
      <c r="P17" s="110">
        <f t="shared" ca="1" si="8"/>
        <v>46.435430804674596</v>
      </c>
      <c r="R17" s="110">
        <f t="shared" ca="1" si="2"/>
        <v>470.79317470340129</v>
      </c>
      <c r="S17" s="110">
        <f t="shared" ca="1" si="2"/>
        <v>491.93495504995394</v>
      </c>
      <c r="T17" s="110">
        <f t="shared" ca="1" si="9"/>
        <v>76.048999263461113</v>
      </c>
      <c r="U17" s="110">
        <f t="shared" ca="1" si="10"/>
        <v>5.3765723991787695</v>
      </c>
      <c r="W17" s="110">
        <f t="shared" ca="1" si="3"/>
        <v>466.16376151808987</v>
      </c>
      <c r="X17" s="110">
        <f t="shared" ca="1" si="3"/>
        <v>493.88330125612407</v>
      </c>
      <c r="Y17" s="110">
        <f t="shared" ca="1" si="11"/>
        <v>100.00000000000007</v>
      </c>
      <c r="Z17" s="110">
        <f t="shared" ca="1" si="12"/>
        <v>29.327573135717728</v>
      </c>
    </row>
    <row r="18" spans="2:26" x14ac:dyDescent="0.2">
      <c r="B18" s="163" t="s">
        <v>2</v>
      </c>
      <c r="C18" s="163" t="s">
        <v>74</v>
      </c>
      <c r="D18" s="162">
        <v>294</v>
      </c>
      <c r="E18" s="162">
        <v>278</v>
      </c>
      <c r="F18" s="110">
        <f t="shared" si="4"/>
        <v>96.877526535428515</v>
      </c>
      <c r="G18" s="7"/>
      <c r="H18" s="110">
        <f t="shared" ca="1" si="13"/>
        <v>263.40423257498196</v>
      </c>
      <c r="I18" s="110">
        <f t="shared" ca="1" si="0"/>
        <v>277.49581703372587</v>
      </c>
      <c r="J18" s="110">
        <f t="shared" ca="1" si="5"/>
        <v>90.224995673063063</v>
      </c>
      <c r="K18" s="110">
        <f t="shared" ca="1" si="6"/>
        <v>-6.6525308623654524</v>
      </c>
      <c r="M18" s="110">
        <f t="shared" ca="1" si="1"/>
        <v>263.18138549493494</v>
      </c>
      <c r="N18" s="110">
        <f t="shared" ca="1" si="1"/>
        <v>275.00000000000011</v>
      </c>
      <c r="O18" s="110">
        <f t="shared" ca="1" si="7"/>
        <v>76.048999263460743</v>
      </c>
      <c r="P18" s="110">
        <f t="shared" ca="1" si="8"/>
        <v>-20.828527271967772</v>
      </c>
      <c r="R18" s="110">
        <f t="shared" ca="1" si="2"/>
        <v>263.18138549493494</v>
      </c>
      <c r="S18" s="110">
        <f t="shared" ca="1" si="2"/>
        <v>275.00000000000011</v>
      </c>
      <c r="T18" s="110">
        <f t="shared" ca="1" si="9"/>
        <v>76.048999263460743</v>
      </c>
      <c r="U18" s="110">
        <f t="shared" ca="1" si="10"/>
        <v>-20.828527271967772</v>
      </c>
      <c r="W18" s="110">
        <f t="shared" ca="1" si="3"/>
        <v>261.62556530059862</v>
      </c>
      <c r="X18" s="110">
        <f t="shared" ca="1" si="3"/>
        <v>277.18263097687208</v>
      </c>
      <c r="Y18" s="110">
        <f t="shared" ca="1" si="11"/>
        <v>100.00000000000007</v>
      </c>
      <c r="Z18" s="110">
        <f t="shared" ca="1" si="12"/>
        <v>3.1224734645715557</v>
      </c>
    </row>
    <row r="19" spans="2:26" x14ac:dyDescent="0.2">
      <c r="B19" s="163" t="s">
        <v>3</v>
      </c>
      <c r="C19" s="163" t="s">
        <v>76</v>
      </c>
      <c r="D19" s="162">
        <v>265</v>
      </c>
      <c r="E19" s="162">
        <v>257</v>
      </c>
      <c r="F19" s="110">
        <f t="shared" si="4"/>
        <v>53.068800308019924</v>
      </c>
      <c r="G19" s="7"/>
      <c r="H19" s="110">
        <f t="shared" ca="1" si="13"/>
        <v>294.32876096317352</v>
      </c>
      <c r="I19" s="110">
        <f t="shared" ca="1" si="0"/>
        <v>312.1827941629416</v>
      </c>
      <c r="J19" s="110">
        <f t="shared" ca="1" si="5"/>
        <v>101.95500086538762</v>
      </c>
      <c r="K19" s="110">
        <f t="shared" ca="1" si="6"/>
        <v>48.886200557367694</v>
      </c>
      <c r="M19" s="110">
        <f t="shared" ca="1" si="1"/>
        <v>294.24573418962586</v>
      </c>
      <c r="N19" s="110">
        <f t="shared" ca="1" si="1"/>
        <v>307.45934690622119</v>
      </c>
      <c r="O19" s="110">
        <f t="shared" ca="1" si="7"/>
        <v>76.048999263460388</v>
      </c>
      <c r="P19" s="110">
        <f t="shared" ca="1" si="8"/>
        <v>22.980198955440464</v>
      </c>
      <c r="R19" s="110">
        <f t="shared" ca="1" si="2"/>
        <v>294.24573418962586</v>
      </c>
      <c r="S19" s="110">
        <f t="shared" ca="1" si="2"/>
        <v>307.45934690622119</v>
      </c>
      <c r="T19" s="110">
        <f t="shared" ca="1" si="9"/>
        <v>76.048999263460388</v>
      </c>
      <c r="U19" s="110">
        <f t="shared" ca="1" si="10"/>
        <v>22.980198955440464</v>
      </c>
      <c r="W19" s="110">
        <f t="shared" ca="1" si="3"/>
        <v>293.66476791740757</v>
      </c>
      <c r="X19" s="110">
        <f t="shared" ca="1" si="3"/>
        <v>311.12698372208087</v>
      </c>
      <c r="Y19" s="110">
        <f t="shared" ca="1" si="11"/>
        <v>99.99999999999973</v>
      </c>
      <c r="Z19" s="110">
        <f t="shared" ca="1" si="12"/>
        <v>46.931199691979806</v>
      </c>
    </row>
    <row r="20" spans="2:26" x14ac:dyDescent="0.2">
      <c r="B20" s="163" t="s">
        <v>4</v>
      </c>
      <c r="C20" s="163" t="s">
        <v>5</v>
      </c>
      <c r="D20" s="162">
        <v>242</v>
      </c>
      <c r="E20" s="162">
        <v>228</v>
      </c>
      <c r="F20" s="110">
        <f t="shared" si="4"/>
        <v>103.16786773182335</v>
      </c>
      <c r="G20" s="7"/>
      <c r="H20" s="110">
        <f t="shared" ca="1" si="13"/>
        <v>330.00000000000006</v>
      </c>
      <c r="I20" s="110">
        <f t="shared" ca="1" si="0"/>
        <v>351.20564343330932</v>
      </c>
      <c r="J20" s="110">
        <f t="shared" ca="1" si="5"/>
        <v>107.82000346154977</v>
      </c>
      <c r="K20" s="110">
        <f t="shared" ca="1" si="6"/>
        <v>4.6521357297264245</v>
      </c>
      <c r="M20" s="110">
        <f t="shared" ca="1" si="1"/>
        <v>328.97673186866865</v>
      </c>
      <c r="N20" s="110">
        <f t="shared" ca="1" si="1"/>
        <v>343.75000000000006</v>
      </c>
      <c r="O20" s="110">
        <f t="shared" ca="1" si="7"/>
        <v>76.048999263460388</v>
      </c>
      <c r="P20" s="110">
        <f t="shared" ca="1" si="8"/>
        <v>-27.118868468362962</v>
      </c>
      <c r="R20" s="110">
        <f t="shared" ca="1" si="2"/>
        <v>328.97673186866865</v>
      </c>
      <c r="S20" s="110">
        <f t="shared" ca="1" si="2"/>
        <v>352.00000000000017</v>
      </c>
      <c r="T20" s="110">
        <f t="shared" ca="1" si="9"/>
        <v>117.1078576689566</v>
      </c>
      <c r="U20" s="110">
        <f t="shared" ca="1" si="10"/>
        <v>13.939989937133248</v>
      </c>
      <c r="W20" s="110">
        <f t="shared" ca="1" si="3"/>
        <v>329.62755691286992</v>
      </c>
      <c r="X20" s="110">
        <f t="shared" ca="1" si="3"/>
        <v>349.22823143300388</v>
      </c>
      <c r="Y20" s="110">
        <f t="shared" ca="1" si="11"/>
        <v>100.00000000000007</v>
      </c>
      <c r="Z20" s="110">
        <f t="shared" ca="1" si="12"/>
        <v>-3.1678677318232786</v>
      </c>
    </row>
    <row r="21" spans="2:26" x14ac:dyDescent="0.2">
      <c r="B21" s="163" t="s">
        <v>70</v>
      </c>
      <c r="C21" s="163" t="s">
        <v>6</v>
      </c>
      <c r="D21" s="162">
        <v>215</v>
      </c>
      <c r="E21" s="162">
        <v>201</v>
      </c>
      <c r="F21" s="110">
        <f t="shared" si="4"/>
        <v>116.56939009263786</v>
      </c>
      <c r="G21" s="7"/>
      <c r="H21" s="110">
        <f t="shared" ca="1" si="13"/>
        <v>369.99442271163451</v>
      </c>
      <c r="I21" s="110">
        <f t="shared" ca="1" si="0"/>
        <v>393.77008877325875</v>
      </c>
      <c r="J21" s="110">
        <f t="shared" ca="1" si="5"/>
        <v>107.82000346154942</v>
      </c>
      <c r="K21" s="110">
        <f t="shared" ca="1" si="6"/>
        <v>-8.7493866310884414</v>
      </c>
      <c r="M21" s="110">
        <f t="shared" ca="1" si="1"/>
        <v>367.80716773703227</v>
      </c>
      <c r="N21" s="110">
        <f t="shared" ca="1" si="1"/>
        <v>393.54796403996318</v>
      </c>
      <c r="O21" s="110">
        <f t="shared" ca="1" si="7"/>
        <v>117.1078576689566</v>
      </c>
      <c r="P21" s="110">
        <f t="shared" ca="1" si="8"/>
        <v>0.53846757631873743</v>
      </c>
      <c r="R21" s="110">
        <f t="shared" ca="1" si="2"/>
        <v>367.80716773703227</v>
      </c>
      <c r="S21" s="110">
        <f t="shared" ca="1" si="2"/>
        <v>393.54796403996318</v>
      </c>
      <c r="T21" s="110">
        <f t="shared" ca="1" si="9"/>
        <v>117.1078576689566</v>
      </c>
      <c r="U21" s="110">
        <f t="shared" ca="1" si="10"/>
        <v>0.53846757631873743</v>
      </c>
      <c r="W21" s="110">
        <f t="shared" ca="1" si="3"/>
        <v>369.9944227116344</v>
      </c>
      <c r="X21" s="110">
        <f t="shared" ca="1" si="3"/>
        <v>391.99543598174927</v>
      </c>
      <c r="Y21" s="110">
        <f t="shared" ca="1" si="11"/>
        <v>99.99999999999973</v>
      </c>
      <c r="Z21" s="110">
        <f t="shared" ca="1" si="12"/>
        <v>-16.56939009263813</v>
      </c>
    </row>
    <row r="22" spans="2:26" x14ac:dyDescent="0.2">
      <c r="B22" s="163" t="s">
        <v>72</v>
      </c>
      <c r="C22" s="163" t="s">
        <v>7</v>
      </c>
      <c r="D22" s="162">
        <v>192</v>
      </c>
      <c r="E22" s="162">
        <v>183</v>
      </c>
      <c r="F22" s="110">
        <f t="shared" si="4"/>
        <v>83.115194924536567</v>
      </c>
      <c r="G22" s="7"/>
      <c r="H22" s="110">
        <f t="shared" ca="1" si="13"/>
        <v>416.24372555058881</v>
      </c>
      <c r="I22" s="110">
        <f ca="1">VLOOKUP(C22,INDIRECT("'"&amp;$H$3&amp;"'!Master_Frequencies"),2,FALSE)</f>
        <v>440.00000000000006</v>
      </c>
      <c r="J22" s="110">
        <f t="shared" ca="1" si="5"/>
        <v>96.089998269224949</v>
      </c>
      <c r="K22" s="110">
        <f t="shared" ca="1" si="6"/>
        <v>12.974803344688382</v>
      </c>
      <c r="M22" s="110">
        <f t="shared" ca="1" si="1"/>
        <v>411.2209148358358</v>
      </c>
      <c r="N22" s="110">
        <f t="shared" ca="1" si="1"/>
        <v>440.00000000000023</v>
      </c>
      <c r="O22" s="110">
        <f t="shared" ca="1" si="7"/>
        <v>117.1078576689566</v>
      </c>
      <c r="P22" s="110">
        <f t="shared" ca="1" si="8"/>
        <v>33.992662744420031</v>
      </c>
      <c r="R22" s="110">
        <f t="shared" ca="1" si="2"/>
        <v>411.2209148358358</v>
      </c>
      <c r="S22" s="110">
        <f t="shared" ca="1" si="2"/>
        <v>440.00000000000023</v>
      </c>
      <c r="T22" s="110">
        <f t="shared" ca="1" si="9"/>
        <v>117.1078576689566</v>
      </c>
      <c r="U22" s="110">
        <f t="shared" ca="1" si="10"/>
        <v>33.992662744420031</v>
      </c>
      <c r="W22" s="110">
        <f t="shared" ca="1" si="3"/>
        <v>415.30469757994507</v>
      </c>
      <c r="X22" s="110">
        <f t="shared" ca="1" si="3"/>
        <v>439.99999999999994</v>
      </c>
      <c r="Y22" s="110">
        <f t="shared" ca="1" si="11"/>
        <v>100.00000000000007</v>
      </c>
      <c r="Z22" s="110">
        <f t="shared" ca="1" si="12"/>
        <v>16.884805075463504</v>
      </c>
    </row>
    <row r="23" spans="2:26" x14ac:dyDescent="0.2">
      <c r="B23" s="163" t="s">
        <v>73</v>
      </c>
      <c r="C23" s="163" t="s">
        <v>8</v>
      </c>
      <c r="D23" s="162">
        <v>172</v>
      </c>
      <c r="E23" s="162">
        <v>161</v>
      </c>
      <c r="F23" s="110">
        <f t="shared" si="4"/>
        <v>114.41745190497718</v>
      </c>
      <c r="H23" s="110">
        <f t="shared" ca="1" si="13"/>
        <v>468.27419124441241</v>
      </c>
      <c r="I23" s="110">
        <f t="shared" ca="1" si="13"/>
        <v>495.00000000000011</v>
      </c>
      <c r="J23" s="110">
        <f t="shared" ca="1" si="5"/>
        <v>96.089998269224949</v>
      </c>
      <c r="K23" s="110">
        <f t="shared" ca="1" si="6"/>
        <v>-18.327453635752235</v>
      </c>
      <c r="M23" s="110">
        <f t="shared" ref="M23:N23" ca="1" si="14">VLOOKUP(B23,INDIRECT("'"&amp;$M$3&amp;"'!Master_Frequencies"),2,FALSE)</f>
        <v>459.75895967129026</v>
      </c>
      <c r="N23" s="110">
        <f t="shared" ca="1" si="14"/>
        <v>491.93495504995394</v>
      </c>
      <c r="O23" s="110">
        <f t="shared" ca="1" si="7"/>
        <v>117.10785766895694</v>
      </c>
      <c r="P23" s="110">
        <f t="shared" ca="1" si="8"/>
        <v>2.6904057639797543</v>
      </c>
      <c r="R23" s="110">
        <f t="shared" ref="R23:S23" ca="1" si="15">VLOOKUP(B23,INDIRECT("'"&amp;$R$3&amp;"'!Master_Frequencies"),2,FALSE)</f>
        <v>470.79317470340129</v>
      </c>
      <c r="S23" s="110">
        <f t="shared" ca="1" si="15"/>
        <v>491.93495504995394</v>
      </c>
      <c r="T23" s="110">
        <f t="shared" ca="1" si="9"/>
        <v>76.048999263461113</v>
      </c>
      <c r="U23" s="110">
        <f t="shared" ca="1" si="10"/>
        <v>-38.368452641516072</v>
      </c>
      <c r="W23" s="110">
        <f t="shared" ref="W23:X23" ca="1" si="16">VLOOKUP(B23,INDIRECT("'"&amp;$W$3&amp;"'!Master_Frequencies"),2,FALSE)</f>
        <v>466.16376151808987</v>
      </c>
      <c r="X23" s="110">
        <f t="shared" ca="1" si="16"/>
        <v>493.88330125612407</v>
      </c>
      <c r="Y23" s="110">
        <f t="shared" ca="1" si="11"/>
        <v>100.00000000000007</v>
      </c>
      <c r="Z23" s="110">
        <f t="shared" ca="1" si="12"/>
        <v>-14.417451904977113</v>
      </c>
    </row>
    <row r="24" spans="2:26" x14ac:dyDescent="0.2">
      <c r="B24" s="119"/>
      <c r="C24" s="119"/>
      <c r="H24" s="288" t="str">
        <f ca="1">_xlfn.CONCAT($F$5," vs. ",H4)</f>
        <v>Template Instrument Fretted Fret Size cents vs. Werckmeister III</v>
      </c>
      <c r="I24" s="288"/>
      <c r="J24" s="288"/>
      <c r="K24" s="288"/>
      <c r="M24" s="278" t="str">
        <f ca="1">_xlfn.CONCAT($F$5," vs. ",M4)</f>
        <v>Template Instrument Fretted Fret Size cents vs. Meantone Quarter Comma</v>
      </c>
      <c r="N24" s="278"/>
      <c r="O24" s="278"/>
      <c r="P24" s="278"/>
      <c r="Q24" s="117"/>
      <c r="R24" s="288" t="str">
        <f ca="1">_xlfn.CONCAT($F$5," vs. ",R4)</f>
        <v>Template Instrument Fretted Fret Size cents vs. Meantone Octave with Matching Octaves</v>
      </c>
      <c r="S24" s="288"/>
      <c r="T24" s="288"/>
      <c r="U24" s="288"/>
      <c r="W24" s="288" t="str">
        <f ca="1">_xlfn.CONCAT($F$5," vs. ",W4)</f>
        <v>Template Instrument Fretted Fret Size cents vs. Equal Temperament</v>
      </c>
      <c r="X24" s="288"/>
      <c r="Y24" s="288"/>
      <c r="Z24" s="288"/>
    </row>
    <row r="25" spans="2:26" x14ac:dyDescent="0.2">
      <c r="B25" s="80" t="s">
        <v>63</v>
      </c>
      <c r="J25" s="119" t="s">
        <v>94</v>
      </c>
      <c r="K25" s="110">
        <f ca="1">SQRT(SUMSQ(K6:K23)/COUNT(K6:K23))</f>
        <v>25.207001547881131</v>
      </c>
      <c r="O25" s="119" t="s">
        <v>94</v>
      </c>
      <c r="P25" s="110">
        <f ca="1">SQRT(SUMSQ(P6:P23)/COUNT(P6:P23))</f>
        <v>34.645671597377401</v>
      </c>
      <c r="T25" s="119" t="s">
        <v>94</v>
      </c>
      <c r="U25" s="110">
        <f ca="1">SQRT(SUMSQ(U6:U23)/COUNT(U6:U23))</f>
        <v>26.194715763754118</v>
      </c>
      <c r="Y25" s="119" t="s">
        <v>94</v>
      </c>
      <c r="Z25" s="110">
        <f ca="1">SQRT(SUMSQ(Z6:Z23)/COUNT(Z6:Z23))</f>
        <v>28.423631212743363</v>
      </c>
    </row>
    <row r="26" spans="2:26" x14ac:dyDescent="0.2">
      <c r="B26" s="286"/>
      <c r="C26" s="286"/>
      <c r="D26" s="286"/>
      <c r="E26" s="286"/>
      <c r="X26" s="7"/>
    </row>
    <row r="28" spans="2:26" ht="19" x14ac:dyDescent="0.2">
      <c r="D28" s="7"/>
      <c r="N28" s="120"/>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D37" s="7"/>
      <c r="P37" s="7"/>
      <c r="R37" s="7"/>
    </row>
    <row r="38" spans="4:18" x14ac:dyDescent="0.2">
      <c r="D38" s="7"/>
      <c r="P38" s="7"/>
      <c r="R38" s="7"/>
    </row>
    <row r="39" spans="4:18" x14ac:dyDescent="0.2">
      <c r="D39" s="7"/>
      <c r="P39" s="7"/>
      <c r="R39" s="7"/>
    </row>
    <row r="40" spans="4:18" x14ac:dyDescent="0.2">
      <c r="P40" s="7"/>
      <c r="R40" s="7"/>
    </row>
  </sheetData>
  <sheetProtection sheet="1" scenarios="1" formatCells="0"/>
  <mergeCells count="15">
    <mergeCell ref="B26:E26"/>
    <mergeCell ref="H4:K4"/>
    <mergeCell ref="M4:P4"/>
    <mergeCell ref="R4:U4"/>
    <mergeCell ref="W4:Z4"/>
    <mergeCell ref="H24:K24"/>
    <mergeCell ref="M24:P24"/>
    <mergeCell ref="R24:U24"/>
    <mergeCell ref="W24:Z24"/>
    <mergeCell ref="B1:G1"/>
    <mergeCell ref="W3:Z3"/>
    <mergeCell ref="B3:E3"/>
    <mergeCell ref="H3:K3"/>
    <mergeCell ref="M3:P3"/>
    <mergeCell ref="R3:U3"/>
  </mergeCells>
  <conditionalFormatting sqref="A1:XFD1048576">
    <cfRule type="expression" dxfId="13" priority="1">
      <formula>CELL("protect",A1)=0</formula>
    </cfRule>
    <cfRule type="expression" dxfId="12" priority="2">
      <formula>_xlfn.ISFORMULA(A1)</formula>
    </cfRule>
  </conditionalFormatting>
  <hyperlinks>
    <hyperlink ref="B25" location="Overview!A1" display="Back to Overview" xr:uid="{6516928A-9FBF-3D44-99B0-09F866929A7E}"/>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6CA32-88A4-6F45-BEB8-A2735E066A5E}">
  <sheetPr codeName="Sheet50">
    <tabColor rgb="FFFFFF00"/>
  </sheetPr>
  <dimension ref="B1:M50"/>
  <sheetViews>
    <sheetView zoomScale="94" zoomScaleNormal="100" workbookViewId="0"/>
  </sheetViews>
  <sheetFormatPr baseColWidth="10" defaultRowHeight="16" x14ac:dyDescent="0.2"/>
  <cols>
    <col min="1" max="1" width="2.83203125" customWidth="1"/>
    <col min="8" max="9" width="10.83203125" customWidth="1"/>
    <col min="10" max="10" width="10.83203125" style="199" customWidth="1"/>
  </cols>
  <sheetData>
    <row r="1" spans="2:13" ht="19" x14ac:dyDescent="0.25">
      <c r="B1" s="294" t="s">
        <v>565</v>
      </c>
      <c r="C1" s="294"/>
      <c r="D1" s="294"/>
      <c r="E1" s="294"/>
      <c r="F1" s="294"/>
      <c r="G1" s="294"/>
      <c r="H1" s="294"/>
      <c r="I1" s="294"/>
      <c r="J1" s="294"/>
      <c r="M1" t="s">
        <v>564</v>
      </c>
    </row>
    <row r="2" spans="2:13" ht="19" x14ac:dyDescent="0.25">
      <c r="B2" s="219"/>
      <c r="C2" s="219"/>
      <c r="D2" s="219"/>
      <c r="E2" s="219"/>
      <c r="F2" s="219"/>
      <c r="G2" s="219"/>
      <c r="H2" s="219"/>
      <c r="I2" s="219"/>
      <c r="J2" s="219"/>
    </row>
    <row r="3" spans="2:13" ht="19" x14ac:dyDescent="0.25">
      <c r="B3" s="219"/>
      <c r="C3" s="219"/>
      <c r="D3" s="219"/>
      <c r="E3" s="219"/>
      <c r="F3" s="219"/>
      <c r="G3" s="219"/>
      <c r="H3" s="219"/>
      <c r="I3" s="219"/>
      <c r="J3" s="219"/>
    </row>
    <row r="4" spans="2:13" ht="19" x14ac:dyDescent="0.25">
      <c r="B4" s="217" t="s">
        <v>63</v>
      </c>
      <c r="C4" s="219"/>
      <c r="D4" s="219"/>
      <c r="E4" s="219"/>
      <c r="F4" s="219"/>
      <c r="G4" s="219"/>
      <c r="H4" s="219"/>
      <c r="I4" s="219"/>
      <c r="J4" s="219"/>
    </row>
    <row r="5" spans="2:13" ht="19" x14ac:dyDescent="0.25">
      <c r="B5" s="219"/>
      <c r="C5" s="219"/>
      <c r="D5" s="219"/>
      <c r="E5" s="219"/>
      <c r="F5" s="219"/>
      <c r="G5" s="219"/>
      <c r="H5" s="219"/>
      <c r="I5" s="219"/>
      <c r="J5" s="219"/>
    </row>
    <row r="7" spans="2:13" s="203" customFormat="1" x14ac:dyDescent="0.2">
      <c r="B7" s="295" t="s">
        <v>59</v>
      </c>
      <c r="C7" s="296"/>
      <c r="D7" s="296"/>
      <c r="E7" s="296"/>
      <c r="F7" s="296"/>
      <c r="G7" s="297"/>
      <c r="H7" s="204" t="s">
        <v>566</v>
      </c>
      <c r="I7" s="298" t="s">
        <v>570</v>
      </c>
      <c r="J7" s="299"/>
      <c r="K7" s="299"/>
      <c r="L7" s="300"/>
    </row>
    <row r="8" spans="2:13" s="200" customFormat="1" ht="51" x14ac:dyDescent="0.2">
      <c r="B8" s="208" t="s">
        <v>56</v>
      </c>
      <c r="C8" s="209" t="s">
        <v>57</v>
      </c>
      <c r="D8" s="210" t="s">
        <v>563</v>
      </c>
      <c r="E8" s="210" t="s">
        <v>562</v>
      </c>
      <c r="F8" s="210" t="s">
        <v>561</v>
      </c>
      <c r="G8" s="210" t="s">
        <v>560</v>
      </c>
      <c r="H8" s="211" t="s">
        <v>559</v>
      </c>
      <c r="I8" s="244" t="s">
        <v>567</v>
      </c>
      <c r="J8" s="212" t="s">
        <v>568</v>
      </c>
      <c r="K8" s="212" t="s">
        <v>569</v>
      </c>
      <c r="L8" s="213" t="s">
        <v>572</v>
      </c>
    </row>
    <row r="9" spans="2:13" x14ac:dyDescent="0.2">
      <c r="B9" s="178" t="s">
        <v>5</v>
      </c>
      <c r="C9" s="163" t="s">
        <v>70</v>
      </c>
      <c r="D9" s="162">
        <v>758.5</v>
      </c>
      <c r="E9" s="162">
        <v>719</v>
      </c>
      <c r="F9" s="162">
        <v>751</v>
      </c>
      <c r="G9" s="162">
        <v>711.5</v>
      </c>
      <c r="H9" s="199">
        <f t="shared" ref="H9:H26" si="0">IF(B9&lt;&gt;"",1200*LOG((F9)/(G9),2)-1200*LOG(D9/(E9),2),"")</f>
        <v>0.95008941606464248</v>
      </c>
      <c r="I9" s="168">
        <v>0.5</v>
      </c>
      <c r="J9" s="199">
        <f t="shared" ref="J9:J26" si="1">IF(B9&lt;&gt;"",1200*LOG((F9-I9)/(G9-I9),2)-1200*LOG((D9+I9)/(E9+I9),2),"")</f>
        <v>1.0767759913258317</v>
      </c>
      <c r="K9" s="199">
        <f t="shared" ref="K9:K26" si="2">IF(B9&lt;&gt;"",1200*LOG((F9+I9)/(G9+I9),2)-1200*LOG((D9-I9)/(E9-I9),2),"")</f>
        <v>0.82340548345365505</v>
      </c>
      <c r="L9" s="202">
        <f t="shared" ref="L9:L26" si="3">IF(B9&lt;&gt;"",J9-H9,"")</f>
        <v>0.1266865752611892</v>
      </c>
    </row>
    <row r="10" spans="2:13" x14ac:dyDescent="0.2">
      <c r="B10" s="178" t="s">
        <v>6</v>
      </c>
      <c r="C10" s="163" t="s">
        <v>72</v>
      </c>
      <c r="D10" s="162">
        <v>687</v>
      </c>
      <c r="E10" s="162">
        <v>650.5</v>
      </c>
      <c r="F10" s="162">
        <v>680.5</v>
      </c>
      <c r="G10" s="162">
        <v>644.5</v>
      </c>
      <c r="H10" s="199">
        <f t="shared" si="0"/>
        <v>-0.41548674955289755</v>
      </c>
      <c r="I10" s="168">
        <v>0.5</v>
      </c>
      <c r="J10" s="199">
        <f t="shared" si="1"/>
        <v>-0.27373453279702176</v>
      </c>
      <c r="K10" s="199">
        <f t="shared" si="2"/>
        <v>-0.55723743579490304</v>
      </c>
      <c r="L10" s="202">
        <f t="shared" si="3"/>
        <v>0.14175221675587579</v>
      </c>
    </row>
    <row r="11" spans="2:13" x14ac:dyDescent="0.2">
      <c r="B11" s="178" t="s">
        <v>73</v>
      </c>
      <c r="C11" s="163" t="s">
        <v>8</v>
      </c>
      <c r="D11" s="162">
        <v>580</v>
      </c>
      <c r="E11" s="162">
        <v>549</v>
      </c>
      <c r="F11" s="162">
        <v>574</v>
      </c>
      <c r="G11" s="162">
        <v>543</v>
      </c>
      <c r="H11" s="199">
        <f t="shared" si="0"/>
        <v>1.0221454339084772</v>
      </c>
      <c r="I11" s="168">
        <v>0.5</v>
      </c>
      <c r="J11" s="199">
        <f t="shared" si="1"/>
        <v>1.1925153211777086</v>
      </c>
      <c r="K11" s="199">
        <f t="shared" si="2"/>
        <v>0.85178041863025555</v>
      </c>
      <c r="L11" s="202">
        <f t="shared" si="3"/>
        <v>0.17036988726923141</v>
      </c>
    </row>
    <row r="12" spans="2:13" x14ac:dyDescent="0.2">
      <c r="B12" s="178" t="s">
        <v>2</v>
      </c>
      <c r="C12" s="163" t="s">
        <v>74</v>
      </c>
      <c r="D12" s="162">
        <v>520.5</v>
      </c>
      <c r="E12" s="162">
        <v>494.5</v>
      </c>
      <c r="F12" s="162">
        <v>514.5</v>
      </c>
      <c r="G12" s="162">
        <v>488</v>
      </c>
      <c r="H12" s="199">
        <f t="shared" si="0"/>
        <v>2.8347441489311507</v>
      </c>
      <c r="I12" s="168">
        <v>0.5</v>
      </c>
      <c r="J12" s="199">
        <f t="shared" si="1"/>
        <v>3.0135518944426565</v>
      </c>
      <c r="K12" s="199">
        <f t="shared" si="2"/>
        <v>2.6559463901025282</v>
      </c>
      <c r="L12" s="202">
        <f t="shared" si="3"/>
        <v>0.1788077455115058</v>
      </c>
    </row>
    <row r="13" spans="2:13" x14ac:dyDescent="0.2">
      <c r="B13" s="178" t="s">
        <v>76</v>
      </c>
      <c r="C13" s="163" t="s">
        <v>4</v>
      </c>
      <c r="D13" s="162">
        <v>440</v>
      </c>
      <c r="E13" s="162">
        <v>416</v>
      </c>
      <c r="F13" s="162">
        <v>435</v>
      </c>
      <c r="G13" s="162">
        <v>411</v>
      </c>
      <c r="H13" s="199">
        <f t="shared" si="0"/>
        <v>1.1484140050082345</v>
      </c>
      <c r="I13" s="168">
        <v>0.5</v>
      </c>
      <c r="J13" s="199">
        <f t="shared" si="1"/>
        <v>1.3781177780751079</v>
      </c>
      <c r="K13" s="199">
        <f t="shared" si="2"/>
        <v>0.91871976501542463</v>
      </c>
      <c r="L13" s="202">
        <f t="shared" si="3"/>
        <v>0.2297037730668734</v>
      </c>
    </row>
    <row r="14" spans="2:13" x14ac:dyDescent="0.2">
      <c r="B14" s="178" t="s">
        <v>5</v>
      </c>
      <c r="C14" s="163" t="s">
        <v>70</v>
      </c>
      <c r="D14" s="162">
        <v>389.5</v>
      </c>
      <c r="E14" s="162">
        <v>370</v>
      </c>
      <c r="F14" s="162">
        <v>385.5</v>
      </c>
      <c r="G14" s="162">
        <v>366</v>
      </c>
      <c r="H14" s="199">
        <f t="shared" si="0"/>
        <v>0.94698490276169878</v>
      </c>
      <c r="I14" s="168">
        <v>0.5</v>
      </c>
      <c r="J14" s="199">
        <f t="shared" si="1"/>
        <v>1.1837498232596175</v>
      </c>
      <c r="K14" s="199">
        <f t="shared" si="2"/>
        <v>0.71022995307323811</v>
      </c>
      <c r="L14" s="202">
        <f t="shared" si="3"/>
        <v>0.23676492049791875</v>
      </c>
    </row>
    <row r="15" spans="2:13" x14ac:dyDescent="0.2">
      <c r="B15" s="178" t="s">
        <v>6</v>
      </c>
      <c r="C15" s="163" t="s">
        <v>72</v>
      </c>
      <c r="D15" s="162">
        <v>348</v>
      </c>
      <c r="E15" s="162">
        <v>330</v>
      </c>
      <c r="F15" s="162">
        <v>345.5</v>
      </c>
      <c r="G15" s="162">
        <v>327.5</v>
      </c>
      <c r="H15" s="199">
        <f t="shared" si="0"/>
        <v>0.68342683264027926</v>
      </c>
      <c r="I15" s="168">
        <v>0.5</v>
      </c>
      <c r="J15" s="199">
        <f t="shared" si="1"/>
        <v>0.95681016806061336</v>
      </c>
      <c r="K15" s="199">
        <f t="shared" si="2"/>
        <v>0.41005249898765328</v>
      </c>
      <c r="L15" s="202">
        <f t="shared" si="3"/>
        <v>0.27338333542033411</v>
      </c>
    </row>
    <row r="16" spans="2:13" x14ac:dyDescent="0.2">
      <c r="B16" s="178" t="s">
        <v>73</v>
      </c>
      <c r="C16" s="163" t="s">
        <v>8</v>
      </c>
      <c r="D16" s="162">
        <v>290</v>
      </c>
      <c r="E16" s="162">
        <v>275</v>
      </c>
      <c r="F16" s="162">
        <v>288.5</v>
      </c>
      <c r="G16" s="162">
        <v>273.5</v>
      </c>
      <c r="H16" s="199">
        <f t="shared" si="0"/>
        <v>0.49104510001606627</v>
      </c>
      <c r="I16" s="168">
        <v>0.5</v>
      </c>
      <c r="J16" s="199">
        <f t="shared" si="1"/>
        <v>0.81841882690633838</v>
      </c>
      <c r="K16" s="199">
        <f t="shared" si="2"/>
        <v>0.16368066733684827</v>
      </c>
      <c r="L16" s="202">
        <f t="shared" si="3"/>
        <v>0.32737372689027211</v>
      </c>
    </row>
    <row r="17" spans="2:12" x14ac:dyDescent="0.2">
      <c r="B17" s="178" t="s">
        <v>2</v>
      </c>
      <c r="C17" s="163" t="s">
        <v>74</v>
      </c>
      <c r="D17" s="162">
        <v>260</v>
      </c>
      <c r="E17" s="162">
        <v>247</v>
      </c>
      <c r="F17" s="162">
        <v>258</v>
      </c>
      <c r="G17" s="162">
        <v>245</v>
      </c>
      <c r="H17" s="199">
        <f t="shared" si="0"/>
        <v>0.7064819722880884</v>
      </c>
      <c r="I17" s="168">
        <v>0.5</v>
      </c>
      <c r="J17" s="199">
        <f t="shared" si="1"/>
        <v>1.0597437681731634</v>
      </c>
      <c r="K17" s="199">
        <f t="shared" si="2"/>
        <v>0.35323682432661485</v>
      </c>
      <c r="L17" s="202">
        <f t="shared" si="3"/>
        <v>0.353261795885075</v>
      </c>
    </row>
    <row r="18" spans="2:12" x14ac:dyDescent="0.2">
      <c r="B18" s="178" t="s">
        <v>76</v>
      </c>
      <c r="C18" s="163" t="s">
        <v>4</v>
      </c>
      <c r="D18" s="162">
        <v>220</v>
      </c>
      <c r="E18" s="162">
        <v>208</v>
      </c>
      <c r="F18" s="162">
        <v>219.5</v>
      </c>
      <c r="G18" s="162">
        <v>208</v>
      </c>
      <c r="H18" s="199">
        <f t="shared" si="0"/>
        <v>-3.9391007871618626</v>
      </c>
      <c r="I18" s="168">
        <v>0.5</v>
      </c>
      <c r="J18" s="199">
        <f t="shared" si="1"/>
        <v>-3.4940864951650497</v>
      </c>
      <c r="K18" s="199">
        <f t="shared" si="2"/>
        <v>-4.3841558652899693</v>
      </c>
      <c r="L18" s="202">
        <f t="shared" si="3"/>
        <v>0.44501429199681297</v>
      </c>
    </row>
    <row r="19" spans="2:12" x14ac:dyDescent="0.2">
      <c r="B19" s="178" t="s">
        <v>5</v>
      </c>
      <c r="C19" s="163" t="s">
        <v>70</v>
      </c>
      <c r="D19" s="162">
        <v>195.5</v>
      </c>
      <c r="E19" s="162">
        <v>185.5</v>
      </c>
      <c r="F19" s="162">
        <v>195.5</v>
      </c>
      <c r="G19" s="162">
        <v>185.5</v>
      </c>
      <c r="H19" s="199">
        <f t="shared" si="0"/>
        <v>0</v>
      </c>
      <c r="I19" s="168">
        <v>0.5</v>
      </c>
      <c r="J19" s="199">
        <f t="shared" si="1"/>
        <v>0.47738427134598282</v>
      </c>
      <c r="K19" s="199">
        <f t="shared" si="2"/>
        <v>-0.47738427134598282</v>
      </c>
      <c r="L19" s="202">
        <f t="shared" si="3"/>
        <v>0.47738427134598282</v>
      </c>
    </row>
    <row r="20" spans="2:12" x14ac:dyDescent="0.2">
      <c r="B20" s="178" t="s">
        <v>6</v>
      </c>
      <c r="C20" s="163" t="s">
        <v>72</v>
      </c>
      <c r="D20" s="162">
        <v>174</v>
      </c>
      <c r="E20" s="162">
        <v>165</v>
      </c>
      <c r="F20" s="162">
        <v>174</v>
      </c>
      <c r="G20" s="162">
        <v>165</v>
      </c>
      <c r="H20" s="199">
        <f t="shared" si="0"/>
        <v>0</v>
      </c>
      <c r="I20" s="168">
        <v>0.5</v>
      </c>
      <c r="J20" s="199">
        <f t="shared" si="1"/>
        <v>0.54271132870181304</v>
      </c>
      <c r="K20" s="199">
        <f t="shared" si="2"/>
        <v>-0.54271132870181304</v>
      </c>
      <c r="L20" s="202">
        <f t="shared" si="3"/>
        <v>0.54271132870181304</v>
      </c>
    </row>
    <row r="21" spans="2:12" x14ac:dyDescent="0.2">
      <c r="B21" s="178" t="s">
        <v>73</v>
      </c>
      <c r="C21" s="163" t="s">
        <v>8</v>
      </c>
      <c r="D21" s="162">
        <v>146.5</v>
      </c>
      <c r="E21" s="162">
        <v>138.5</v>
      </c>
      <c r="F21" s="162">
        <v>146</v>
      </c>
      <c r="G21" s="162">
        <v>138</v>
      </c>
      <c r="H21" s="199">
        <f t="shared" si="0"/>
        <v>0.34249647454652177</v>
      </c>
      <c r="I21" s="168">
        <v>0.5</v>
      </c>
      <c r="J21" s="199">
        <f t="shared" si="1"/>
        <v>1.0275148600856596</v>
      </c>
      <c r="K21" s="199">
        <f t="shared" si="2"/>
        <v>-0.34249647454652177</v>
      </c>
      <c r="L21" s="202">
        <f t="shared" si="3"/>
        <v>0.68501838553913785</v>
      </c>
    </row>
    <row r="22" spans="2:12" x14ac:dyDescent="0.2">
      <c r="B22" s="178"/>
      <c r="C22" s="163"/>
      <c r="D22" s="162"/>
      <c r="E22" s="162"/>
      <c r="F22" s="162"/>
      <c r="G22" s="162"/>
      <c r="H22" s="199" t="str">
        <f t="shared" si="0"/>
        <v/>
      </c>
      <c r="I22" s="168"/>
      <c r="J22" s="199" t="str">
        <f t="shared" si="1"/>
        <v/>
      </c>
      <c r="K22" s="199" t="str">
        <f t="shared" si="2"/>
        <v/>
      </c>
      <c r="L22" s="202" t="str">
        <f t="shared" si="3"/>
        <v/>
      </c>
    </row>
    <row r="23" spans="2:12" x14ac:dyDescent="0.2">
      <c r="B23" s="178"/>
      <c r="C23" s="163"/>
      <c r="D23" s="162"/>
      <c r="E23" s="162"/>
      <c r="F23" s="162"/>
      <c r="G23" s="162"/>
      <c r="H23" s="199" t="str">
        <f t="shared" si="0"/>
        <v/>
      </c>
      <c r="I23" s="168"/>
      <c r="J23" s="199" t="str">
        <f t="shared" si="1"/>
        <v/>
      </c>
      <c r="K23" s="199" t="str">
        <f t="shared" si="2"/>
        <v/>
      </c>
      <c r="L23" s="202" t="str">
        <f t="shared" si="3"/>
        <v/>
      </c>
    </row>
    <row r="24" spans="2:12" x14ac:dyDescent="0.2">
      <c r="B24" s="178"/>
      <c r="C24" s="163"/>
      <c r="D24" s="162"/>
      <c r="E24" s="162"/>
      <c r="F24" s="162"/>
      <c r="G24" s="162"/>
      <c r="H24" s="199" t="str">
        <f t="shared" si="0"/>
        <v/>
      </c>
      <c r="I24" s="168"/>
      <c r="J24" s="199" t="str">
        <f t="shared" si="1"/>
        <v/>
      </c>
      <c r="K24" s="199" t="str">
        <f t="shared" si="2"/>
        <v/>
      </c>
      <c r="L24" s="202" t="str">
        <f t="shared" si="3"/>
        <v/>
      </c>
    </row>
    <row r="25" spans="2:12" x14ac:dyDescent="0.2">
      <c r="B25" s="178"/>
      <c r="C25" s="163"/>
      <c r="D25" s="162"/>
      <c r="E25" s="162"/>
      <c r="F25" s="162"/>
      <c r="G25" s="162"/>
      <c r="H25" s="199" t="str">
        <f t="shared" si="0"/>
        <v/>
      </c>
      <c r="I25" s="168"/>
      <c r="J25" s="199" t="str">
        <f t="shared" si="1"/>
        <v/>
      </c>
      <c r="K25" s="199" t="str">
        <f t="shared" si="2"/>
        <v/>
      </c>
      <c r="L25" s="202" t="str">
        <f t="shared" si="3"/>
        <v/>
      </c>
    </row>
    <row r="26" spans="2:12" x14ac:dyDescent="0.2">
      <c r="B26" s="179"/>
      <c r="C26" s="180"/>
      <c r="D26" s="169"/>
      <c r="E26" s="169"/>
      <c r="F26" s="169"/>
      <c r="G26" s="169"/>
      <c r="H26" s="202" t="str">
        <f t="shared" si="0"/>
        <v/>
      </c>
      <c r="I26" s="214"/>
      <c r="J26" s="205" t="str">
        <f t="shared" si="1"/>
        <v/>
      </c>
      <c r="K26" s="205" t="str">
        <f t="shared" si="2"/>
        <v/>
      </c>
      <c r="L26" s="201" t="str">
        <f t="shared" si="3"/>
        <v/>
      </c>
    </row>
    <row r="27" spans="2:12" x14ac:dyDescent="0.2">
      <c r="G27" s="206" t="s">
        <v>571</v>
      </c>
      <c r="H27" s="207">
        <f>IF(MAX(H9:H26)&gt;ABS(MIN(H9:H26)),MAX(H9:H26),MIN(H9:H26))</f>
        <v>-3.9391007871618626</v>
      </c>
      <c r="I27" s="199"/>
      <c r="J27"/>
    </row>
    <row r="28" spans="2:12" x14ac:dyDescent="0.2">
      <c r="G28" s="215"/>
      <c r="H28" s="216"/>
      <c r="I28" s="199"/>
      <c r="J28"/>
    </row>
    <row r="29" spans="2:12" x14ac:dyDescent="0.2">
      <c r="G29" s="215"/>
      <c r="H29" s="216"/>
      <c r="I29" s="199"/>
      <c r="J29"/>
    </row>
    <row r="31" spans="2:12" x14ac:dyDescent="0.2">
      <c r="B31" s="203"/>
      <c r="C31" s="203"/>
      <c r="D31" s="203"/>
      <c r="E31" s="203"/>
      <c r="F31" s="203"/>
      <c r="G31" s="203"/>
      <c r="H31" s="203"/>
      <c r="I31" s="203"/>
      <c r="J31" s="203"/>
    </row>
    <row r="32" spans="2:12" x14ac:dyDescent="0.2">
      <c r="B32" s="200"/>
      <c r="C32" s="200"/>
      <c r="D32" s="215"/>
      <c r="E32" s="215"/>
      <c r="F32" s="241"/>
      <c r="G32" s="241"/>
      <c r="H32" s="241"/>
      <c r="I32" s="241"/>
      <c r="J32" s="241"/>
    </row>
    <row r="33" spans="2:10" x14ac:dyDescent="0.2">
      <c r="B33" s="242"/>
      <c r="C33" s="242"/>
      <c r="D33" s="243"/>
      <c r="E33" s="243"/>
      <c r="F33" s="77"/>
      <c r="G33" s="77"/>
      <c r="H33" s="77"/>
      <c r="I33" s="77"/>
      <c r="J33"/>
    </row>
    <row r="34" spans="2:10" x14ac:dyDescent="0.2">
      <c r="B34" s="242"/>
      <c r="C34" s="242"/>
      <c r="D34" s="243"/>
      <c r="E34" s="243"/>
      <c r="F34" s="77"/>
      <c r="G34" s="77"/>
      <c r="H34" s="77"/>
      <c r="I34" s="77"/>
      <c r="J34"/>
    </row>
    <row r="35" spans="2:10" x14ac:dyDescent="0.2">
      <c r="B35" s="242"/>
      <c r="C35" s="242"/>
      <c r="D35" s="243"/>
      <c r="E35" s="243"/>
      <c r="F35" s="77"/>
      <c r="G35" s="77"/>
      <c r="H35" s="77"/>
      <c r="I35" s="77"/>
      <c r="J35"/>
    </row>
    <row r="36" spans="2:10" x14ac:dyDescent="0.2">
      <c r="B36" s="242"/>
      <c r="C36" s="242"/>
      <c r="D36" s="243"/>
      <c r="E36" s="243"/>
      <c r="F36" s="77"/>
      <c r="G36" s="77"/>
      <c r="H36" s="77"/>
      <c r="I36" s="77"/>
      <c r="J36"/>
    </row>
    <row r="37" spans="2:10" x14ac:dyDescent="0.2">
      <c r="B37" s="242"/>
      <c r="C37" s="242"/>
      <c r="D37" s="243"/>
      <c r="E37" s="243"/>
      <c r="F37" s="77"/>
      <c r="G37" s="77"/>
      <c r="H37" s="77"/>
      <c r="I37" s="77"/>
      <c r="J37"/>
    </row>
    <row r="38" spans="2:10" x14ac:dyDescent="0.2">
      <c r="B38" s="242"/>
      <c r="C38" s="242"/>
      <c r="D38" s="243"/>
      <c r="E38" s="243"/>
      <c r="F38" s="77"/>
      <c r="G38" s="77"/>
      <c r="H38" s="77"/>
      <c r="I38" s="77"/>
      <c r="J38"/>
    </row>
    <row r="39" spans="2:10" x14ac:dyDescent="0.2">
      <c r="B39" s="242"/>
      <c r="C39" s="242"/>
      <c r="D39" s="243"/>
      <c r="E39" s="243"/>
      <c r="F39" s="77"/>
      <c r="G39" s="77"/>
      <c r="H39" s="77"/>
      <c r="I39" s="77"/>
      <c r="J39"/>
    </row>
    <row r="40" spans="2:10" x14ac:dyDescent="0.2">
      <c r="B40" s="242"/>
      <c r="C40" s="242"/>
      <c r="D40" s="243"/>
      <c r="E40" s="243"/>
      <c r="F40" s="77"/>
      <c r="G40" s="77"/>
      <c r="H40" s="77"/>
      <c r="I40" s="77"/>
      <c r="J40"/>
    </row>
    <row r="41" spans="2:10" x14ac:dyDescent="0.2">
      <c r="B41" s="242"/>
      <c r="C41" s="242"/>
      <c r="D41" s="243"/>
      <c r="E41" s="243"/>
      <c r="F41" s="77"/>
      <c r="G41" s="77"/>
      <c r="H41" s="77"/>
      <c r="I41" s="77"/>
      <c r="J41"/>
    </row>
    <row r="42" spans="2:10" x14ac:dyDescent="0.2">
      <c r="B42" s="242"/>
      <c r="C42" s="242"/>
      <c r="D42" s="243"/>
      <c r="E42" s="243"/>
      <c r="F42" s="77"/>
      <c r="G42" s="77"/>
      <c r="H42" s="77"/>
      <c r="I42" s="77"/>
      <c r="J42"/>
    </row>
    <row r="43" spans="2:10" x14ac:dyDescent="0.2">
      <c r="B43" s="242"/>
      <c r="C43" s="242"/>
      <c r="D43" s="243"/>
      <c r="E43" s="243"/>
      <c r="F43" s="77"/>
      <c r="G43" s="77"/>
      <c r="H43" s="77"/>
      <c r="I43" s="77"/>
      <c r="J43"/>
    </row>
    <row r="44" spans="2:10" x14ac:dyDescent="0.2">
      <c r="B44" s="242"/>
      <c r="C44" s="242"/>
      <c r="D44" s="243"/>
      <c r="E44" s="243"/>
      <c r="F44" s="77"/>
      <c r="G44" s="77"/>
      <c r="H44" s="77"/>
      <c r="I44" s="77"/>
      <c r="J44"/>
    </row>
    <row r="45" spans="2:10" x14ac:dyDescent="0.2">
      <c r="B45" s="242"/>
      <c r="C45" s="242"/>
      <c r="D45" s="243"/>
      <c r="E45" s="243"/>
      <c r="F45" s="77"/>
      <c r="G45" s="77"/>
      <c r="H45" s="77"/>
      <c r="I45" s="77"/>
      <c r="J45"/>
    </row>
    <row r="46" spans="2:10" x14ac:dyDescent="0.2">
      <c r="B46" s="242"/>
      <c r="C46" s="242"/>
      <c r="F46" s="77"/>
      <c r="G46" s="77"/>
      <c r="H46" s="77"/>
      <c r="I46" s="77"/>
      <c r="J46"/>
    </row>
    <row r="47" spans="2:10" x14ac:dyDescent="0.2">
      <c r="B47" s="242"/>
      <c r="C47" s="242"/>
      <c r="F47" s="77"/>
      <c r="G47" s="77"/>
      <c r="H47" s="77"/>
      <c r="I47" s="77"/>
      <c r="J47"/>
    </row>
    <row r="48" spans="2:10" x14ac:dyDescent="0.2">
      <c r="B48" s="242"/>
      <c r="C48" s="242"/>
      <c r="F48" s="77"/>
      <c r="G48" s="77"/>
      <c r="H48" s="77"/>
      <c r="I48" s="77"/>
      <c r="J48"/>
    </row>
    <row r="49" spans="2:10" x14ac:dyDescent="0.2">
      <c r="B49" s="242"/>
      <c r="C49" s="242"/>
      <c r="F49" s="77"/>
      <c r="G49" s="77"/>
      <c r="H49" s="77"/>
      <c r="I49" s="77"/>
      <c r="J49"/>
    </row>
    <row r="50" spans="2:10" x14ac:dyDescent="0.2">
      <c r="B50" s="242"/>
      <c r="C50" s="242"/>
      <c r="F50" s="77"/>
      <c r="G50" s="77"/>
      <c r="H50" s="77"/>
      <c r="I50" s="77"/>
      <c r="J50" s="77"/>
    </row>
  </sheetData>
  <sheetProtection sheet="1" scenarios="1"/>
  <mergeCells count="3">
    <mergeCell ref="B1:J1"/>
    <mergeCell ref="B7:G7"/>
    <mergeCell ref="I7:L7"/>
  </mergeCells>
  <conditionalFormatting sqref="A1:XFD1048576">
    <cfRule type="expression" dxfId="11" priority="3">
      <formula>CELL("protect",A1)=0</formula>
    </cfRule>
    <cfRule type="expression" dxfId="10" priority="4">
      <formula>_xlfn.ISFORMULA(A1)</formula>
    </cfRule>
  </conditionalFormatting>
  <hyperlinks>
    <hyperlink ref="B4" location="Overview!A1" display="Back to Overview" xr:uid="{DAC028BF-F3FB-884D-9F13-EA9C7E8FAF10}"/>
  </hyperlinks>
  <pageMargins left="0.7" right="0.7" top="0.75" bottom="0.75" header="0.3" footer="0.3"/>
  <drawing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B99CC-7DD5-A44F-85B3-396F6C77431C}">
  <sheetPr codeName="Sheet28">
    <tabColor rgb="FFFFFF00"/>
  </sheetPr>
  <dimension ref="A1:AG58"/>
  <sheetViews>
    <sheetView zoomScale="90" zoomScaleNormal="90" workbookViewId="0"/>
  </sheetViews>
  <sheetFormatPr baseColWidth="10" defaultColWidth="12" defaultRowHeight="16" x14ac:dyDescent="0.2"/>
  <cols>
    <col min="1" max="1" width="2.83203125" style="110" customWidth="1"/>
    <col min="2" max="5" width="12" style="110"/>
    <col min="6" max="6" width="18.83203125" style="110" customWidth="1"/>
    <col min="7" max="7" width="12.83203125" style="110" customWidth="1"/>
    <col min="8" max="8" width="12" style="110"/>
    <col min="9" max="9" width="18.83203125" style="110" customWidth="1"/>
    <col min="10" max="10" width="12.83203125" style="110" customWidth="1"/>
    <col min="11" max="11" width="12" style="110"/>
    <col min="12" max="12" width="18.83203125" style="110" customWidth="1"/>
    <col min="13" max="13" width="12.83203125" style="110" customWidth="1"/>
    <col min="14" max="14" width="12" style="110"/>
    <col min="15" max="15" width="18.83203125" style="110" customWidth="1"/>
    <col min="16" max="16" width="12.83203125" style="110" customWidth="1"/>
    <col min="17" max="17" width="4.83203125" style="110" customWidth="1"/>
    <col min="18" max="18" width="7.33203125" style="110" customWidth="1"/>
    <col min="19" max="19" width="9.5" style="110" customWidth="1"/>
    <col min="20" max="20" width="12" style="110"/>
    <col min="21" max="21" width="7.6640625" style="110" customWidth="1"/>
    <col min="22" max="22" width="9.6640625" style="110" customWidth="1"/>
    <col min="23" max="27" width="12" style="110"/>
    <col min="28" max="28" width="10.33203125" style="110" customWidth="1"/>
    <col min="29" max="29" width="9.83203125" style="110" customWidth="1"/>
    <col min="30" max="30" width="7.5" style="110" customWidth="1"/>
    <col min="31" max="31" width="12" style="110"/>
    <col min="32" max="32" width="11.83203125" style="110" customWidth="1"/>
    <col min="33" max="16384" width="12" style="110"/>
  </cols>
  <sheetData>
    <row r="1" spans="1:33" s="111" customFormat="1" ht="18" x14ac:dyDescent="0.2">
      <c r="A1" s="110"/>
      <c r="B1" s="289" t="s">
        <v>578</v>
      </c>
      <c r="C1" s="289"/>
      <c r="D1" s="289"/>
      <c r="E1" s="289"/>
      <c r="F1" s="289"/>
      <c r="L1" s="111" t="s">
        <v>579</v>
      </c>
    </row>
    <row r="2" spans="1:33" x14ac:dyDescent="0.2">
      <c r="B2" s="70"/>
      <c r="C2" s="70"/>
      <c r="D2" s="72"/>
      <c r="E2" s="72"/>
      <c r="F2" s="102"/>
      <c r="H2" s="103" t="s">
        <v>143</v>
      </c>
      <c r="I2" s="161">
        <v>440</v>
      </c>
      <c r="J2" s="103" t="str">
        <f>_xlfn.CONCAT("C for A=", I2,":")</f>
        <v>C for A=440:</v>
      </c>
      <c r="K2" s="4">
        <f>I2*C18/C9</f>
        <v>263.53190900217373</v>
      </c>
      <c r="AC2" s="70"/>
      <c r="AD2" s="70"/>
    </row>
    <row r="3" spans="1:33" x14ac:dyDescent="0.2">
      <c r="C3" s="74"/>
      <c r="D3" s="121"/>
      <c r="E3" s="4"/>
      <c r="F3" s="4"/>
      <c r="G3" s="4"/>
      <c r="H3" s="4"/>
      <c r="I3" s="4"/>
      <c r="J3" s="4"/>
      <c r="AD3" s="222"/>
    </row>
    <row r="4" spans="1:33" x14ac:dyDescent="0.2">
      <c r="B4" s="140" t="s">
        <v>63</v>
      </c>
      <c r="C4" s="74"/>
      <c r="D4" s="121"/>
      <c r="E4" s="4"/>
      <c r="F4" s="4"/>
      <c r="G4" s="4"/>
      <c r="H4" s="4"/>
      <c r="I4" s="4"/>
      <c r="J4" s="4"/>
      <c r="AD4" s="222"/>
      <c r="AE4" s="225"/>
      <c r="AG4" s="1"/>
    </row>
    <row r="5" spans="1:33" ht="48" x14ac:dyDescent="0.2">
      <c r="AC5" s="175"/>
      <c r="AD5" s="231"/>
      <c r="AE5" s="232"/>
      <c r="AF5" s="233" t="s">
        <v>48</v>
      </c>
      <c r="AG5" s="234" t="str">
        <f>_xlfn.CONCAT("1/",AF6," ",AF5," in cents")</f>
        <v>1/7 Syntonic Comma in cents</v>
      </c>
    </row>
    <row r="6" spans="1:33" s="112" customFormat="1" ht="18" customHeight="1" x14ac:dyDescent="0.2">
      <c r="B6" s="290" t="s">
        <v>583</v>
      </c>
      <c r="C6" s="290"/>
      <c r="D6" s="290"/>
      <c r="F6" s="318" t="s">
        <v>24</v>
      </c>
      <c r="G6" s="318"/>
      <c r="I6" s="318" t="s">
        <v>159</v>
      </c>
      <c r="J6" s="318"/>
      <c r="L6" s="318" t="s">
        <v>157</v>
      </c>
      <c r="M6" s="318"/>
      <c r="O6" s="318" t="s">
        <v>158</v>
      </c>
      <c r="P6" s="318"/>
      <c r="AC6" s="235"/>
      <c r="AD6" s="236"/>
      <c r="AE6" s="237" t="s">
        <v>576</v>
      </c>
      <c r="AF6" s="221">
        <v>7</v>
      </c>
      <c r="AG6" s="238">
        <f>IF(AF5="Pythagorean Comma",1200*LOG(531441/524288,2),IF(AF5="Syntonic Comma",1200*LOG(81/80,2),IF(AF5="Cents",1,"Not in List")))*1/AF6</f>
        <v>3.0723270852449684</v>
      </c>
    </row>
    <row r="7" spans="1:33" s="114" customFormat="1" ht="19" x14ac:dyDescent="0.25">
      <c r="F7" s="322" t="str" cm="1">
        <f t="array" aca="1" ref="F7" ca="1">INDIRECT("'"&amp;F6&amp;"'!B1")</f>
        <v>Werckmeister III</v>
      </c>
      <c r="G7" s="322"/>
      <c r="I7" s="322" t="str" cm="1">
        <f t="array" aca="1" ref="I7" ca="1">INDIRECT("'"&amp;I6&amp;"'!B1")</f>
        <v>Kirnberger III in Syntonic Commas</v>
      </c>
      <c r="J7" s="322"/>
      <c r="L7" s="322" t="str" cm="1">
        <f t="array" aca="1" ref="L7" ca="1">INDIRECT("'"&amp;L6&amp;"'!B1")</f>
        <v>Meantone Quarter Comma</v>
      </c>
      <c r="M7" s="322"/>
      <c r="O7" s="322" t="str" cm="1">
        <f t="array" aca="1" ref="O7" ca="1">INDIRECT("'"&amp;O6&amp;"'!B1")</f>
        <v>Equal Temperament</v>
      </c>
      <c r="P7" s="322"/>
      <c r="R7" s="310" t="s">
        <v>129</v>
      </c>
      <c r="S7" s="311"/>
      <c r="T7" s="311"/>
      <c r="U7" s="311"/>
      <c r="V7" s="311"/>
      <c r="W7" s="312"/>
      <c r="AC7" s="323" t="str">
        <f>_xlfn.CONCAT("Fractions of ",AF5," from Just")</f>
        <v>Fractions of Syntonic Comma from Just</v>
      </c>
      <c r="AD7" s="324"/>
      <c r="AE7" s="324"/>
      <c r="AF7" s="324"/>
      <c r="AG7" s="325"/>
    </row>
    <row r="8" spans="1:33" s="115" customFormat="1" ht="48" x14ac:dyDescent="0.2">
      <c r="B8" s="116" t="s">
        <v>56</v>
      </c>
      <c r="C8" s="115" t="s">
        <v>31</v>
      </c>
      <c r="D8" s="115" t="s">
        <v>1</v>
      </c>
      <c r="F8" s="115" t="str">
        <f>_xlfn.CONCAT(F6," Frequency 1")</f>
        <v>Werckmeister III Frequency 1</v>
      </c>
      <c r="G8" s="115" t="s">
        <v>554</v>
      </c>
      <c r="I8" s="115" t="str">
        <f>_xlfn.CONCAT(I6," Frequency 1")</f>
        <v>Kirnberger III S. Frequency 1</v>
      </c>
      <c r="J8" s="115" t="s">
        <v>554</v>
      </c>
      <c r="L8" s="115" t="str">
        <f>_xlfn.CONCAT(L6," Frequency 1")</f>
        <v>Meantone q. Comma Frequency 1</v>
      </c>
      <c r="M8" s="115" t="s">
        <v>554</v>
      </c>
      <c r="O8" s="115" t="str">
        <f>_xlfn.CONCAT(O6," Frequency 1")</f>
        <v>Equal Frequency 1</v>
      </c>
      <c r="P8" s="115" t="s">
        <v>554</v>
      </c>
      <c r="R8" s="149" t="s">
        <v>89</v>
      </c>
      <c r="S8" s="84" t="s">
        <v>136</v>
      </c>
      <c r="T8" s="84" t="s">
        <v>90</v>
      </c>
      <c r="U8" s="152" t="s">
        <v>88</v>
      </c>
      <c r="V8" s="84" t="s">
        <v>32</v>
      </c>
      <c r="W8" s="52" t="s">
        <v>91</v>
      </c>
      <c r="AC8" s="83" t="s">
        <v>43</v>
      </c>
      <c r="AD8" s="84" t="s">
        <v>128</v>
      </c>
      <c r="AE8" s="84" t="s">
        <v>1</v>
      </c>
      <c r="AF8" s="84" t="str">
        <f>_xlfn.CONCAT("1/",AF6," ",AF5)</f>
        <v>1/7 Syntonic Comma</v>
      </c>
      <c r="AG8" s="230" t="s">
        <v>577</v>
      </c>
    </row>
    <row r="9" spans="1:33" ht="16" customHeight="1" x14ac:dyDescent="0.2">
      <c r="B9" s="113" t="s">
        <v>2</v>
      </c>
      <c r="C9" s="162">
        <v>3600</v>
      </c>
      <c r="D9" s="118">
        <f>K2</f>
        <v>263.53190900217373</v>
      </c>
      <c r="F9" s="110">
        <f t="shared" ref="F9:F21" ca="1" si="0">VLOOKUP($B9,INDIRECT("'"&amp;$F$6&amp;"'!Master_Frequencies"),2,FALSE)</f>
        <v>263.40423257498196</v>
      </c>
      <c r="G9" s="110">
        <f ca="1">LOG(F9/$D9,2)*1200</f>
        <v>-0.83895472298280405</v>
      </c>
      <c r="I9" s="110">
        <f t="shared" ref="I9:I21" ca="1" si="1">VLOOKUP($B9,INDIRECT("'"&amp;$I$6&amp;"'!Master_Frequencies"),2,FALSE)</f>
        <v>263.18138549493494</v>
      </c>
      <c r="J9" s="110">
        <f ca="1">LOG(I9/$D9,2)*1200</f>
        <v>-2.3042453139328756</v>
      </c>
      <c r="L9" s="110">
        <f t="shared" ref="L9:L21" ca="1" si="2">VLOOKUP($B9,INDIRECT("'"&amp;$L$6&amp;"'!Master_Frequencies"),2,FALSE)</f>
        <v>263.18138549493494</v>
      </c>
      <c r="M9" s="110">
        <f ca="1">LOG(L9/$D9,2)*1200</f>
        <v>-2.3042453139328756</v>
      </c>
      <c r="O9" s="110">
        <f t="shared" ref="O9:O21" ca="1" si="3">VLOOKUP($B9,INDIRECT("'"&amp;$O$6&amp;"'!Master_Frequencies"),2,FALSE)</f>
        <v>261.62556530059862</v>
      </c>
      <c r="P9" s="110">
        <f ca="1">LOG(O9/$D9,2)*1200</f>
        <v>-12.568959915307584</v>
      </c>
      <c r="R9" s="123" t="s">
        <v>2</v>
      </c>
      <c r="S9" s="4">
        <f>D9</f>
        <v>263.53190900217373</v>
      </c>
      <c r="T9" s="4">
        <f t="shared" ref="T9:T21" si="4">LOG(D9/S9,2)*1200</f>
        <v>0</v>
      </c>
      <c r="U9" s="145" t="s">
        <v>2</v>
      </c>
      <c r="V9" s="4">
        <f>VLOOKUP(U9,$B$9:$D$21,3,FALSE)</f>
        <v>263.53190900217373</v>
      </c>
      <c r="W9" s="47">
        <f t="shared" ref="W9:W21" si="5">VLOOKUP(U9,$R$9:$T$21,3,FALSE)</f>
        <v>0</v>
      </c>
      <c r="AC9" s="107" t="str">
        <f t="shared" ref="AC9:AC21" si="6">U9</f>
        <v>C</v>
      </c>
      <c r="AD9" s="223">
        <v>0</v>
      </c>
      <c r="AE9" s="224">
        <f t="shared" ref="AE9:AE21" si="7">VLOOKUP(AC9,Master_Frequencies,2,FALSE)*POWER(2,AD9)</f>
        <v>263.53190900217373</v>
      </c>
      <c r="AF9" s="4" t="s">
        <v>584</v>
      </c>
      <c r="AG9" s="47"/>
    </row>
    <row r="10" spans="1:33" x14ac:dyDescent="0.2">
      <c r="B10" s="113" t="s">
        <v>74</v>
      </c>
      <c r="C10" s="162">
        <v>3456.0000000000009</v>
      </c>
      <c r="D10" s="118">
        <f>D9*C9/C10</f>
        <v>274.51240521059759</v>
      </c>
      <c r="F10" s="110">
        <f t="shared" ca="1" si="0"/>
        <v>277.49581703372587</v>
      </c>
      <c r="G10" s="110">
        <f t="shared" ref="G10:G21" ca="1" si="8">LOG(F10/$D10,2)*1200</f>
        <v>18.713614085798241</v>
      </c>
      <c r="I10" s="110">
        <f t="shared" ca="1" si="1"/>
        <v>277.26104809342939</v>
      </c>
      <c r="J10" s="110">
        <f t="shared" ref="J10:J21" ca="1" si="9">LOG(I10/$D10,2)*1200</f>
        <v>17.248323494847913</v>
      </c>
      <c r="L10" s="110">
        <f t="shared" ca="1" si="2"/>
        <v>275.00000000000011</v>
      </c>
      <c r="M10" s="110">
        <f t="shared" ref="M10:M21" ca="1" si="10">LOG(L10/$D10,2)*1200</f>
        <v>3.0723270852460693</v>
      </c>
      <c r="O10" s="110">
        <f t="shared" ca="1" si="3"/>
        <v>277.18263097687208</v>
      </c>
      <c r="P10" s="110">
        <f t="shared" ref="P10:P21" ca="1" si="11">LOG(O10/$D10,2)*1200</f>
        <v>16.758613220410467</v>
      </c>
      <c r="R10" s="123" t="s">
        <v>74</v>
      </c>
      <c r="S10" s="4">
        <f t="shared" ref="S10:S21" ca="1" si="12">S9*POWER($P$11*2/$P$11,1/12)</f>
        <v>279.20233177385524</v>
      </c>
      <c r="T10" s="4">
        <f t="shared" ca="1" si="4"/>
        <v>-29.327573135718211</v>
      </c>
      <c r="U10" s="145" t="s">
        <v>6</v>
      </c>
      <c r="V10" s="4">
        <f t="shared" ref="V10:V21" si="13">VLOOKUP(U10,$B$9:$D$21,3,FALSE)</f>
        <v>393.89732311802283</v>
      </c>
      <c r="W10" s="47">
        <f t="shared" ca="1" si="5"/>
        <v>-4.189653305102345</v>
      </c>
      <c r="AC10" s="107" t="str">
        <f t="shared" si="6"/>
        <v>G</v>
      </c>
      <c r="AD10" s="223">
        <v>0</v>
      </c>
      <c r="AE10" s="224">
        <f t="shared" si="7"/>
        <v>393.89732311802283</v>
      </c>
      <c r="AF10" s="4">
        <f t="shared" ref="AF10:AF21" si="14">1200*LOG(AE10/(AE9*3/2),2)/$AG$6</f>
        <v>-1.9999999999997862</v>
      </c>
      <c r="AG10" s="228">
        <f>AF10</f>
        <v>-1.9999999999997862</v>
      </c>
    </row>
    <row r="11" spans="1:33" x14ac:dyDescent="0.2">
      <c r="B11" s="113" t="s">
        <v>3</v>
      </c>
      <c r="C11" s="162">
        <v>3222.7962800565492</v>
      </c>
      <c r="D11" s="118">
        <f t="shared" ref="D11:D21" si="15">D10*C10/C11</f>
        <v>294.37630863567301</v>
      </c>
      <c r="F11" s="110">
        <f t="shared" ca="1" si="0"/>
        <v>294.32876096317352</v>
      </c>
      <c r="G11" s="110">
        <f t="shared" ca="1" si="8"/>
        <v>-0.27965157432769033</v>
      </c>
      <c r="I11" s="110">
        <f t="shared" ca="1" si="1"/>
        <v>294.24573418962586</v>
      </c>
      <c r="J11" s="110">
        <f t="shared" ca="1" si="9"/>
        <v>-0.76808177131048994</v>
      </c>
      <c r="L11" s="110">
        <f t="shared" ca="1" si="2"/>
        <v>294.24573418962586</v>
      </c>
      <c r="M11" s="110">
        <f t="shared" ca="1" si="10"/>
        <v>-0.76808177131048994</v>
      </c>
      <c r="O11" s="110">
        <f t="shared" ca="1" si="3"/>
        <v>293.66476791740757</v>
      </c>
      <c r="P11" s="110">
        <f t="shared" ca="1" si="11"/>
        <v>-4.1896533051027305</v>
      </c>
      <c r="R11" s="123" t="s">
        <v>3</v>
      </c>
      <c r="S11" s="4">
        <f t="shared" ca="1" si="12"/>
        <v>295.80456637345924</v>
      </c>
      <c r="T11" s="4">
        <f t="shared" ca="1" si="4"/>
        <v>-8.3793066102048268</v>
      </c>
      <c r="U11" s="145" t="s">
        <v>3</v>
      </c>
      <c r="V11" s="4">
        <f t="shared" si="13"/>
        <v>294.37630863567301</v>
      </c>
      <c r="W11" s="47">
        <f t="shared" ca="1" si="5"/>
        <v>-8.3793066102048268</v>
      </c>
      <c r="AC11" s="107" t="str">
        <f t="shared" si="6"/>
        <v>D</v>
      </c>
      <c r="AD11" s="223">
        <v>1</v>
      </c>
      <c r="AE11" s="224">
        <f t="shared" si="7"/>
        <v>588.75261727134603</v>
      </c>
      <c r="AF11" s="4">
        <f t="shared" si="14"/>
        <v>-2.000000000000163</v>
      </c>
      <c r="AG11" s="228">
        <f t="shared" ref="AG11:AG21" si="16">AF11</f>
        <v>-2.000000000000163</v>
      </c>
    </row>
    <row r="12" spans="1:33" x14ac:dyDescent="0.2">
      <c r="B12" s="113" t="s">
        <v>76</v>
      </c>
      <c r="C12" s="162">
        <v>3004.6038946048411</v>
      </c>
      <c r="D12" s="118">
        <f t="shared" si="15"/>
        <v>315.75372517867237</v>
      </c>
      <c r="F12" s="110">
        <f t="shared" ca="1" si="0"/>
        <v>312.1827941629416</v>
      </c>
      <c r="G12" s="110">
        <f t="shared" ca="1" si="8"/>
        <v>-19.690474479763186</v>
      </c>
      <c r="I12" s="110">
        <f t="shared" ca="1" si="1"/>
        <v>311.91867910510808</v>
      </c>
      <c r="J12" s="110">
        <f t="shared" ca="1" si="9"/>
        <v>-21.155765070713525</v>
      </c>
      <c r="L12" s="110">
        <f t="shared" ca="1" si="2"/>
        <v>307.45934690622119</v>
      </c>
      <c r="M12" s="110">
        <f t="shared" ca="1" si="10"/>
        <v>-46.084906278673223</v>
      </c>
      <c r="O12" s="110">
        <f t="shared" ca="1" si="3"/>
        <v>311.12698372208087</v>
      </c>
      <c r="P12" s="110">
        <f t="shared" ca="1" si="11"/>
        <v>-25.55547707592623</v>
      </c>
      <c r="R12" s="123" t="s">
        <v>76</v>
      </c>
      <c r="S12" s="4">
        <f t="shared" ca="1" si="12"/>
        <v>313.39402121563467</v>
      </c>
      <c r="T12" s="4">
        <f t="shared" ca="1" si="4"/>
        <v>12.98651716061822</v>
      </c>
      <c r="U12" s="145" t="s">
        <v>7</v>
      </c>
      <c r="V12" s="4">
        <f t="shared" si="13"/>
        <v>440.00000000000011</v>
      </c>
      <c r="W12" s="47">
        <f t="shared" ca="1" si="5"/>
        <v>-12.568959915307778</v>
      </c>
      <c r="AC12" s="107" t="str">
        <f t="shared" si="6"/>
        <v>A</v>
      </c>
      <c r="AD12" s="223">
        <v>1</v>
      </c>
      <c r="AE12" s="224">
        <f t="shared" si="7"/>
        <v>880.00000000000023</v>
      </c>
      <c r="AF12" s="4">
        <f t="shared" si="14"/>
        <v>-1.9999999999999118</v>
      </c>
      <c r="AG12" s="228">
        <f t="shared" si="16"/>
        <v>-1.9999999999999118</v>
      </c>
    </row>
    <row r="13" spans="1:33" x14ac:dyDescent="0.2">
      <c r="B13" s="113" t="s">
        <v>4</v>
      </c>
      <c r="C13" s="162">
        <v>2885.1155174295368</v>
      </c>
      <c r="D13" s="118">
        <f t="shared" si="15"/>
        <v>328.83080995421398</v>
      </c>
      <c r="F13" s="110">
        <f t="shared" ca="1" si="0"/>
        <v>330.00000000000006</v>
      </c>
      <c r="G13" s="110">
        <f t="shared" ca="1" si="8"/>
        <v>6.1446541704899511</v>
      </c>
      <c r="I13" s="110">
        <f t="shared" ca="1" si="1"/>
        <v>328.97673186866865</v>
      </c>
      <c r="J13" s="110">
        <f t="shared" ca="1" si="9"/>
        <v>0.76808177131161837</v>
      </c>
      <c r="L13" s="110">
        <f t="shared" ca="1" si="2"/>
        <v>328.97673186866865</v>
      </c>
      <c r="M13" s="110">
        <f t="shared" ca="1" si="10"/>
        <v>0.76808177131161837</v>
      </c>
      <c r="O13" s="110">
        <f t="shared" ca="1" si="3"/>
        <v>329.62755691286992</v>
      </c>
      <c r="P13" s="110">
        <f t="shared" ca="1" si="11"/>
        <v>4.1896533051023432</v>
      </c>
      <c r="R13" s="123" t="s">
        <v>4</v>
      </c>
      <c r="S13" s="4">
        <f t="shared" ca="1" si="12"/>
        <v>332.02939947081893</v>
      </c>
      <c r="T13" s="4">
        <f t="shared" ca="1" si="4"/>
        <v>-16.75861322040998</v>
      </c>
      <c r="U13" s="145" t="s">
        <v>4</v>
      </c>
      <c r="V13" s="4">
        <f t="shared" si="13"/>
        <v>328.83080995421398</v>
      </c>
      <c r="W13" s="47">
        <f t="shared" ca="1" si="5"/>
        <v>-16.75861322040998</v>
      </c>
      <c r="AC13" s="107" t="str">
        <f t="shared" si="6"/>
        <v>E</v>
      </c>
      <c r="AD13" s="223">
        <v>2</v>
      </c>
      <c r="AE13" s="224">
        <f t="shared" si="7"/>
        <v>1315.3232398168559</v>
      </c>
      <c r="AF13" s="4">
        <f t="shared" si="14"/>
        <v>-2.0000000000000999</v>
      </c>
      <c r="AG13" s="228">
        <f t="shared" si="16"/>
        <v>-2.0000000000000999</v>
      </c>
    </row>
    <row r="14" spans="1:33" x14ac:dyDescent="0.2">
      <c r="B14" s="113" t="s">
        <v>5</v>
      </c>
      <c r="C14" s="162">
        <v>2689.7850707155285</v>
      </c>
      <c r="D14" s="118">
        <f t="shared" si="15"/>
        <v>352.71029002902878</v>
      </c>
      <c r="F14" s="110">
        <f t="shared" ca="1" si="0"/>
        <v>351.20564343330932</v>
      </c>
      <c r="G14" s="110">
        <f t="shared" ca="1" si="8"/>
        <v>-7.4011661387833119</v>
      </c>
      <c r="I14" s="110">
        <f t="shared" ca="1" si="1"/>
        <v>350.90851399324657</v>
      </c>
      <c r="J14" s="110">
        <f t="shared" ca="1" si="9"/>
        <v>-8.8664567297336507</v>
      </c>
      <c r="L14" s="110">
        <f t="shared" ca="1" si="2"/>
        <v>343.75000000000006</v>
      </c>
      <c r="M14" s="110">
        <f t="shared" ca="1" si="10"/>
        <v>-44.548742736050983</v>
      </c>
      <c r="O14" s="110">
        <f t="shared" ca="1" si="3"/>
        <v>349.22823143300388</v>
      </c>
      <c r="P14" s="110">
        <f t="shared" ca="1" si="11"/>
        <v>-17.176170465720926</v>
      </c>
      <c r="R14" s="123" t="s">
        <v>5</v>
      </c>
      <c r="S14" s="4">
        <f t="shared" ca="1" si="12"/>
        <v>351.77289498161241</v>
      </c>
      <c r="T14" s="4">
        <f t="shared" ca="1" si="4"/>
        <v>4.607210550413134</v>
      </c>
      <c r="U14" s="145" t="s">
        <v>8</v>
      </c>
      <c r="V14" s="4">
        <f t="shared" si="13"/>
        <v>491.49864352338358</v>
      </c>
      <c r="W14" s="47">
        <f t="shared" ca="1" si="5"/>
        <v>-20.948266525512722</v>
      </c>
      <c r="AC14" s="107" t="str">
        <f t="shared" si="6"/>
        <v>B</v>
      </c>
      <c r="AD14" s="223">
        <v>2</v>
      </c>
      <c r="AE14" s="224">
        <f t="shared" si="7"/>
        <v>1965.9945740935343</v>
      </c>
      <c r="AF14" s="4">
        <f t="shared" si="14"/>
        <v>-1.9999999999999745</v>
      </c>
      <c r="AG14" s="228">
        <f t="shared" si="16"/>
        <v>-1.9999999999999745</v>
      </c>
    </row>
    <row r="15" spans="1:33" x14ac:dyDescent="0.2">
      <c r="B15" s="113" t="s">
        <v>70</v>
      </c>
      <c r="C15" s="162">
        <v>2582.8165436403715</v>
      </c>
      <c r="D15" s="118">
        <f t="shared" si="15"/>
        <v>367.31794782089014</v>
      </c>
      <c r="F15" s="110">
        <f t="shared" ca="1" si="0"/>
        <v>369.99442271163451</v>
      </c>
      <c r="G15" s="110">
        <f t="shared" ca="1" si="8"/>
        <v>12.568959915307707</v>
      </c>
      <c r="I15" s="110">
        <f t="shared" ca="1" si="1"/>
        <v>370.09882335225223</v>
      </c>
      <c r="J15" s="110">
        <f t="shared" ca="1" si="9"/>
        <v>13.057390112291595</v>
      </c>
      <c r="L15" s="110">
        <f t="shared" ca="1" si="2"/>
        <v>367.80716773703227</v>
      </c>
      <c r="M15" s="110">
        <f t="shared" ca="1" si="10"/>
        <v>2.3042453139342163</v>
      </c>
      <c r="O15" s="110">
        <f t="shared" ca="1" si="3"/>
        <v>369.9944227116344</v>
      </c>
      <c r="P15" s="110">
        <f t="shared" ca="1" si="11"/>
        <v>12.568959915307326</v>
      </c>
      <c r="R15" s="123" t="s">
        <v>70</v>
      </c>
      <c r="S15" s="4">
        <f t="shared" ca="1" si="12"/>
        <v>372.69039982894651</v>
      </c>
      <c r="T15" s="4">
        <f t="shared" ca="1" si="4"/>
        <v>-25.137919830615264</v>
      </c>
      <c r="U15" s="145" t="s">
        <v>70</v>
      </c>
      <c r="V15" s="4">
        <f t="shared" si="13"/>
        <v>367.31794782089014</v>
      </c>
      <c r="W15" s="47">
        <f t="shared" ca="1" si="5"/>
        <v>-25.137919830615264</v>
      </c>
      <c r="AC15" s="107" t="str">
        <f t="shared" si="6"/>
        <v>F#</v>
      </c>
      <c r="AD15" s="223">
        <v>3</v>
      </c>
      <c r="AE15" s="224">
        <f t="shared" si="7"/>
        <v>2938.5435825671211</v>
      </c>
      <c r="AF15" s="4">
        <f t="shared" si="14"/>
        <v>-2.0000000000000377</v>
      </c>
      <c r="AG15" s="228">
        <f t="shared" si="16"/>
        <v>-2.0000000000000377</v>
      </c>
    </row>
    <row r="16" spans="1:33" x14ac:dyDescent="0.2">
      <c r="B16" s="113" t="s">
        <v>6</v>
      </c>
      <c r="C16" s="162">
        <v>2408.5334342918695</v>
      </c>
      <c r="D16" s="118">
        <f t="shared" si="15"/>
        <v>393.89732311802283</v>
      </c>
      <c r="F16" s="110">
        <f t="shared" ca="1" si="0"/>
        <v>393.77008877325875</v>
      </c>
      <c r="G16" s="110">
        <f t="shared" ca="1" si="8"/>
        <v>-0.55930314865574027</v>
      </c>
      <c r="I16" s="110">
        <f t="shared" ca="1" si="1"/>
        <v>393.54796403996318</v>
      </c>
      <c r="J16" s="110">
        <f t="shared" ca="1" si="9"/>
        <v>-1.5361635426223557</v>
      </c>
      <c r="L16" s="110">
        <f t="shared" ca="1" si="2"/>
        <v>393.54796403996318</v>
      </c>
      <c r="M16" s="110">
        <f t="shared" ca="1" si="10"/>
        <v>-1.5361635426223557</v>
      </c>
      <c r="O16" s="110">
        <f t="shared" ca="1" si="3"/>
        <v>391.99543598174927</v>
      </c>
      <c r="P16" s="110">
        <f t="shared" ca="1" si="11"/>
        <v>-8.3793066102057931</v>
      </c>
      <c r="R16" s="123" t="s">
        <v>6</v>
      </c>
      <c r="S16" s="4">
        <f t="shared" ca="1" si="12"/>
        <v>394.85172424077865</v>
      </c>
      <c r="T16" s="4">
        <f t="shared" ca="1" si="4"/>
        <v>-4.189653305102345</v>
      </c>
      <c r="U16" s="145" t="s">
        <v>74</v>
      </c>
      <c r="V16" s="4">
        <f t="shared" si="13"/>
        <v>274.51240521059759</v>
      </c>
      <c r="W16" s="47">
        <f t="shared" ca="1" si="5"/>
        <v>-29.327573135718211</v>
      </c>
      <c r="AC16" s="107" t="str">
        <f t="shared" si="6"/>
        <v>C#</v>
      </c>
      <c r="AD16" s="223">
        <v>4</v>
      </c>
      <c r="AE16" s="224">
        <f t="shared" si="7"/>
        <v>4392.1984833695615</v>
      </c>
      <c r="AF16" s="4">
        <f t="shared" si="14"/>
        <v>-2.0000000000002256</v>
      </c>
      <c r="AG16" s="228">
        <f t="shared" si="16"/>
        <v>-2.0000000000002256</v>
      </c>
    </row>
    <row r="17" spans="2:33" x14ac:dyDescent="0.2">
      <c r="B17" s="113" t="s">
        <v>72</v>
      </c>
      <c r="C17" s="162">
        <v>2245.4689369420353</v>
      </c>
      <c r="D17" s="118">
        <f t="shared" si="15"/>
        <v>422.50189116391056</v>
      </c>
      <c r="F17" s="110">
        <f t="shared" ca="1" si="0"/>
        <v>416.24372555058881</v>
      </c>
      <c r="G17" s="110">
        <f t="shared" ca="1" si="8"/>
        <v>-25.835128650253175</v>
      </c>
      <c r="I17" s="110">
        <f t="shared" ca="1" si="1"/>
        <v>415.89157214014409</v>
      </c>
      <c r="J17" s="110">
        <f t="shared" ca="1" si="9"/>
        <v>-27.300419241203535</v>
      </c>
      <c r="L17" s="110">
        <f t="shared" ca="1" si="2"/>
        <v>411.2209148358358</v>
      </c>
      <c r="M17" s="110">
        <f t="shared" ca="1" si="10"/>
        <v>-46.852988049984297</v>
      </c>
      <c r="O17" s="110">
        <f t="shared" ca="1" si="3"/>
        <v>415.30469757994507</v>
      </c>
      <c r="P17" s="110">
        <f t="shared" ca="1" si="11"/>
        <v>-29.745130381028819</v>
      </c>
      <c r="R17" s="123" t="s">
        <v>72</v>
      </c>
      <c r="S17" s="4">
        <f t="shared" ca="1" si="12"/>
        <v>418.33082957723855</v>
      </c>
      <c r="T17" s="4">
        <f t="shared" ca="1" si="4"/>
        <v>17.176170465720411</v>
      </c>
      <c r="U17" s="145" t="s">
        <v>72</v>
      </c>
      <c r="V17" s="4">
        <f t="shared" si="13"/>
        <v>422.50189116391056</v>
      </c>
      <c r="W17" s="47">
        <f t="shared" ca="1" si="5"/>
        <v>17.176170465720411</v>
      </c>
      <c r="AC17" s="107" t="str">
        <f t="shared" si="6"/>
        <v>G#</v>
      </c>
      <c r="AD17" s="223">
        <v>4</v>
      </c>
      <c r="AE17" s="224">
        <f t="shared" si="7"/>
        <v>6760.0302586225689</v>
      </c>
      <c r="AF17" s="4">
        <f t="shared" si="14"/>
        <v>14.499999999999773</v>
      </c>
      <c r="AG17" s="228">
        <f t="shared" si="16"/>
        <v>14.499999999999773</v>
      </c>
    </row>
    <row r="18" spans="2:33" x14ac:dyDescent="0.2">
      <c r="B18" s="113" t="s">
        <v>7</v>
      </c>
      <c r="C18" s="162">
        <v>2156.1701645632397</v>
      </c>
      <c r="D18" s="118">
        <f t="shared" si="15"/>
        <v>440.00000000000011</v>
      </c>
      <c r="F18" s="110">
        <f t="shared" ca="1" si="0"/>
        <v>440.00000000000006</v>
      </c>
      <c r="G18" s="110">
        <f t="shared" ca="1" si="8"/>
        <v>-1.9220559022889507E-13</v>
      </c>
      <c r="I18" s="110">
        <f t="shared" ca="1" si="1"/>
        <v>440.00000000000023</v>
      </c>
      <c r="J18" s="110">
        <f t="shared" ca="1" si="9"/>
        <v>3.8441118045779013E-13</v>
      </c>
      <c r="L18" s="110">
        <f t="shared" ca="1" si="2"/>
        <v>440.00000000000023</v>
      </c>
      <c r="M18" s="110">
        <f t="shared" ca="1" si="10"/>
        <v>3.8441118045779013E-13</v>
      </c>
      <c r="O18" s="110">
        <f t="shared" ca="1" si="3"/>
        <v>439.99999999999994</v>
      </c>
      <c r="P18" s="110">
        <f t="shared" ca="1" si="11"/>
        <v>-5.7661677068668525E-13</v>
      </c>
      <c r="R18" s="123" t="s">
        <v>7</v>
      </c>
      <c r="S18" s="4">
        <f t="shared" ca="1" si="12"/>
        <v>443.20607516979214</v>
      </c>
      <c r="T18" s="4">
        <f t="shared" ca="1" si="4"/>
        <v>-12.568959915307778</v>
      </c>
      <c r="U18" s="145" t="s">
        <v>76</v>
      </c>
      <c r="V18" s="4">
        <f t="shared" si="13"/>
        <v>315.75372517867237</v>
      </c>
      <c r="W18" s="47">
        <f t="shared" ca="1" si="5"/>
        <v>12.98651716061822</v>
      </c>
      <c r="AC18" s="107" t="str">
        <f t="shared" si="6"/>
        <v>D#</v>
      </c>
      <c r="AD18" s="223">
        <v>5</v>
      </c>
      <c r="AE18" s="224">
        <f t="shared" si="7"/>
        <v>10104.119205717516</v>
      </c>
      <c r="AF18" s="4">
        <f t="shared" si="14"/>
        <v>-1.9999999999999745</v>
      </c>
      <c r="AG18" s="228">
        <f t="shared" si="16"/>
        <v>-1.9999999999999745</v>
      </c>
    </row>
    <row r="19" spans="2:33" x14ac:dyDescent="0.2">
      <c r="B19" s="113" t="s">
        <v>73</v>
      </c>
      <c r="C19" s="162">
        <v>2010.1913713775903</v>
      </c>
      <c r="D19" s="118">
        <f t="shared" si="15"/>
        <v>471.95251452983234</v>
      </c>
      <c r="F19" s="110">
        <f t="shared" ca="1" si="0"/>
        <v>468.27419124441241</v>
      </c>
      <c r="G19" s="110">
        <f t="shared" ca="1" si="8"/>
        <v>-13.54582030927347</v>
      </c>
      <c r="I19" s="110">
        <f t="shared" ca="1" si="1"/>
        <v>467.8780186576621</v>
      </c>
      <c r="J19" s="110">
        <f t="shared" ca="1" si="9"/>
        <v>-15.011110900223906</v>
      </c>
      <c r="L19" s="110">
        <f t="shared" ca="1" si="2"/>
        <v>459.75895967129026</v>
      </c>
      <c r="M19" s="110">
        <f t="shared" ca="1" si="10"/>
        <v>-45.316824507362178</v>
      </c>
      <c r="O19" s="110">
        <f t="shared" ca="1" si="3"/>
        <v>466.16376151808987</v>
      </c>
      <c r="P19" s="110">
        <f t="shared" ca="1" si="11"/>
        <v>-21.365823770823724</v>
      </c>
      <c r="R19" s="123" t="s">
        <v>73</v>
      </c>
      <c r="S19" s="4">
        <f t="shared" ca="1" si="12"/>
        <v>469.5604798382264</v>
      </c>
      <c r="T19" s="4">
        <f t="shared" ca="1" si="4"/>
        <v>8.7968638555152747</v>
      </c>
      <c r="U19" s="145" t="s">
        <v>73</v>
      </c>
      <c r="V19" s="4">
        <f t="shared" si="13"/>
        <v>471.95251452983234</v>
      </c>
      <c r="W19" s="47">
        <f t="shared" ca="1" si="5"/>
        <v>8.7968638555152747</v>
      </c>
      <c r="AC19" s="107" t="str">
        <f t="shared" si="6"/>
        <v>A#</v>
      </c>
      <c r="AD19" s="223">
        <v>5</v>
      </c>
      <c r="AE19" s="224">
        <f t="shared" si="7"/>
        <v>15102.480464954635</v>
      </c>
      <c r="AF19" s="4">
        <f t="shared" si="14"/>
        <v>-1.9999999999999745</v>
      </c>
      <c r="AG19" s="228">
        <f t="shared" si="16"/>
        <v>-1.9999999999999745</v>
      </c>
    </row>
    <row r="20" spans="2:33" x14ac:dyDescent="0.2">
      <c r="B20" s="113" t="s">
        <v>8</v>
      </c>
      <c r="C20" s="162">
        <v>1930.2492182009239</v>
      </c>
      <c r="D20" s="118">
        <f t="shared" si="15"/>
        <v>491.49864352338358</v>
      </c>
      <c r="F20" s="110">
        <f t="shared" ca="1" si="0"/>
        <v>495.00000000000011</v>
      </c>
      <c r="G20" s="110">
        <f t="shared" ca="1" si="8"/>
        <v>12.2893083409796</v>
      </c>
      <c r="I20" s="110">
        <f t="shared" ca="1" si="1"/>
        <v>493.465097803003</v>
      </c>
      <c r="J20" s="110">
        <f t="shared" ca="1" si="9"/>
        <v>6.9127359418015972</v>
      </c>
      <c r="L20" s="110">
        <f t="shared" ca="1" si="2"/>
        <v>491.93495504995394</v>
      </c>
      <c r="M20" s="110">
        <f t="shared" ca="1" si="10"/>
        <v>1.5361635426228371</v>
      </c>
      <c r="O20" s="110">
        <f t="shared" ca="1" si="3"/>
        <v>493.88330125612407</v>
      </c>
      <c r="P20" s="110">
        <f t="shared" ca="1" si="11"/>
        <v>8.3793066102042975</v>
      </c>
      <c r="R20" s="123" t="s">
        <v>8</v>
      </c>
      <c r="S20" s="4">
        <f t="shared" ca="1" si="12"/>
        <v>497.48199895824285</v>
      </c>
      <c r="T20" s="4">
        <f t="shared" ca="1" si="4"/>
        <v>-20.948266525512722</v>
      </c>
      <c r="U20" s="145" t="s">
        <v>5</v>
      </c>
      <c r="V20" s="4">
        <f t="shared" si="13"/>
        <v>352.71029002902878</v>
      </c>
      <c r="W20" s="47">
        <f t="shared" ca="1" si="5"/>
        <v>4.607210550413134</v>
      </c>
      <c r="AC20" s="107" t="str">
        <f t="shared" si="6"/>
        <v>F</v>
      </c>
      <c r="AD20" s="223">
        <v>6</v>
      </c>
      <c r="AE20" s="224">
        <f t="shared" si="7"/>
        <v>22573.458561857842</v>
      </c>
      <c r="AF20" s="4">
        <f t="shared" si="14"/>
        <v>-2.0000000000000999</v>
      </c>
      <c r="AG20" s="228">
        <f t="shared" si="16"/>
        <v>-2.0000000000000999</v>
      </c>
    </row>
    <row r="21" spans="2:33" x14ac:dyDescent="0.2">
      <c r="B21" s="113" t="s">
        <v>78</v>
      </c>
      <c r="C21" s="162">
        <v>1799.5659094104092</v>
      </c>
      <c r="D21" s="118">
        <f t="shared" si="15"/>
        <v>527.19095613377829</v>
      </c>
      <c r="F21" s="110">
        <f t="shared" ca="1" si="0"/>
        <v>526.80846514996392</v>
      </c>
      <c r="G21" s="110">
        <f t="shared" ca="1" si="8"/>
        <v>-1.2565119682933625</v>
      </c>
      <c r="I21" s="110">
        <f t="shared" ca="1" si="1"/>
        <v>526.36277098986989</v>
      </c>
      <c r="J21" s="110">
        <f t="shared" ca="1" si="9"/>
        <v>-2.7218025592435047</v>
      </c>
      <c r="L21" s="110">
        <f t="shared" ca="1" si="2"/>
        <v>514.02614354479465</v>
      </c>
      <c r="M21" s="110">
        <f t="shared" ca="1" si="10"/>
        <v>-43.780660964739596</v>
      </c>
      <c r="O21" s="110">
        <f t="shared" ca="1" si="3"/>
        <v>523.25113060119725</v>
      </c>
      <c r="P21" s="110">
        <f t="shared" ca="1" si="11"/>
        <v>-12.98651716061813</v>
      </c>
      <c r="R21" s="108" t="s">
        <v>78</v>
      </c>
      <c r="S21" s="53">
        <f t="shared" ca="1" si="12"/>
        <v>527.0638180043477</v>
      </c>
      <c r="T21" s="53">
        <f t="shared" ca="1" si="4"/>
        <v>0.41755724530999022</v>
      </c>
      <c r="U21" s="151" t="s">
        <v>78</v>
      </c>
      <c r="V21" s="53">
        <f t="shared" si="13"/>
        <v>527.19095613377829</v>
      </c>
      <c r="W21" s="48">
        <f t="shared" ca="1" si="5"/>
        <v>0.41755724530999022</v>
      </c>
      <c r="AC21" s="108" t="str">
        <f t="shared" si="6"/>
        <v>c oct.</v>
      </c>
      <c r="AD21" s="226">
        <v>6</v>
      </c>
      <c r="AE21" s="227">
        <f t="shared" si="7"/>
        <v>33740.22119256181</v>
      </c>
      <c r="AF21" s="53">
        <f t="shared" si="14"/>
        <v>-2.0000000000000999</v>
      </c>
      <c r="AG21" s="229">
        <f t="shared" si="16"/>
        <v>-2.0000000000000999</v>
      </c>
    </row>
    <row r="22" spans="2:33" ht="16" customHeight="1" x14ac:dyDescent="0.2">
      <c r="B22" s="119"/>
      <c r="F22" s="320" t="str">
        <f ca="1">_xlfn.CONCAT($B$1," vs. ",F7)</f>
        <v>Template for Instrument by Pipe or String Lengths vs. Werckmeister III</v>
      </c>
      <c r="G22" s="319"/>
      <c r="I22" s="321" t="str">
        <f ca="1">_xlfn.CONCAT($B$1," vs. ",I7)</f>
        <v>Template for Instrument by Pipe or String Lengths vs. Kirnberger III in Syntonic Commas</v>
      </c>
      <c r="J22" s="321"/>
      <c r="L22" s="319" t="str">
        <f ca="1">_xlfn.CONCAT($B$1," vs. ",L7)</f>
        <v>Template for Instrument by Pipe or String Lengths vs. Meantone Quarter Comma</v>
      </c>
      <c r="M22" s="319"/>
      <c r="O22" s="319" t="str">
        <f ca="1">_xlfn.CONCAT($B$1," vs. ",O7)</f>
        <v>Template for Instrument by Pipe or String Lengths vs. Equal Temperament</v>
      </c>
      <c r="P22" s="319"/>
      <c r="AG22" s="4"/>
    </row>
    <row r="23" spans="2:33" x14ac:dyDescent="0.2">
      <c r="F23" s="122" t="s">
        <v>94</v>
      </c>
      <c r="G23" s="110">
        <f ca="1">SQRT(SUMSQ(G9:G21)/COUNT(G9:G21))</f>
        <v>12.381968396784229</v>
      </c>
      <c r="I23" s="119" t="s">
        <v>94</v>
      </c>
      <c r="J23" s="110">
        <f ca="1">SQRT(SUMSQ(J9:J21)/COUNT(J9:J21))</f>
        <v>12.492675587298024</v>
      </c>
      <c r="K23" s="119"/>
      <c r="L23" s="119" t="s">
        <v>94</v>
      </c>
      <c r="M23" s="110">
        <f ca="1">SQRT(SUMSQ(M9:M21)/COUNT(M9:M21))</f>
        <v>28.147865332309721</v>
      </c>
      <c r="O23" s="119" t="s">
        <v>94</v>
      </c>
      <c r="P23" s="110">
        <f ca="1">SQRT(SUMSQ(P9:P21)/COUNT(P9:P21))</f>
        <v>15.76355252606252</v>
      </c>
      <c r="AG23" s="4"/>
    </row>
    <row r="26" spans="2:33" ht="19" x14ac:dyDescent="0.2">
      <c r="K26" s="120"/>
    </row>
    <row r="27" spans="2:33" x14ac:dyDescent="0.2">
      <c r="B27" s="286"/>
      <c r="C27" s="286"/>
      <c r="D27" s="286"/>
      <c r="E27" s="286"/>
    </row>
    <row r="29" spans="2:33" x14ac:dyDescent="0.2">
      <c r="O29" s="7"/>
      <c r="Q29" s="7"/>
    </row>
    <row r="30" spans="2:33" x14ac:dyDescent="0.2">
      <c r="O30" s="7"/>
      <c r="Q30" s="7"/>
    </row>
    <row r="31" spans="2:33" x14ac:dyDescent="0.2">
      <c r="O31" s="7"/>
      <c r="Q31" s="7"/>
    </row>
    <row r="32" spans="2:33" x14ac:dyDescent="0.2">
      <c r="O32" s="7"/>
      <c r="Q32" s="7"/>
    </row>
    <row r="33" spans="2:17" x14ac:dyDescent="0.2">
      <c r="O33" s="7"/>
      <c r="Q33" s="7"/>
    </row>
    <row r="34" spans="2:17" x14ac:dyDescent="0.2">
      <c r="O34" s="7"/>
      <c r="Q34" s="7"/>
    </row>
    <row r="35" spans="2:17" x14ac:dyDescent="0.2">
      <c r="O35" s="7"/>
      <c r="Q35" s="7"/>
    </row>
    <row r="36" spans="2:17" x14ac:dyDescent="0.2">
      <c r="O36" s="7"/>
      <c r="Q36" s="7"/>
    </row>
    <row r="37" spans="2:17" x14ac:dyDescent="0.2">
      <c r="O37" s="7"/>
      <c r="Q37" s="7"/>
    </row>
    <row r="38" spans="2:17" x14ac:dyDescent="0.2">
      <c r="O38" s="7"/>
      <c r="Q38" s="7"/>
    </row>
    <row r="39" spans="2:17" x14ac:dyDescent="0.2">
      <c r="O39" s="7"/>
      <c r="Q39" s="7"/>
    </row>
    <row r="40" spans="2:17" x14ac:dyDescent="0.2">
      <c r="O40" s="7"/>
      <c r="Q40" s="7"/>
    </row>
    <row r="41" spans="2:17" x14ac:dyDescent="0.2">
      <c r="O41" s="7"/>
      <c r="Q41" s="7"/>
    </row>
    <row r="42" spans="2:17" ht="17" thickBot="1" x14ac:dyDescent="0.25"/>
    <row r="43" spans="2:17" ht="17" thickTop="1" x14ac:dyDescent="0.2">
      <c r="B43" s="308" t="s">
        <v>138</v>
      </c>
      <c r="C43" s="309"/>
    </row>
    <row r="44" spans="2:17" ht="32" x14ac:dyDescent="0.2">
      <c r="B44" s="90" t="s">
        <v>14</v>
      </c>
      <c r="C44" s="91" t="s">
        <v>15</v>
      </c>
    </row>
    <row r="45" spans="2:17" x14ac:dyDescent="0.2">
      <c r="B45" s="92" t="s">
        <v>2</v>
      </c>
      <c r="C45" s="93">
        <f>VLOOKUP(B45,$B$9:$D$21,3,FALSE)</f>
        <v>263.53190900217373</v>
      </c>
    </row>
    <row r="46" spans="2:17" x14ac:dyDescent="0.2">
      <c r="B46" s="92" t="s">
        <v>74</v>
      </c>
      <c r="C46" s="93">
        <f t="shared" ref="C46:C57" si="17">VLOOKUP(B46,$B$9:$D$21,3,FALSE)</f>
        <v>274.51240521059759</v>
      </c>
    </row>
    <row r="47" spans="2:17" x14ac:dyDescent="0.2">
      <c r="B47" s="92" t="s">
        <v>3</v>
      </c>
      <c r="C47" s="93">
        <f t="shared" si="17"/>
        <v>294.37630863567301</v>
      </c>
    </row>
    <row r="48" spans="2:17" x14ac:dyDescent="0.2">
      <c r="B48" s="92" t="s">
        <v>76</v>
      </c>
      <c r="C48" s="93">
        <f t="shared" si="17"/>
        <v>315.75372517867237</v>
      </c>
    </row>
    <row r="49" spans="2:3" x14ac:dyDescent="0.2">
      <c r="B49" s="92" t="s">
        <v>4</v>
      </c>
      <c r="C49" s="93">
        <f t="shared" si="17"/>
        <v>328.83080995421398</v>
      </c>
    </row>
    <row r="50" spans="2:3" x14ac:dyDescent="0.2">
      <c r="B50" s="92" t="s">
        <v>5</v>
      </c>
      <c r="C50" s="93">
        <f t="shared" si="17"/>
        <v>352.71029002902878</v>
      </c>
    </row>
    <row r="51" spans="2:3" x14ac:dyDescent="0.2">
      <c r="B51" s="92" t="s">
        <v>70</v>
      </c>
      <c r="C51" s="93">
        <f t="shared" si="17"/>
        <v>367.31794782089014</v>
      </c>
    </row>
    <row r="52" spans="2:3" x14ac:dyDescent="0.2">
      <c r="B52" s="92" t="s">
        <v>6</v>
      </c>
      <c r="C52" s="93">
        <f t="shared" si="17"/>
        <v>393.89732311802283</v>
      </c>
    </row>
    <row r="53" spans="2:3" x14ac:dyDescent="0.2">
      <c r="B53" s="92" t="s">
        <v>72</v>
      </c>
      <c r="C53" s="93">
        <f t="shared" si="17"/>
        <v>422.50189116391056</v>
      </c>
    </row>
    <row r="54" spans="2:3" x14ac:dyDescent="0.2">
      <c r="B54" s="92" t="s">
        <v>7</v>
      </c>
      <c r="C54" s="93">
        <f t="shared" si="17"/>
        <v>440.00000000000011</v>
      </c>
    </row>
    <row r="55" spans="2:3" x14ac:dyDescent="0.2">
      <c r="B55" s="92" t="s">
        <v>73</v>
      </c>
      <c r="C55" s="93">
        <f t="shared" si="17"/>
        <v>471.95251452983234</v>
      </c>
    </row>
    <row r="56" spans="2:3" x14ac:dyDescent="0.2">
      <c r="B56" s="92" t="s">
        <v>8</v>
      </c>
      <c r="C56" s="93">
        <f t="shared" si="17"/>
        <v>491.49864352338358</v>
      </c>
    </row>
    <row r="57" spans="2:3" ht="17" thickBot="1" x14ac:dyDescent="0.25">
      <c r="B57" s="94" t="s">
        <v>78</v>
      </c>
      <c r="C57" s="95">
        <f t="shared" si="17"/>
        <v>527.19095613377829</v>
      </c>
    </row>
    <row r="58" spans="2:3" ht="17" thickTop="1" x14ac:dyDescent="0.2"/>
  </sheetData>
  <sheetProtection sheet="1" scenarios="1" formatCells="0"/>
  <mergeCells count="18">
    <mergeCell ref="B43:C43"/>
    <mergeCell ref="AC7:AG7"/>
    <mergeCell ref="R7:W7"/>
    <mergeCell ref="B27:E27"/>
    <mergeCell ref="B1:F1"/>
    <mergeCell ref="O6:P6"/>
    <mergeCell ref="O22:P22"/>
    <mergeCell ref="B6:D6"/>
    <mergeCell ref="F22:G22"/>
    <mergeCell ref="F6:G6"/>
    <mergeCell ref="I6:J6"/>
    <mergeCell ref="I22:J22"/>
    <mergeCell ref="L6:M6"/>
    <mergeCell ref="L22:M22"/>
    <mergeCell ref="F7:G7"/>
    <mergeCell ref="I7:J7"/>
    <mergeCell ref="L7:M7"/>
    <mergeCell ref="O7:P7"/>
  </mergeCells>
  <conditionalFormatting sqref="A1:XFD1 A2:F2 H2:XFD2 A3:XFD1048576">
    <cfRule type="expression" dxfId="9" priority="4">
      <formula>CELL("protect",A1)=0</formula>
    </cfRule>
    <cfRule type="expression" dxfId="8" priority="5">
      <formula>_xlfn.ISFORMULA(A1)</formula>
    </cfRule>
  </conditionalFormatting>
  <dataValidations count="1">
    <dataValidation type="list" showInputMessage="1" showErrorMessage="1" errorTitle="Choose from list" error="You must choose the units from the list:_x000a_Pythagoream Comma_x000a_Syntonic Comma_x000a_Cents" sqref="AF5" xr:uid="{0AA1B165-0D8D-4A4D-A124-C04956D55E10}">
      <formula1>Units</formula1>
    </dataValidation>
  </dataValidations>
  <hyperlinks>
    <hyperlink ref="B4" location="Overview!A1" display="Back to Overview" xr:uid="{1AD9EE38-2E3A-814C-8F74-DF4FCC5BE7B1}"/>
  </hyperlinks>
  <pageMargins left="0.7" right="0.7" top="0.75" bottom="0.75" header="0.3" footer="0.3"/>
  <drawing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124F0-EFF3-8942-BDDF-0180B42620EC}">
  <sheetPr codeName="Sheet41">
    <tabColor rgb="FFFFFF00"/>
  </sheetPr>
  <dimension ref="B1:Z57"/>
  <sheetViews>
    <sheetView workbookViewId="0"/>
  </sheetViews>
  <sheetFormatPr baseColWidth="10" defaultColWidth="12" defaultRowHeight="15" x14ac:dyDescent="0.2"/>
  <cols>
    <col min="1" max="1" width="2.83203125" style="4" customWidth="1"/>
    <col min="2" max="16384" width="12" style="4"/>
  </cols>
  <sheetData>
    <row r="1" spans="2:23" ht="18" x14ac:dyDescent="0.2">
      <c r="B1" s="289" t="s">
        <v>546</v>
      </c>
      <c r="C1" s="289"/>
      <c r="D1" s="289"/>
      <c r="E1" s="289"/>
      <c r="F1" s="289"/>
      <c r="G1" s="289"/>
      <c r="P1" s="4" t="s">
        <v>478</v>
      </c>
    </row>
    <row r="2" spans="2:23" s="70" customFormat="1" ht="48" x14ac:dyDescent="0.2">
      <c r="D2" s="154" t="s">
        <v>84</v>
      </c>
      <c r="E2" s="72" t="str">
        <f>D2</f>
        <v>Pythagorean Comma</v>
      </c>
      <c r="F2" s="72" t="str">
        <f>_xlfn.CONCAT("1/",D3," ",D2)</f>
        <v>1/6 Pythagorean Comma</v>
      </c>
      <c r="G2" s="102"/>
      <c r="H2" s="103" t="s">
        <v>143</v>
      </c>
      <c r="I2" s="161">
        <v>440</v>
      </c>
      <c r="J2" s="103" t="str">
        <f>_xlfn.CONCAT("C for A=", I2,":")</f>
        <v>C for A=440:</v>
      </c>
      <c r="K2" s="70">
        <f>I2*2*8/27*POWER($F$3,$D$12-$D$9)</f>
        <v>262.51339251550581</v>
      </c>
      <c r="L2" s="103"/>
      <c r="U2" s="103"/>
      <c r="V2" s="103"/>
      <c r="W2" s="103"/>
    </row>
    <row r="3" spans="2:23" ht="16" x14ac:dyDescent="0.2">
      <c r="B3" s="105"/>
      <c r="C3" s="74" t="s">
        <v>125</v>
      </c>
      <c r="D3" s="155">
        <v>6</v>
      </c>
      <c r="E3" s="1">
        <f>IF(D2="Pythagorean Comma",524288/531441,IF(D2="Syntonic Comma",80/81,IF(D2="Cents",1/POWER(2,1/1200),"Not in List")))</f>
        <v>0.98654036854514426</v>
      </c>
      <c r="F3" s="132">
        <f>POWER(E3,1/D3)</f>
        <v>0.99774404294166485</v>
      </c>
      <c r="U3" s="74"/>
      <c r="V3" s="74"/>
      <c r="W3" s="74"/>
    </row>
    <row r="4" spans="2:23" ht="16" x14ac:dyDescent="0.2">
      <c r="B4" s="105" t="s">
        <v>63</v>
      </c>
      <c r="C4" s="79"/>
      <c r="D4" s="79"/>
      <c r="U4" s="74"/>
      <c r="V4" s="74"/>
      <c r="W4" s="74"/>
    </row>
    <row r="7" spans="2:23" ht="18" x14ac:dyDescent="0.2">
      <c r="B7" s="310" t="s">
        <v>141</v>
      </c>
      <c r="C7" s="311"/>
      <c r="D7" s="311"/>
      <c r="E7" s="311"/>
      <c r="F7" s="311"/>
      <c r="G7" s="311"/>
      <c r="H7" s="312"/>
      <c r="J7" s="310" t="s">
        <v>142</v>
      </c>
      <c r="K7" s="311"/>
      <c r="L7" s="311"/>
      <c r="M7" s="311"/>
      <c r="N7" s="312"/>
      <c r="P7" s="310" t="s">
        <v>129</v>
      </c>
      <c r="Q7" s="311"/>
      <c r="R7" s="311"/>
      <c r="S7" s="311"/>
      <c r="T7" s="311"/>
      <c r="U7" s="312"/>
    </row>
    <row r="8" spans="2:23" s="84" customFormat="1" ht="48" x14ac:dyDescent="0.2">
      <c r="B8" s="83" t="s">
        <v>0</v>
      </c>
      <c r="C8" s="84" t="str">
        <f>_xlfn.CONCAT("Relative ",C4)</f>
        <v xml:space="preserve">Relative </v>
      </c>
      <c r="D8" s="84" t="str">
        <f>_xlfn.CONCAT("Cumulative ",C4)</f>
        <v xml:space="preserve">Cumulative </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row>
    <row r="9" spans="2:23" x14ac:dyDescent="0.2">
      <c r="B9" s="107" t="s">
        <v>2</v>
      </c>
      <c r="C9" s="185">
        <v>0</v>
      </c>
      <c r="D9" s="4">
        <f>C9</f>
        <v>0</v>
      </c>
      <c r="E9" s="109">
        <f>K2</f>
        <v>262.51339251550581</v>
      </c>
      <c r="G9" s="97">
        <v>0</v>
      </c>
      <c r="H9" s="188">
        <f t="shared" ref="H9:H21" si="0">E9/POWER(2,G9)</f>
        <v>262.51339251550581</v>
      </c>
      <c r="J9" s="85" t="s">
        <v>2</v>
      </c>
      <c r="K9" s="4">
        <f t="shared" ref="K9:K21" si="1">VLOOKUP(J9,Master_Frequencies,2,FALSE)</f>
        <v>262.51339251550581</v>
      </c>
      <c r="L9" s="4">
        <f t="shared" ref="L9:L21" si="2">LOG(K9/K$9,2)*1200</f>
        <v>0</v>
      </c>
      <c r="N9" s="158">
        <v>3600</v>
      </c>
      <c r="P9" s="123" t="str">
        <f>J9</f>
        <v>C</v>
      </c>
      <c r="Q9" s="4">
        <f>E9</f>
        <v>262.51339251550581</v>
      </c>
      <c r="R9" s="4">
        <f>LOG(K9/Q9,2)*1200</f>
        <v>0</v>
      </c>
      <c r="S9" s="145" t="str">
        <f t="shared" ref="S9:S21" si="3">B9</f>
        <v>C</v>
      </c>
      <c r="T9" s="4">
        <f t="shared" ref="T9:T21" si="4">VLOOKUP(S9,Master_Frequencies,2,FALSE)</f>
        <v>262.51339251550581</v>
      </c>
      <c r="U9" s="47">
        <f t="shared" ref="U9:U21" si="5">VLOOKUP(S9,$P$9:$R$21,3,FALSE)</f>
        <v>0</v>
      </c>
    </row>
    <row r="10" spans="2:23" x14ac:dyDescent="0.2">
      <c r="B10" s="107" t="s">
        <v>6</v>
      </c>
      <c r="C10" s="185">
        <v>-1</v>
      </c>
      <c r="D10" s="4">
        <f>D9+C10</f>
        <v>-1</v>
      </c>
      <c r="E10" s="4">
        <f t="shared" ref="E10:E21" si="6">IF(C10&lt;0,(E9*3/2)*POWER($F$3,ABS(C10)),(E9*3/2)*POWER(1/$F$3,ABS(C10)))</f>
        <v>392.88176036212946</v>
      </c>
      <c r="F10" s="4">
        <f t="shared" ref="F10:F21" si="7">LOG(E10/E9,2)*1200</f>
        <v>698.04499913461268</v>
      </c>
      <c r="G10" s="97">
        <v>0</v>
      </c>
      <c r="H10" s="188">
        <f t="shared" si="0"/>
        <v>392.88176036212946</v>
      </c>
      <c r="J10" s="85" t="s">
        <v>74</v>
      </c>
      <c r="K10" s="4">
        <f t="shared" si="1"/>
        <v>275.93341742854636</v>
      </c>
      <c r="L10" s="4">
        <f t="shared" si="2"/>
        <v>86.314993942288282</v>
      </c>
      <c r="M10" s="4">
        <f t="shared" ref="M10:M21" si="8">LOG(K10/K9,2)*1200</f>
        <v>86.314993942288282</v>
      </c>
      <c r="N10" s="47">
        <f t="shared" ref="N10:N21" si="9">N$9*K$9/K10</f>
        <v>3424.913958819589</v>
      </c>
      <c r="P10" s="123" t="str">
        <f t="shared" ref="P10:P21" si="10">J10</f>
        <v>C#</v>
      </c>
      <c r="Q10" s="4">
        <f t="shared" ref="Q10:Q21" si="11">Q9*POWER($Q$9*2/$Q$9,1/12)</f>
        <v>278.12325114523406</v>
      </c>
      <c r="R10" s="4">
        <f t="shared" ref="R10:R21" si="12">LOG(K10/Q10,2)*1200</f>
        <v>-13.685006057711803</v>
      </c>
      <c r="S10" s="145" t="str">
        <f t="shared" si="3"/>
        <v>G</v>
      </c>
      <c r="T10" s="4">
        <f t="shared" si="4"/>
        <v>392.88176036212946</v>
      </c>
      <c r="U10" s="47">
        <f t="shared" si="5"/>
        <v>-1.955000865387585</v>
      </c>
    </row>
    <row r="11" spans="2:23" x14ac:dyDescent="0.2">
      <c r="B11" s="107" t="s">
        <v>3</v>
      </c>
      <c r="C11" s="185">
        <v>-1</v>
      </c>
      <c r="D11" s="4">
        <f t="shared" ref="D11:D21" si="13">D10+C11</f>
        <v>-2</v>
      </c>
      <c r="E11" s="4">
        <f t="shared" si="6"/>
        <v>587.9931539726241</v>
      </c>
      <c r="F11" s="4">
        <f t="shared" si="7"/>
        <v>698.04499913461268</v>
      </c>
      <c r="G11" s="97">
        <v>1</v>
      </c>
      <c r="H11" s="188">
        <f t="shared" si="0"/>
        <v>293.99657698631205</v>
      </c>
      <c r="J11" s="85" t="s">
        <v>3</v>
      </c>
      <c r="K11" s="4">
        <f t="shared" si="1"/>
        <v>293.99657698631205</v>
      </c>
      <c r="L11" s="4">
        <f t="shared" si="2"/>
        <v>196.08999826922548</v>
      </c>
      <c r="M11" s="4">
        <f t="shared" si="8"/>
        <v>109.77500432693707</v>
      </c>
      <c r="N11" s="47">
        <f t="shared" si="9"/>
        <v>3214.4871302356037</v>
      </c>
      <c r="P11" s="123" t="str">
        <f t="shared" si="10"/>
        <v>D</v>
      </c>
      <c r="Q11" s="4">
        <f t="shared" si="11"/>
        <v>294.66132027159711</v>
      </c>
      <c r="R11" s="4">
        <f t="shared" si="12"/>
        <v>-3.9100017307748658</v>
      </c>
      <c r="S11" s="145" t="str">
        <f t="shared" si="3"/>
        <v>D</v>
      </c>
      <c r="T11" s="4">
        <f t="shared" si="4"/>
        <v>293.99657698631205</v>
      </c>
      <c r="U11" s="47">
        <f t="shared" si="5"/>
        <v>-3.9100017307748658</v>
      </c>
    </row>
    <row r="12" spans="2:23" x14ac:dyDescent="0.2">
      <c r="B12" s="107" t="s">
        <v>7</v>
      </c>
      <c r="C12" s="185">
        <v>-1</v>
      </c>
      <c r="D12" s="4">
        <f t="shared" si="13"/>
        <v>-3</v>
      </c>
      <c r="E12" s="4">
        <f t="shared" si="6"/>
        <v>880.00000000000023</v>
      </c>
      <c r="F12" s="4">
        <f t="shared" si="7"/>
        <v>698.04499913461268</v>
      </c>
      <c r="G12" s="97">
        <v>1</v>
      </c>
      <c r="H12" s="188">
        <f t="shared" si="0"/>
        <v>440.00000000000011</v>
      </c>
      <c r="J12" s="85" t="s">
        <v>76</v>
      </c>
      <c r="K12" s="4">
        <f t="shared" si="1"/>
        <v>313.2421875</v>
      </c>
      <c r="L12" s="4">
        <f t="shared" si="2"/>
        <v>305.86500259616207</v>
      </c>
      <c r="M12" s="4">
        <f t="shared" si="8"/>
        <v>109.7750043269367</v>
      </c>
      <c r="N12" s="47">
        <f t="shared" si="9"/>
        <v>3016.9889330626033</v>
      </c>
      <c r="P12" s="123" t="str">
        <f t="shared" si="10"/>
        <v>D#</v>
      </c>
      <c r="Q12" s="4">
        <f t="shared" si="11"/>
        <v>312.1827941629416</v>
      </c>
      <c r="R12" s="4">
        <f t="shared" si="12"/>
        <v>5.8650025961619203</v>
      </c>
      <c r="S12" s="145" t="str">
        <f t="shared" si="3"/>
        <v>A</v>
      </c>
      <c r="T12" s="4">
        <f t="shared" si="4"/>
        <v>440.00000000000011</v>
      </c>
      <c r="U12" s="47">
        <f t="shared" si="5"/>
        <v>-5.8650025961626593</v>
      </c>
    </row>
    <row r="13" spans="2:23" x14ac:dyDescent="0.2">
      <c r="B13" s="107" t="s">
        <v>4</v>
      </c>
      <c r="C13" s="185">
        <v>-1</v>
      </c>
      <c r="D13" s="4">
        <f t="shared" si="13"/>
        <v>-4</v>
      </c>
      <c r="E13" s="4">
        <f t="shared" si="6"/>
        <v>1317.0221366829981</v>
      </c>
      <c r="F13" s="4">
        <f t="shared" si="7"/>
        <v>698.04499913461279</v>
      </c>
      <c r="G13" s="97">
        <v>2</v>
      </c>
      <c r="H13" s="188">
        <f t="shared" si="0"/>
        <v>329.25553417074951</v>
      </c>
      <c r="J13" s="85" t="s">
        <v>4</v>
      </c>
      <c r="K13" s="4">
        <f t="shared" si="1"/>
        <v>329.25553417074951</v>
      </c>
      <c r="L13" s="4">
        <f t="shared" si="2"/>
        <v>392.17999653845061</v>
      </c>
      <c r="M13" s="4">
        <f t="shared" si="8"/>
        <v>86.314993942288652</v>
      </c>
      <c r="N13" s="47">
        <f t="shared" si="9"/>
        <v>2870.2576417917576</v>
      </c>
      <c r="P13" s="123" t="str">
        <f t="shared" si="10"/>
        <v>E</v>
      </c>
      <c r="Q13" s="4">
        <f t="shared" si="11"/>
        <v>330.74614910960105</v>
      </c>
      <c r="R13" s="4">
        <f t="shared" si="12"/>
        <v>-7.820003461549498</v>
      </c>
      <c r="S13" s="145" t="str">
        <f t="shared" si="3"/>
        <v>E</v>
      </c>
      <c r="T13" s="4">
        <f t="shared" si="4"/>
        <v>329.25553417074951</v>
      </c>
      <c r="U13" s="47">
        <f t="shared" si="5"/>
        <v>-7.820003461549498</v>
      </c>
    </row>
    <row r="14" spans="2:23" x14ac:dyDescent="0.2">
      <c r="B14" s="107" t="s">
        <v>8</v>
      </c>
      <c r="C14" s="185">
        <v>-1</v>
      </c>
      <c r="D14" s="4">
        <f t="shared" si="13"/>
        <v>-5</v>
      </c>
      <c r="E14" s="4">
        <f t="shared" si="6"/>
        <v>1971.0764869466466</v>
      </c>
      <c r="F14" s="4">
        <f t="shared" si="7"/>
        <v>698.04499913461268</v>
      </c>
      <c r="G14" s="97">
        <v>2</v>
      </c>
      <c r="H14" s="188">
        <f t="shared" si="0"/>
        <v>492.76912173666165</v>
      </c>
      <c r="J14" s="85" t="s">
        <v>5</v>
      </c>
      <c r="K14" s="4">
        <f t="shared" si="1"/>
        <v>350.80926733010369</v>
      </c>
      <c r="L14" s="4">
        <f t="shared" si="2"/>
        <v>501.95500086538686</v>
      </c>
      <c r="M14" s="4">
        <f t="shared" si="8"/>
        <v>109.77500432693633</v>
      </c>
      <c r="N14" s="47">
        <f t="shared" si="9"/>
        <v>2693.9089159424962</v>
      </c>
      <c r="P14" s="123" t="str">
        <f t="shared" si="10"/>
        <v>F</v>
      </c>
      <c r="Q14" s="4">
        <f t="shared" si="11"/>
        <v>350.41333858307883</v>
      </c>
      <c r="R14" s="4">
        <f t="shared" si="12"/>
        <v>1.9550008653864619</v>
      </c>
      <c r="S14" s="145" t="str">
        <f t="shared" si="3"/>
        <v>B</v>
      </c>
      <c r="T14" s="4">
        <f t="shared" si="4"/>
        <v>492.76912173666165</v>
      </c>
      <c r="U14" s="47">
        <f t="shared" si="5"/>
        <v>-9.7750043269375144</v>
      </c>
    </row>
    <row r="15" spans="2:23" x14ac:dyDescent="0.2">
      <c r="B15" s="107" t="s">
        <v>70</v>
      </c>
      <c r="C15" s="185">
        <v>-1</v>
      </c>
      <c r="D15" s="4">
        <f t="shared" si="13"/>
        <v>-6</v>
      </c>
      <c r="E15" s="4">
        <f t="shared" si="6"/>
        <v>2949.9447345501012</v>
      </c>
      <c r="F15" s="4">
        <f t="shared" si="7"/>
        <v>698.04499913461268</v>
      </c>
      <c r="G15" s="97">
        <v>3</v>
      </c>
      <c r="H15" s="188">
        <f t="shared" si="0"/>
        <v>368.74309181876265</v>
      </c>
      <c r="J15" s="85" t="s">
        <v>70</v>
      </c>
      <c r="K15" s="4">
        <f t="shared" si="1"/>
        <v>368.74309181876265</v>
      </c>
      <c r="L15" s="4">
        <f t="shared" si="2"/>
        <v>588.26999480767574</v>
      </c>
      <c r="M15" s="4">
        <f t="shared" si="8"/>
        <v>86.314993942288652</v>
      </c>
      <c r="N15" s="47">
        <f t="shared" si="9"/>
        <v>2562.8906249999995</v>
      </c>
      <c r="P15" s="123" t="str">
        <f t="shared" si="10"/>
        <v>F#</v>
      </c>
      <c r="Q15" s="4">
        <f t="shared" si="11"/>
        <v>371.25000000000011</v>
      </c>
      <c r="R15" s="4">
        <f t="shared" si="12"/>
        <v>-11.730005192324629</v>
      </c>
      <c r="S15" s="145" t="str">
        <f t="shared" si="3"/>
        <v>F#</v>
      </c>
      <c r="T15" s="4">
        <f t="shared" si="4"/>
        <v>368.74309181876265</v>
      </c>
      <c r="U15" s="47">
        <f t="shared" si="5"/>
        <v>-11.730005192324629</v>
      </c>
    </row>
    <row r="16" spans="2:23" x14ac:dyDescent="0.2">
      <c r="B16" s="107" t="s">
        <v>74</v>
      </c>
      <c r="C16" s="185">
        <v>-1</v>
      </c>
      <c r="D16" s="4">
        <f t="shared" si="13"/>
        <v>-7</v>
      </c>
      <c r="E16" s="4">
        <f t="shared" si="6"/>
        <v>4414.9346788567418</v>
      </c>
      <c r="F16" s="4">
        <f t="shared" si="7"/>
        <v>698.04499913461279</v>
      </c>
      <c r="G16" s="97">
        <v>4</v>
      </c>
      <c r="H16" s="188">
        <f t="shared" si="0"/>
        <v>275.93341742854636</v>
      </c>
      <c r="J16" s="85" t="s">
        <v>6</v>
      </c>
      <c r="K16" s="4">
        <f t="shared" si="1"/>
        <v>392.88176036212946</v>
      </c>
      <c r="L16" s="4">
        <f t="shared" si="2"/>
        <v>698.04499913461268</v>
      </c>
      <c r="M16" s="4">
        <f t="shared" si="8"/>
        <v>109.77500432693707</v>
      </c>
      <c r="N16" s="47">
        <f t="shared" si="9"/>
        <v>2405.4265389789161</v>
      </c>
      <c r="P16" s="123" t="str">
        <f t="shared" si="10"/>
        <v>G</v>
      </c>
      <c r="Q16" s="4">
        <f t="shared" si="11"/>
        <v>393.32567378088851</v>
      </c>
      <c r="R16" s="4">
        <f t="shared" si="12"/>
        <v>-1.955000865387585</v>
      </c>
      <c r="S16" s="145" t="str">
        <f t="shared" si="3"/>
        <v>C#</v>
      </c>
      <c r="T16" s="4">
        <f t="shared" si="4"/>
        <v>275.93341742854636</v>
      </c>
      <c r="U16" s="47">
        <f t="shared" si="5"/>
        <v>-13.685006057711803</v>
      </c>
    </row>
    <row r="17" spans="2:26" x14ac:dyDescent="0.2">
      <c r="B17" s="107" t="s">
        <v>72</v>
      </c>
      <c r="C17" s="185">
        <v>5</v>
      </c>
      <c r="D17" s="4">
        <f t="shared" si="13"/>
        <v>-2</v>
      </c>
      <c r="E17" s="4">
        <f t="shared" si="6"/>
        <v>6697.6095194694199</v>
      </c>
      <c r="F17" s="4">
        <f t="shared" si="7"/>
        <v>721.50500951926119</v>
      </c>
      <c r="G17" s="97">
        <v>4</v>
      </c>
      <c r="H17" s="188">
        <f t="shared" si="0"/>
        <v>418.60059496683874</v>
      </c>
      <c r="J17" s="85" t="s">
        <v>72</v>
      </c>
      <c r="K17" s="4">
        <f t="shared" si="1"/>
        <v>418.60059496683874</v>
      </c>
      <c r="L17" s="4">
        <f t="shared" si="2"/>
        <v>807.8200034615495</v>
      </c>
      <c r="M17" s="4">
        <f t="shared" si="8"/>
        <v>109.7750043269367</v>
      </c>
      <c r="N17" s="47">
        <f t="shared" si="9"/>
        <v>2257.6370516881061</v>
      </c>
      <c r="P17" s="123" t="str">
        <f t="shared" si="10"/>
        <v>G#</v>
      </c>
      <c r="Q17" s="4">
        <f t="shared" si="11"/>
        <v>416.71403543485491</v>
      </c>
      <c r="R17" s="4">
        <f t="shared" si="12"/>
        <v>7.8200034615487954</v>
      </c>
      <c r="S17" s="145" t="str">
        <f t="shared" si="3"/>
        <v>G#</v>
      </c>
      <c r="T17" s="4">
        <f t="shared" si="4"/>
        <v>418.60059496683874</v>
      </c>
      <c r="U17" s="47">
        <f t="shared" si="5"/>
        <v>7.8200034615487954</v>
      </c>
    </row>
    <row r="18" spans="2:26" x14ac:dyDescent="0.2">
      <c r="B18" s="107" t="s">
        <v>76</v>
      </c>
      <c r="C18" s="185">
        <v>-1</v>
      </c>
      <c r="D18" s="4">
        <f t="shared" si="13"/>
        <v>-3</v>
      </c>
      <c r="E18" s="4">
        <f t="shared" si="6"/>
        <v>10023.75</v>
      </c>
      <c r="F18" s="4">
        <f t="shared" si="7"/>
        <v>698.04499913461268</v>
      </c>
      <c r="G18" s="97">
        <v>5</v>
      </c>
      <c r="H18" s="188">
        <f t="shared" si="0"/>
        <v>313.2421875</v>
      </c>
      <c r="J18" s="85" t="s">
        <v>7</v>
      </c>
      <c r="K18" s="4">
        <f t="shared" si="1"/>
        <v>440.00000000000011</v>
      </c>
      <c r="L18" s="4">
        <f t="shared" si="2"/>
        <v>894.13499740383804</v>
      </c>
      <c r="M18" s="4">
        <f t="shared" si="8"/>
        <v>86.314993942288282</v>
      </c>
      <c r="N18" s="47">
        <f t="shared" si="9"/>
        <v>2147.8368478541379</v>
      </c>
      <c r="P18" s="123" t="str">
        <f t="shared" si="10"/>
        <v>A</v>
      </c>
      <c r="Q18" s="4">
        <f t="shared" si="11"/>
        <v>441.4931414447604</v>
      </c>
      <c r="R18" s="4">
        <f t="shared" si="12"/>
        <v>-5.8650025961626593</v>
      </c>
      <c r="S18" s="145" t="str">
        <f t="shared" si="3"/>
        <v>D#</v>
      </c>
      <c r="T18" s="4">
        <f t="shared" si="4"/>
        <v>313.2421875</v>
      </c>
      <c r="U18" s="47">
        <f t="shared" si="5"/>
        <v>5.8650025961619203</v>
      </c>
    </row>
    <row r="19" spans="2:26" x14ac:dyDescent="0.2">
      <c r="B19" s="107" t="s">
        <v>73</v>
      </c>
      <c r="C19" s="185">
        <v>-1</v>
      </c>
      <c r="D19" s="4">
        <f t="shared" si="13"/>
        <v>-4</v>
      </c>
      <c r="E19" s="4">
        <f t="shared" si="6"/>
        <v>15001.705275654769</v>
      </c>
      <c r="F19" s="4">
        <f t="shared" si="7"/>
        <v>698.04499913461268</v>
      </c>
      <c r="G19" s="97">
        <v>5</v>
      </c>
      <c r="H19" s="188">
        <f t="shared" si="0"/>
        <v>468.80328986421154</v>
      </c>
      <c r="J19" s="85" t="s">
        <v>73</v>
      </c>
      <c r="K19" s="4">
        <f t="shared" si="1"/>
        <v>468.80328986421154</v>
      </c>
      <c r="L19" s="4">
        <f t="shared" si="2"/>
        <v>1003.9100017307744</v>
      </c>
      <c r="M19" s="4">
        <f t="shared" si="8"/>
        <v>109.7750043269367</v>
      </c>
      <c r="N19" s="47">
        <f t="shared" si="9"/>
        <v>2015.8736798317975</v>
      </c>
      <c r="P19" s="123" t="str">
        <f t="shared" si="10"/>
        <v>A#</v>
      </c>
      <c r="Q19" s="4">
        <f t="shared" si="11"/>
        <v>467.7456897734719</v>
      </c>
      <c r="R19" s="4">
        <f t="shared" si="12"/>
        <v>3.9100017307739852</v>
      </c>
      <c r="S19" s="145" t="str">
        <f t="shared" si="3"/>
        <v>A#</v>
      </c>
      <c r="T19" s="4">
        <f t="shared" si="4"/>
        <v>468.80328986421154</v>
      </c>
      <c r="U19" s="47">
        <f t="shared" si="5"/>
        <v>3.9100017307739852</v>
      </c>
    </row>
    <row r="20" spans="2:26" x14ac:dyDescent="0.2">
      <c r="B20" s="107" t="s">
        <v>5</v>
      </c>
      <c r="C20" s="185">
        <v>-1</v>
      </c>
      <c r="D20" s="4">
        <f t="shared" si="13"/>
        <v>-5</v>
      </c>
      <c r="E20" s="4">
        <f t="shared" si="6"/>
        <v>22451.793109126636</v>
      </c>
      <c r="F20" s="4">
        <f t="shared" si="7"/>
        <v>698.04499913461223</v>
      </c>
      <c r="G20" s="97">
        <v>6</v>
      </c>
      <c r="H20" s="188">
        <f t="shared" si="0"/>
        <v>350.80926733010369</v>
      </c>
      <c r="J20" s="85" t="s">
        <v>8</v>
      </c>
      <c r="K20" s="4">
        <f t="shared" si="1"/>
        <v>492.76912173666165</v>
      </c>
      <c r="L20" s="4">
        <f t="shared" si="2"/>
        <v>1090.2249956730632</v>
      </c>
      <c r="M20" s="4">
        <f t="shared" si="8"/>
        <v>86.314993942288652</v>
      </c>
      <c r="N20" s="47">
        <f t="shared" si="9"/>
        <v>1917.8316403535925</v>
      </c>
      <c r="P20" s="123" t="str">
        <f t="shared" si="10"/>
        <v>B</v>
      </c>
      <c r="Q20" s="4">
        <f t="shared" si="11"/>
        <v>495.55929586062553</v>
      </c>
      <c r="R20" s="4">
        <f t="shared" si="12"/>
        <v>-9.7750043269375144</v>
      </c>
      <c r="S20" s="145" t="str">
        <f t="shared" si="3"/>
        <v>F</v>
      </c>
      <c r="T20" s="4">
        <f t="shared" si="4"/>
        <v>350.80926733010369</v>
      </c>
      <c r="U20" s="47">
        <f t="shared" si="5"/>
        <v>1.9550008653864619</v>
      </c>
    </row>
    <row r="21" spans="2:26" x14ac:dyDescent="0.2">
      <c r="B21" s="108" t="s">
        <v>78</v>
      </c>
      <c r="C21" s="186">
        <v>-1</v>
      </c>
      <c r="D21" s="53">
        <f t="shared" si="13"/>
        <v>-6</v>
      </c>
      <c r="E21" s="53">
        <f t="shared" si="6"/>
        <v>33601.71424198473</v>
      </c>
      <c r="F21" s="53">
        <f t="shared" si="7"/>
        <v>698.04499913461223</v>
      </c>
      <c r="G21" s="98">
        <v>6</v>
      </c>
      <c r="H21" s="48">
        <f t="shared" si="0"/>
        <v>525.0267850310114</v>
      </c>
      <c r="J21" s="87" t="s">
        <v>78</v>
      </c>
      <c r="K21" s="53">
        <f t="shared" si="1"/>
        <v>525.0267850310114</v>
      </c>
      <c r="L21" s="53">
        <f t="shared" si="2"/>
        <v>1199.9999999999991</v>
      </c>
      <c r="M21" s="53">
        <f t="shared" si="8"/>
        <v>109.77500432693597</v>
      </c>
      <c r="N21" s="48">
        <f t="shared" si="9"/>
        <v>1800.0000000000007</v>
      </c>
      <c r="P21" s="108" t="str">
        <f t="shared" si="10"/>
        <v>c oct.</v>
      </c>
      <c r="Q21" s="53">
        <f t="shared" si="11"/>
        <v>525.02678503101185</v>
      </c>
      <c r="R21" s="53">
        <f t="shared" si="12"/>
        <v>-1.5376447218311611E-12</v>
      </c>
      <c r="S21" s="151" t="str">
        <f t="shared" si="3"/>
        <v>c oct.</v>
      </c>
      <c r="T21" s="53">
        <f t="shared" si="4"/>
        <v>525.0267850310114</v>
      </c>
      <c r="U21" s="48">
        <f t="shared" si="5"/>
        <v>-1.5376447218311611E-12</v>
      </c>
    </row>
    <row r="22" spans="2:26" x14ac:dyDescent="0.2">
      <c r="B22" s="18"/>
      <c r="J22" s="86"/>
      <c r="P22" s="18"/>
      <c r="S22" s="18"/>
    </row>
    <row r="23" spans="2:26" x14ac:dyDescent="0.2">
      <c r="B23" s="18"/>
      <c r="J23" s="86"/>
      <c r="P23" s="18"/>
      <c r="S23" s="18"/>
    </row>
    <row r="24" spans="2:26" ht="18" x14ac:dyDescent="0.2">
      <c r="B24" s="18"/>
      <c r="J24" s="86"/>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customHeight="1" x14ac:dyDescent="0.2">
      <c r="B26" s="83" t="s">
        <v>130</v>
      </c>
      <c r="C26" s="84" t="s">
        <v>131</v>
      </c>
      <c r="D26" s="84" t="s">
        <v>132</v>
      </c>
      <c r="E26" s="84" t="str" cm="1">
        <f t="array" aca="1" ref="E26" ca="1">_xlfn.CONCAT(_xlfn.TEXTAFTER(CELL("filename",A2),"]")," Interval in cents")</f>
        <v>Template from Fifths Interval in cents</v>
      </c>
      <c r="F26" s="84" t="s">
        <v>18</v>
      </c>
      <c r="G26" s="52" t="str">
        <f>_xlfn.CONCAT("diff ",$F$2)</f>
        <v>diff 1/6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E38" si="14">LOG(D27*VLOOKUP(C27,Master_Frequencies,2,FALSE)/VLOOKUP(B27,Master_Frequencies,2,FALSE),2)*1200</f>
        <v>392.17999653845061</v>
      </c>
      <c r="F27" s="4">
        <f t="shared" ref="F27:F38" si="15">VLOOKUP(B27,Master_Frequencies,2,FALSE)*5/4</f>
        <v>328.14174064438225</v>
      </c>
      <c r="G27" s="47">
        <f t="shared" ref="G27:G38" si="16">IF($D$2="Cents",LOG(VLOOKUP(C27,Master_Frequencies,2,FALSE)/F27,2)*1200*$F$3,LOG(D27*VLOOKUP(C27,Master_Frequencies,2,FALSE)/F27,$F$3))</f>
        <v>-1.500327385393095</v>
      </c>
      <c r="I27" s="123" t="s">
        <v>2</v>
      </c>
      <c r="J27" s="145" t="s">
        <v>6</v>
      </c>
      <c r="K27" s="97">
        <v>1</v>
      </c>
      <c r="L27" s="191">
        <f t="shared" ref="L27:L38" si="17">K27*VLOOKUP(J27,Master_Frequencies,2,FALSE)/VLOOKUP(I27,Master_Frequencies,2,FALSE)</f>
        <v>1.4966160644124973</v>
      </c>
      <c r="M27" s="145" t="s">
        <v>2</v>
      </c>
      <c r="N27" s="145" t="s">
        <v>4</v>
      </c>
      <c r="O27" s="191">
        <f t="shared" ref="O27:O38" si="18">D27*VLOOKUP(N27,Master_Frequencies,2,FALSE)/VLOOKUP(M27,Master_Frequencies,2,FALSE)</f>
        <v>1.2542428064933924</v>
      </c>
      <c r="Q27" s="99">
        <v>1</v>
      </c>
      <c r="R27" s="18">
        <f>$E$9*Q27</f>
        <v>262.51339251550581</v>
      </c>
      <c r="S27" s="97">
        <v>0</v>
      </c>
      <c r="T27" s="4">
        <f>R27/POWER(2,S27)</f>
        <v>262.51339251550581</v>
      </c>
      <c r="U27" s="18" t="str" cm="1">
        <f t="array" ref="U27">_xlfn.XLOOKUP(0,ABS($C$44:$C$56-T27),$B$44:$B$56,,1)</f>
        <v>C</v>
      </c>
      <c r="V27" s="47">
        <f t="shared" ref="V27:V39" si="19">LOG(T27/VLOOKUP(U27,Master_Frequencies,2,FALSE),2)*1200</f>
        <v>0</v>
      </c>
      <c r="X27" s="85" t="s">
        <v>2</v>
      </c>
      <c r="Y27" s="4">
        <f t="shared" ref="Y27:Y39" si="20">VLOOKUP(X27,Master_Frequencies,2,FALSE)/POWER(2,$Z$25)</f>
        <v>131.25669625775291</v>
      </c>
      <c r="Z27" s="47">
        <f t="shared" ref="Z27:Z39" si="21">VLOOKUP(X27,Master_Frequencies,2,FALSE)*POWER(2,$Z$25)</f>
        <v>525.02678503101163</v>
      </c>
    </row>
    <row r="28" spans="2:26" x14ac:dyDescent="0.2">
      <c r="B28" s="123" t="s">
        <v>74</v>
      </c>
      <c r="C28" s="145" t="s">
        <v>5</v>
      </c>
      <c r="D28" s="97">
        <v>1</v>
      </c>
      <c r="E28" s="4">
        <f t="shared" si="14"/>
        <v>415.6400069230985</v>
      </c>
      <c r="F28" s="4">
        <f t="shared" si="15"/>
        <v>344.91677178568295</v>
      </c>
      <c r="G28" s="47">
        <f t="shared" si="16"/>
        <v>-7.5003273853927563</v>
      </c>
      <c r="I28" s="123" t="s">
        <v>74</v>
      </c>
      <c r="J28" s="145" t="s">
        <v>72</v>
      </c>
      <c r="K28" s="97">
        <v>1</v>
      </c>
      <c r="L28" s="191">
        <f t="shared" si="17"/>
        <v>1.517034793639072</v>
      </c>
      <c r="M28" s="145" t="s">
        <v>74</v>
      </c>
      <c r="N28" s="145" t="s">
        <v>5</v>
      </c>
      <c r="O28" s="191">
        <f t="shared" si="18"/>
        <v>1.2713547731888857</v>
      </c>
      <c r="Q28" s="99">
        <v>2</v>
      </c>
      <c r="R28" s="18">
        <f t="shared" ref="R28:R39" si="22">$E$9*Q28</f>
        <v>525.02678503101163</v>
      </c>
      <c r="S28" s="97">
        <v>0</v>
      </c>
      <c r="T28" s="4">
        <f t="shared" ref="T28:T39" si="23">R28/POWER(2,S28)</f>
        <v>525.02678503101163</v>
      </c>
      <c r="U28" s="18" t="str" cm="1">
        <f t="array" ref="U28">_xlfn.XLOOKUP(0,ABS($C$44:$C$56-T28),$B$44:$B$56,,1)</f>
        <v>c oct.</v>
      </c>
      <c r="V28" s="47">
        <f t="shared" si="19"/>
        <v>7.6882236091558007E-13</v>
      </c>
      <c r="X28" s="85" t="s">
        <v>74</v>
      </c>
      <c r="Y28" s="4">
        <f t="shared" si="20"/>
        <v>137.96670871427318</v>
      </c>
      <c r="Z28" s="47">
        <f t="shared" si="21"/>
        <v>551.86683485709273</v>
      </c>
    </row>
    <row r="29" spans="2:26" x14ac:dyDescent="0.2">
      <c r="B29" s="123" t="s">
        <v>3</v>
      </c>
      <c r="C29" s="145" t="s">
        <v>70</v>
      </c>
      <c r="D29" s="97">
        <v>1</v>
      </c>
      <c r="E29" s="4">
        <f t="shared" si="14"/>
        <v>392.17999653845027</v>
      </c>
      <c r="F29" s="4">
        <f t="shared" si="15"/>
        <v>367.49572123289005</v>
      </c>
      <c r="G29" s="47">
        <f t="shared" si="16"/>
        <v>-1.500327385392997</v>
      </c>
      <c r="I29" s="123" t="s">
        <v>3</v>
      </c>
      <c r="J29" s="145" t="s">
        <v>7</v>
      </c>
      <c r="K29" s="97">
        <v>1</v>
      </c>
      <c r="L29" s="191">
        <f t="shared" si="17"/>
        <v>1.4966160644124973</v>
      </c>
      <c r="M29" s="145" t="s">
        <v>3</v>
      </c>
      <c r="N29" s="145" t="s">
        <v>70</v>
      </c>
      <c r="O29" s="191">
        <f t="shared" si="18"/>
        <v>1.2542428064933921</v>
      </c>
      <c r="Q29" s="99">
        <v>3</v>
      </c>
      <c r="R29" s="18">
        <f t="shared" si="22"/>
        <v>787.5401775465175</v>
      </c>
      <c r="S29" s="97">
        <v>1</v>
      </c>
      <c r="T29" s="4">
        <f t="shared" si="23"/>
        <v>393.77008877325875</v>
      </c>
      <c r="U29" s="18" t="str" cm="1">
        <f t="array" ref="U29">_xlfn.XLOOKUP(0,ABS($C$44:$C$56-T29),$B$44:$B$56,,1)</f>
        <v>G</v>
      </c>
      <c r="V29" s="47">
        <f t="shared" si="19"/>
        <v>3.9100017307747521</v>
      </c>
      <c r="X29" s="85" t="s">
        <v>3</v>
      </c>
      <c r="Y29" s="4">
        <f t="shared" si="20"/>
        <v>146.99828849315602</v>
      </c>
      <c r="Z29" s="47">
        <f t="shared" si="21"/>
        <v>587.9931539726241</v>
      </c>
    </row>
    <row r="30" spans="2:26" x14ac:dyDescent="0.2">
      <c r="B30" s="123" t="s">
        <v>76</v>
      </c>
      <c r="C30" s="145" t="s">
        <v>6</v>
      </c>
      <c r="D30" s="97">
        <v>1</v>
      </c>
      <c r="E30" s="4">
        <f t="shared" si="14"/>
        <v>392.17999653845061</v>
      </c>
      <c r="F30" s="4">
        <f t="shared" si="15"/>
        <v>391.552734375</v>
      </c>
      <c r="G30" s="47">
        <f t="shared" si="16"/>
        <v>-1.500327385393095</v>
      </c>
      <c r="I30" s="123" t="s">
        <v>76</v>
      </c>
      <c r="J30" s="145" t="s">
        <v>73</v>
      </c>
      <c r="K30" s="97">
        <v>1</v>
      </c>
      <c r="L30" s="191">
        <f t="shared" si="17"/>
        <v>1.4966160644124973</v>
      </c>
      <c r="M30" s="145" t="s">
        <v>76</v>
      </c>
      <c r="N30" s="145" t="s">
        <v>6</v>
      </c>
      <c r="O30" s="191">
        <f t="shared" si="18"/>
        <v>1.2542428064933924</v>
      </c>
      <c r="Q30" s="99">
        <v>4</v>
      </c>
      <c r="R30" s="18">
        <f t="shared" si="22"/>
        <v>1050.0535700620233</v>
      </c>
      <c r="S30" s="97">
        <v>1</v>
      </c>
      <c r="T30" s="4">
        <f t="shared" si="23"/>
        <v>525.02678503101163</v>
      </c>
      <c r="U30" s="18" t="str" cm="1">
        <f t="array" ref="U30">_xlfn.XLOOKUP(0,ABS($C$44:$C$56-T30),$B$44:$B$56,,1)</f>
        <v>c oct.</v>
      </c>
      <c r="V30" s="47">
        <f t="shared" si="19"/>
        <v>7.6882236091558007E-13</v>
      </c>
      <c r="X30" s="85" t="s">
        <v>76</v>
      </c>
      <c r="Y30" s="4">
        <f t="shared" si="20"/>
        <v>156.62109375</v>
      </c>
      <c r="Z30" s="47">
        <f t="shared" si="21"/>
        <v>626.484375</v>
      </c>
    </row>
    <row r="31" spans="2:26" x14ac:dyDescent="0.2">
      <c r="B31" s="123" t="s">
        <v>4</v>
      </c>
      <c r="C31" s="145" t="s">
        <v>72</v>
      </c>
      <c r="D31" s="97">
        <v>1</v>
      </c>
      <c r="E31" s="4">
        <f t="shared" si="14"/>
        <v>415.64000692309872</v>
      </c>
      <c r="F31" s="4">
        <f t="shared" si="15"/>
        <v>411.56941771343691</v>
      </c>
      <c r="G31" s="47">
        <f t="shared" si="16"/>
        <v>-7.5003273853927563</v>
      </c>
      <c r="I31" s="123" t="s">
        <v>4</v>
      </c>
      <c r="J31" s="145" t="s">
        <v>8</v>
      </c>
      <c r="K31" s="97">
        <v>1</v>
      </c>
      <c r="L31" s="191">
        <f t="shared" si="17"/>
        <v>1.4966160644124973</v>
      </c>
      <c r="M31" s="145" t="s">
        <v>4</v>
      </c>
      <c r="N31" s="145" t="s">
        <v>72</v>
      </c>
      <c r="O31" s="191">
        <f t="shared" si="18"/>
        <v>1.2713547731888859</v>
      </c>
      <c r="Q31" s="99">
        <v>5</v>
      </c>
      <c r="R31" s="18">
        <f t="shared" si="22"/>
        <v>1312.566962577529</v>
      </c>
      <c r="S31" s="97">
        <v>2</v>
      </c>
      <c r="T31" s="4">
        <f t="shared" si="23"/>
        <v>328.14174064438225</v>
      </c>
      <c r="U31" s="18" t="str" cm="1">
        <f t="array" ref="U31">_xlfn.XLOOKUP(0,ABS($C$44:$C$56-T31),$B$44:$B$56,,1)</f>
        <v>E</v>
      </c>
      <c r="V31" s="47">
        <f t="shared" si="19"/>
        <v>-5.8662826736158431</v>
      </c>
      <c r="X31" s="85" t="s">
        <v>4</v>
      </c>
      <c r="Y31" s="4">
        <f t="shared" si="20"/>
        <v>164.62776708537476</v>
      </c>
      <c r="Z31" s="47">
        <f t="shared" si="21"/>
        <v>658.51106834149903</v>
      </c>
    </row>
    <row r="32" spans="2:26" x14ac:dyDescent="0.2">
      <c r="B32" s="123" t="s">
        <v>5</v>
      </c>
      <c r="C32" s="145" t="s">
        <v>7</v>
      </c>
      <c r="D32" s="97">
        <v>1</v>
      </c>
      <c r="E32" s="4">
        <f t="shared" si="14"/>
        <v>392.17999653845095</v>
      </c>
      <c r="F32" s="4">
        <f t="shared" si="15"/>
        <v>438.51158416262962</v>
      </c>
      <c r="G32" s="47">
        <f t="shared" si="16"/>
        <v>-1.5003273853931931</v>
      </c>
      <c r="I32" s="123" t="s">
        <v>5</v>
      </c>
      <c r="J32" s="145" t="s">
        <v>78</v>
      </c>
      <c r="K32" s="97">
        <v>1</v>
      </c>
      <c r="L32" s="191">
        <f t="shared" si="17"/>
        <v>1.4966160644124971</v>
      </c>
      <c r="M32" s="145" t="s">
        <v>5</v>
      </c>
      <c r="N32" s="145" t="s">
        <v>7</v>
      </c>
      <c r="O32" s="191">
        <f t="shared" si="18"/>
        <v>1.2542428064933926</v>
      </c>
      <c r="Q32" s="99">
        <v>6</v>
      </c>
      <c r="R32" s="18">
        <f t="shared" si="22"/>
        <v>1575.080355093035</v>
      </c>
      <c r="S32" s="97">
        <v>2</v>
      </c>
      <c r="T32" s="4">
        <f t="shared" si="23"/>
        <v>393.77008877325875</v>
      </c>
      <c r="U32" s="18" t="str" cm="1">
        <f t="array" ref="U32">_xlfn.XLOOKUP(0,ABS($C$44:$C$56-T32),$B$44:$B$56,,1)</f>
        <v>G</v>
      </c>
      <c r="V32" s="47">
        <f t="shared" si="19"/>
        <v>3.9100017307747521</v>
      </c>
      <c r="X32" s="85" t="s">
        <v>5</v>
      </c>
      <c r="Y32" s="4">
        <f t="shared" si="20"/>
        <v>175.40463366505185</v>
      </c>
      <c r="Z32" s="47">
        <f t="shared" si="21"/>
        <v>701.61853466020739</v>
      </c>
    </row>
    <row r="33" spans="2:26" x14ac:dyDescent="0.2">
      <c r="B33" s="123" t="s">
        <v>70</v>
      </c>
      <c r="C33" s="145" t="s">
        <v>73</v>
      </c>
      <c r="D33" s="97">
        <v>1</v>
      </c>
      <c r="E33" s="4">
        <f t="shared" si="14"/>
        <v>415.64000692309872</v>
      </c>
      <c r="F33" s="4">
        <f t="shared" si="15"/>
        <v>460.92886477345331</v>
      </c>
      <c r="G33" s="47">
        <f t="shared" si="16"/>
        <v>-7.5003273853928514</v>
      </c>
      <c r="I33" s="123" t="s">
        <v>70</v>
      </c>
      <c r="J33" s="145" t="s">
        <v>74</v>
      </c>
      <c r="K33" s="97">
        <v>2</v>
      </c>
      <c r="L33" s="191">
        <f t="shared" si="17"/>
        <v>1.4966160644124975</v>
      </c>
      <c r="M33" s="145" t="s">
        <v>70</v>
      </c>
      <c r="N33" s="145" t="s">
        <v>73</v>
      </c>
      <c r="O33" s="191">
        <f t="shared" si="18"/>
        <v>1.2713547731888859</v>
      </c>
      <c r="Q33" s="99">
        <v>7</v>
      </c>
      <c r="R33" s="18">
        <f t="shared" si="22"/>
        <v>1837.5937476085408</v>
      </c>
      <c r="S33" s="97">
        <v>2</v>
      </c>
      <c r="T33" s="4">
        <f t="shared" si="23"/>
        <v>459.39843690213519</v>
      </c>
      <c r="U33" s="18" t="str" cm="1">
        <f t="array" ref="U33">_xlfn.XLOOKUP(0,ABS($C$44:$C$56-T33),$B$44:$B$56,,1)</f>
        <v>A#</v>
      </c>
      <c r="V33" s="47">
        <f t="shared" si="19"/>
        <v>-35.084095261649459</v>
      </c>
      <c r="X33" s="85" t="s">
        <v>70</v>
      </c>
      <c r="Y33" s="4">
        <f t="shared" si="20"/>
        <v>184.37154590938133</v>
      </c>
      <c r="Z33" s="47">
        <f t="shared" si="21"/>
        <v>737.4861836375253</v>
      </c>
    </row>
    <row r="34" spans="2:26" x14ac:dyDescent="0.2">
      <c r="B34" s="123" t="s">
        <v>6</v>
      </c>
      <c r="C34" s="145" t="s">
        <v>8</v>
      </c>
      <c r="D34" s="97">
        <v>1</v>
      </c>
      <c r="E34" s="4">
        <f t="shared" si="14"/>
        <v>392.17999653845061</v>
      </c>
      <c r="F34" s="4">
        <f t="shared" si="15"/>
        <v>491.1022004526618</v>
      </c>
      <c r="G34" s="47">
        <f t="shared" si="16"/>
        <v>-1.500327385392997</v>
      </c>
      <c r="I34" s="123" t="s">
        <v>6</v>
      </c>
      <c r="J34" s="145" t="s">
        <v>3</v>
      </c>
      <c r="K34" s="97">
        <v>2</v>
      </c>
      <c r="L34" s="191">
        <f t="shared" si="17"/>
        <v>1.4966160644124973</v>
      </c>
      <c r="M34" s="145" t="s">
        <v>6</v>
      </c>
      <c r="N34" s="145" t="s">
        <v>8</v>
      </c>
      <c r="O34" s="191">
        <f t="shared" si="18"/>
        <v>1.2542428064933924</v>
      </c>
      <c r="Q34" s="99">
        <v>8</v>
      </c>
      <c r="R34" s="18">
        <f t="shared" si="22"/>
        <v>2100.1071401240465</v>
      </c>
      <c r="S34" s="97">
        <v>3</v>
      </c>
      <c r="T34" s="4">
        <f t="shared" si="23"/>
        <v>262.51339251550581</v>
      </c>
      <c r="U34" s="18" t="str" cm="1">
        <f t="array" ref="U34">_xlfn.XLOOKUP(0,ABS($C$44:$C$56-T34),$B$44:$B$56,,1)</f>
        <v>C</v>
      </c>
      <c r="V34" s="47">
        <f t="shared" si="19"/>
        <v>0</v>
      </c>
      <c r="X34" s="85" t="s">
        <v>6</v>
      </c>
      <c r="Y34" s="4">
        <f t="shared" si="20"/>
        <v>196.44088018106473</v>
      </c>
      <c r="Z34" s="47">
        <f t="shared" si="21"/>
        <v>785.76352072425891</v>
      </c>
    </row>
    <row r="35" spans="2:26" x14ac:dyDescent="0.2">
      <c r="B35" s="123" t="s">
        <v>72</v>
      </c>
      <c r="C35" s="145" t="s">
        <v>78</v>
      </c>
      <c r="D35" s="97">
        <v>1</v>
      </c>
      <c r="E35" s="4">
        <f t="shared" si="14"/>
        <v>392.1799965384497</v>
      </c>
      <c r="F35" s="4">
        <f t="shared" si="15"/>
        <v>523.25074370854838</v>
      </c>
      <c r="G35" s="47">
        <f t="shared" si="16"/>
        <v>-1.5003273853928991</v>
      </c>
      <c r="I35" s="123" t="s">
        <v>72</v>
      </c>
      <c r="J35" s="145" t="s">
        <v>76</v>
      </c>
      <c r="K35" s="97">
        <v>2</v>
      </c>
      <c r="L35" s="191">
        <f t="shared" si="17"/>
        <v>1.4966160644124973</v>
      </c>
      <c r="M35" s="145" t="s">
        <v>72</v>
      </c>
      <c r="N35" s="145" t="s">
        <v>78</v>
      </c>
      <c r="O35" s="191">
        <f t="shared" si="18"/>
        <v>1.2542428064933917</v>
      </c>
      <c r="Q35" s="99">
        <v>9</v>
      </c>
      <c r="R35" s="18">
        <f t="shared" si="22"/>
        <v>2362.6205326395525</v>
      </c>
      <c r="S35" s="97">
        <v>3</v>
      </c>
      <c r="T35" s="4">
        <f t="shared" si="23"/>
        <v>295.32756657994406</v>
      </c>
      <c r="U35" s="18" t="str" cm="1">
        <f t="array" ref="U35">_xlfn.XLOOKUP(0,ABS($C$44:$C$56-T35),$B$44:$B$56,,1)</f>
        <v>D</v>
      </c>
      <c r="V35" s="47">
        <f t="shared" si="19"/>
        <v>7.8200034615495593</v>
      </c>
      <c r="X35" s="85" t="s">
        <v>72</v>
      </c>
      <c r="Y35" s="4">
        <f t="shared" si="20"/>
        <v>209.30029748341937</v>
      </c>
      <c r="Z35" s="47">
        <f t="shared" si="21"/>
        <v>837.20118993367748</v>
      </c>
    </row>
    <row r="36" spans="2:26" x14ac:dyDescent="0.2">
      <c r="B36" s="123" t="s">
        <v>7</v>
      </c>
      <c r="C36" s="145" t="s">
        <v>74</v>
      </c>
      <c r="D36" s="97">
        <v>2</v>
      </c>
      <c r="E36" s="4">
        <f t="shared" si="14"/>
        <v>392.17999653845027</v>
      </c>
      <c r="F36" s="4">
        <f t="shared" si="15"/>
        <v>550.00000000000011</v>
      </c>
      <c r="G36" s="47">
        <f t="shared" si="16"/>
        <v>-1.500327385392997</v>
      </c>
      <c r="I36" s="123" t="s">
        <v>7</v>
      </c>
      <c r="J36" s="145" t="s">
        <v>4</v>
      </c>
      <c r="K36" s="97">
        <v>2</v>
      </c>
      <c r="L36" s="191">
        <f t="shared" si="17"/>
        <v>1.4966160644124975</v>
      </c>
      <c r="M36" s="145" t="s">
        <v>7</v>
      </c>
      <c r="N36" s="145" t="s">
        <v>74</v>
      </c>
      <c r="O36" s="191">
        <f t="shared" si="18"/>
        <v>1.2542428064933921</v>
      </c>
      <c r="Q36" s="99">
        <v>10</v>
      </c>
      <c r="R36" s="18">
        <f t="shared" si="22"/>
        <v>2625.133925155058</v>
      </c>
      <c r="S36" s="97">
        <v>3</v>
      </c>
      <c r="T36" s="4">
        <f t="shared" si="23"/>
        <v>328.14174064438225</v>
      </c>
      <c r="U36" s="18" t="str" cm="1">
        <f t="array" ref="U36">_xlfn.XLOOKUP(0,ABS($C$44:$C$56-T36),$B$44:$B$56,,1)</f>
        <v>E</v>
      </c>
      <c r="V36" s="47">
        <f t="shared" si="19"/>
        <v>-5.8662826736158431</v>
      </c>
      <c r="X36" s="85" t="s">
        <v>7</v>
      </c>
      <c r="Y36" s="4">
        <f t="shared" si="20"/>
        <v>220.00000000000006</v>
      </c>
      <c r="Z36" s="47">
        <f t="shared" si="21"/>
        <v>880.00000000000023</v>
      </c>
    </row>
    <row r="37" spans="2:26" x14ac:dyDescent="0.2">
      <c r="B37" s="123" t="s">
        <v>73</v>
      </c>
      <c r="C37" s="145" t="s">
        <v>3</v>
      </c>
      <c r="D37" s="97">
        <v>2</v>
      </c>
      <c r="E37" s="4">
        <f t="shared" si="14"/>
        <v>392.17999653845095</v>
      </c>
      <c r="F37" s="4">
        <f t="shared" si="15"/>
        <v>586.00411233026443</v>
      </c>
      <c r="G37" s="47">
        <f t="shared" si="16"/>
        <v>-1.500327385393095</v>
      </c>
      <c r="I37" s="123" t="s">
        <v>73</v>
      </c>
      <c r="J37" s="145" t="s">
        <v>5</v>
      </c>
      <c r="K37" s="97">
        <v>2</v>
      </c>
      <c r="L37" s="191">
        <f t="shared" si="17"/>
        <v>1.4966160644124971</v>
      </c>
      <c r="M37" s="145" t="s">
        <v>73</v>
      </c>
      <c r="N37" s="145" t="s">
        <v>3</v>
      </c>
      <c r="O37" s="191">
        <f t="shared" si="18"/>
        <v>1.2542428064933926</v>
      </c>
      <c r="Q37" s="99">
        <v>11</v>
      </c>
      <c r="R37" s="18">
        <f t="shared" si="22"/>
        <v>2887.647317670564</v>
      </c>
      <c r="S37" s="97">
        <v>3</v>
      </c>
      <c r="T37" s="4">
        <f t="shared" si="23"/>
        <v>360.9559147088205</v>
      </c>
      <c r="U37" s="18" t="str" cm="1">
        <f t="array" ref="U37">_xlfn.XLOOKUP(0,ABS($C$44:$C$56-T37),$B$44:$B$56,,1)</f>
        <v>F#</v>
      </c>
      <c r="V37" s="47">
        <f t="shared" si="19"/>
        <v>-36.952052442918792</v>
      </c>
      <c r="X37" s="85" t="s">
        <v>73</v>
      </c>
      <c r="Y37" s="4">
        <f t="shared" si="20"/>
        <v>234.40164493210577</v>
      </c>
      <c r="Z37" s="47">
        <f t="shared" si="21"/>
        <v>937.60657972842307</v>
      </c>
    </row>
    <row r="38" spans="2:26" x14ac:dyDescent="0.2">
      <c r="B38" s="124" t="s">
        <v>8</v>
      </c>
      <c r="C38" s="153" t="s">
        <v>76</v>
      </c>
      <c r="D38" s="98">
        <v>2</v>
      </c>
      <c r="E38" s="53">
        <f t="shared" si="14"/>
        <v>415.64000692309872</v>
      </c>
      <c r="F38" s="53">
        <f t="shared" si="15"/>
        <v>615.96140217082711</v>
      </c>
      <c r="G38" s="48">
        <f t="shared" si="16"/>
        <v>-7.5003273853927563</v>
      </c>
      <c r="I38" s="124" t="s">
        <v>8</v>
      </c>
      <c r="J38" s="153" t="s">
        <v>70</v>
      </c>
      <c r="K38" s="98">
        <v>2</v>
      </c>
      <c r="L38" s="192">
        <f t="shared" si="17"/>
        <v>1.4966160644124973</v>
      </c>
      <c r="M38" s="153" t="s">
        <v>8</v>
      </c>
      <c r="N38" s="153" t="s">
        <v>76</v>
      </c>
      <c r="O38" s="192">
        <f t="shared" si="18"/>
        <v>1.2713547731888859</v>
      </c>
      <c r="Q38" s="99">
        <v>12</v>
      </c>
      <c r="R38" s="18">
        <f t="shared" si="22"/>
        <v>3150.16071018607</v>
      </c>
      <c r="S38" s="97">
        <v>3</v>
      </c>
      <c r="T38" s="4">
        <f t="shared" si="23"/>
        <v>393.77008877325875</v>
      </c>
      <c r="U38" s="18" t="str" cm="1">
        <f t="array" ref="U38">_xlfn.XLOOKUP(0,ABS($C$44:$C$56-T38),$B$44:$B$56,,1)</f>
        <v>G</v>
      </c>
      <c r="V38" s="47">
        <f t="shared" si="19"/>
        <v>3.9100017307747521</v>
      </c>
      <c r="X38" s="85" t="s">
        <v>8</v>
      </c>
      <c r="Y38" s="4">
        <f t="shared" si="20"/>
        <v>246.38456086833082</v>
      </c>
      <c r="Z38" s="47">
        <f t="shared" si="21"/>
        <v>985.53824347332329</v>
      </c>
    </row>
    <row r="39" spans="2:26" x14ac:dyDescent="0.2">
      <c r="Q39" s="100">
        <v>13</v>
      </c>
      <c r="R39" s="50">
        <f t="shared" si="22"/>
        <v>3412.6741027015755</v>
      </c>
      <c r="S39" s="98">
        <v>3</v>
      </c>
      <c r="T39" s="53">
        <f t="shared" si="23"/>
        <v>426.58426283769694</v>
      </c>
      <c r="U39" s="50" t="str" cm="1">
        <f t="array" ref="U39">_xlfn.XLOOKUP(0,ABS($C$44:$C$56-T39),$B$44:$B$56,,1)</f>
        <v>G#</v>
      </c>
      <c r="V39" s="48">
        <f t="shared" si="19"/>
        <v>32.707658307761307</v>
      </c>
      <c r="X39" s="87" t="s">
        <v>78</v>
      </c>
      <c r="Y39" s="53">
        <f t="shared" si="20"/>
        <v>262.5133925155057</v>
      </c>
      <c r="Z39" s="48">
        <f t="shared" si="21"/>
        <v>1050.0535700620228</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262.51339251550581</v>
      </c>
    </row>
    <row r="45" spans="2:26" x14ac:dyDescent="0.2">
      <c r="B45" s="92" t="s">
        <v>74</v>
      </c>
      <c r="C45" s="93">
        <f t="shared" ref="C45:C56" si="24">VLOOKUP(B45,$B$9:$H$21,7,FALSE)</f>
        <v>275.93341742854636</v>
      </c>
    </row>
    <row r="46" spans="2:26" x14ac:dyDescent="0.2">
      <c r="B46" s="92" t="s">
        <v>3</v>
      </c>
      <c r="C46" s="93">
        <f t="shared" si="24"/>
        <v>293.99657698631205</v>
      </c>
    </row>
    <row r="47" spans="2:26" x14ac:dyDescent="0.2">
      <c r="B47" s="92" t="s">
        <v>76</v>
      </c>
      <c r="C47" s="93">
        <f t="shared" si="24"/>
        <v>313.2421875</v>
      </c>
    </row>
    <row r="48" spans="2:26" x14ac:dyDescent="0.2">
      <c r="B48" s="92" t="s">
        <v>4</v>
      </c>
      <c r="C48" s="93">
        <f t="shared" si="24"/>
        <v>329.25553417074951</v>
      </c>
    </row>
    <row r="49" spans="2:3" x14ac:dyDescent="0.2">
      <c r="B49" s="92" t="s">
        <v>5</v>
      </c>
      <c r="C49" s="93">
        <f t="shared" si="24"/>
        <v>350.80926733010369</v>
      </c>
    </row>
    <row r="50" spans="2:3" x14ac:dyDescent="0.2">
      <c r="B50" s="92" t="s">
        <v>70</v>
      </c>
      <c r="C50" s="93">
        <f t="shared" si="24"/>
        <v>368.74309181876265</v>
      </c>
    </row>
    <row r="51" spans="2:3" x14ac:dyDescent="0.2">
      <c r="B51" s="92" t="s">
        <v>6</v>
      </c>
      <c r="C51" s="93">
        <f t="shared" si="24"/>
        <v>392.88176036212946</v>
      </c>
    </row>
    <row r="52" spans="2:3" x14ac:dyDescent="0.2">
      <c r="B52" s="92" t="s">
        <v>72</v>
      </c>
      <c r="C52" s="93">
        <f t="shared" si="24"/>
        <v>418.60059496683874</v>
      </c>
    </row>
    <row r="53" spans="2:3" x14ac:dyDescent="0.2">
      <c r="B53" s="92" t="s">
        <v>7</v>
      </c>
      <c r="C53" s="93">
        <f t="shared" si="24"/>
        <v>440.00000000000011</v>
      </c>
    </row>
    <row r="54" spans="2:3" x14ac:dyDescent="0.2">
      <c r="B54" s="92" t="s">
        <v>73</v>
      </c>
      <c r="C54" s="93">
        <f t="shared" si="24"/>
        <v>468.80328986421154</v>
      </c>
    </row>
    <row r="55" spans="2:3" x14ac:dyDescent="0.2">
      <c r="B55" s="92" t="s">
        <v>8</v>
      </c>
      <c r="C55" s="93">
        <f t="shared" si="24"/>
        <v>492.76912173666165</v>
      </c>
    </row>
    <row r="56" spans="2:3" ht="16" thickBot="1" x14ac:dyDescent="0.25">
      <c r="B56" s="94" t="s">
        <v>78</v>
      </c>
      <c r="C56" s="95">
        <f t="shared" si="24"/>
        <v>525.0267850310114</v>
      </c>
    </row>
    <row r="57" spans="2:3" ht="16" thickTop="1" x14ac:dyDescent="0.2"/>
  </sheetData>
  <sheetProtection sheet="1" scenarios="1" formatCells="0"/>
  <mergeCells count="9">
    <mergeCell ref="B42:C42"/>
    <mergeCell ref="X24:Z24"/>
    <mergeCell ref="B1:G1"/>
    <mergeCell ref="B7:H7"/>
    <mergeCell ref="J7:N7"/>
    <mergeCell ref="P7:U7"/>
    <mergeCell ref="I25:O25"/>
    <mergeCell ref="Q25:V25"/>
    <mergeCell ref="B25:D25"/>
  </mergeCells>
  <conditionalFormatting sqref="A1:XFD1048576">
    <cfRule type="expression" dxfId="7" priority="1">
      <formula>CELL("protect",A1)=0</formula>
    </cfRule>
    <cfRule type="expression" dxfId="6" priority="2">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xr:uid="{9B306AE6-A37E-FE48-9057-0B1F55760EAA}">
      <formula1>Units</formula1>
    </dataValidation>
  </dataValidations>
  <hyperlinks>
    <hyperlink ref="B40" location="Overview!A1" display="Back to Overview" xr:uid="{A1FC332A-C1EA-924D-B4CC-42F46DD81597}"/>
    <hyperlink ref="B4" location="Overview!A1" display="Back to Overview" xr:uid="{5B83870B-AF19-6E4B-9287-63DE0A902C57}"/>
  </hyperlinks>
  <pageMargins left="0.7" right="0.7" top="0.75" bottom="0.75" header="0.3" footer="0.3"/>
  <drawing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4EF2-9642-4544-ABDF-92CDA651A2BA}">
  <sheetPr codeName="Sheet42">
    <tabColor rgb="FFFFFF00"/>
  </sheetPr>
  <dimension ref="B1:AA56"/>
  <sheetViews>
    <sheetView zoomScaleNormal="100" workbookViewId="0"/>
  </sheetViews>
  <sheetFormatPr baseColWidth="10" defaultColWidth="12" defaultRowHeight="15" x14ac:dyDescent="0.2"/>
  <cols>
    <col min="1" max="1" width="2.83203125" style="4" customWidth="1"/>
    <col min="2" max="16384" width="12" style="4"/>
  </cols>
  <sheetData>
    <row r="1" spans="2:27" ht="18" x14ac:dyDescent="0.2">
      <c r="B1" s="289" t="s">
        <v>146</v>
      </c>
      <c r="C1" s="289"/>
      <c r="D1" s="289"/>
      <c r="E1" s="289"/>
      <c r="F1" s="289"/>
      <c r="G1" s="289"/>
      <c r="H1" s="289"/>
      <c r="P1" s="4" t="s">
        <v>479</v>
      </c>
    </row>
    <row r="2" spans="2:27" ht="48" x14ac:dyDescent="0.2">
      <c r="C2" s="70"/>
      <c r="D2" s="154" t="s">
        <v>84</v>
      </c>
      <c r="E2" s="72" t="str">
        <f>D2</f>
        <v>Pythagorean Comma</v>
      </c>
      <c r="F2" s="72" t="str">
        <f>_xlfn.CONCAT("1/",D3," ",D2)</f>
        <v>1/4 Pythagorean Comma</v>
      </c>
      <c r="G2" s="73"/>
      <c r="H2" s="74" t="s">
        <v>143</v>
      </c>
      <c r="I2" s="156">
        <v>440</v>
      </c>
      <c r="J2" s="74" t="str">
        <f>_xlfn.CONCAT("C for A=", I2,":")</f>
        <v>C for A=440:</v>
      </c>
      <c r="K2" s="4">
        <f>I2/POWER(1/$F$3,C18)</f>
        <v>263.40423257498082</v>
      </c>
      <c r="L2" s="74"/>
      <c r="T2" s="77"/>
      <c r="Y2" s="74"/>
      <c r="Z2" s="74"/>
      <c r="AA2" s="74"/>
    </row>
    <row r="3" spans="2:27" ht="16" x14ac:dyDescent="0.2">
      <c r="C3" s="74" t="s">
        <v>125</v>
      </c>
      <c r="D3" s="155">
        <v>4</v>
      </c>
      <c r="E3" s="1">
        <f>IF(D2="Pythagorean Comma",524288/531441,IF(D2="Syntonic Comma",80/81,IF(D2="Cents",1/POWER(2,1/1200),"Not in List")))</f>
        <v>0.98654036854514426</v>
      </c>
      <c r="F3" s="132">
        <f>POWER(E3,1/D3)</f>
        <v>0.99661797363403204</v>
      </c>
      <c r="T3" s="77"/>
    </row>
    <row r="4" spans="2:27" ht="16" x14ac:dyDescent="0.2">
      <c r="B4" s="80" t="s">
        <v>63</v>
      </c>
      <c r="C4" s="79"/>
      <c r="D4" s="79"/>
    </row>
    <row r="5" spans="2:27" x14ac:dyDescent="0.2">
      <c r="F5" s="78"/>
    </row>
    <row r="6" spans="2:27" x14ac:dyDescent="0.2">
      <c r="E6" s="81"/>
      <c r="F6" s="81"/>
    </row>
    <row r="7" spans="2:27" ht="18" x14ac:dyDescent="0.2">
      <c r="B7" s="310" t="s">
        <v>140</v>
      </c>
      <c r="C7" s="311"/>
      <c r="D7" s="311"/>
      <c r="E7" s="311"/>
      <c r="F7" s="312"/>
      <c r="H7" s="310" t="s">
        <v>43</v>
      </c>
      <c r="I7" s="311"/>
      <c r="J7" s="311"/>
      <c r="K7" s="311"/>
      <c r="L7" s="311"/>
      <c r="M7" s="312"/>
      <c r="N7" s="133"/>
      <c r="P7" s="310" t="s">
        <v>129</v>
      </c>
      <c r="Q7" s="311"/>
      <c r="R7" s="311"/>
      <c r="S7" s="311"/>
      <c r="T7" s="311"/>
      <c r="U7" s="312"/>
    </row>
    <row r="8" spans="2:27" s="84" customFormat="1" ht="64" x14ac:dyDescent="0.2">
      <c r="B8" s="83" t="s">
        <v>14</v>
      </c>
      <c r="C8" s="84" t="str">
        <f>_xlfn.CONCAT(F2," from C")</f>
        <v>1/4 Pythagorean Comma from C</v>
      </c>
      <c r="D8" s="84" t="s">
        <v>15</v>
      </c>
      <c r="E8" s="84" t="s">
        <v>36</v>
      </c>
      <c r="F8" s="52" t="s">
        <v>50</v>
      </c>
      <c r="H8" s="149" t="s">
        <v>127</v>
      </c>
      <c r="I8" s="84" t="s">
        <v>128</v>
      </c>
      <c r="J8" s="84" t="s">
        <v>13</v>
      </c>
      <c r="K8" s="84" t="str">
        <f>_xlfn.CONCAT("Relative ",E2)</f>
        <v>Relative Pythagorean Comma</v>
      </c>
      <c r="L8" s="84" t="str">
        <f>_xlfn.CONCAT("Cumulative ",E2)</f>
        <v>Cumulative Pythagorean Comma</v>
      </c>
      <c r="M8" s="52" t="s">
        <v>16</v>
      </c>
      <c r="P8" s="149" t="s">
        <v>89</v>
      </c>
      <c r="Q8" s="84" t="s">
        <v>136</v>
      </c>
      <c r="R8" s="84" t="s">
        <v>90</v>
      </c>
      <c r="S8" s="152" t="s">
        <v>88</v>
      </c>
      <c r="T8" s="84" t="s">
        <v>32</v>
      </c>
      <c r="U8" s="52" t="s">
        <v>91</v>
      </c>
    </row>
    <row r="9" spans="2:27" x14ac:dyDescent="0.2">
      <c r="B9" s="85" t="s">
        <v>2</v>
      </c>
      <c r="C9" s="156">
        <v>0</v>
      </c>
      <c r="D9" s="4">
        <f>K2</f>
        <v>263.40423257498082</v>
      </c>
      <c r="F9" s="158">
        <v>3600</v>
      </c>
      <c r="G9" s="97"/>
      <c r="H9" s="123" t="s">
        <v>2</v>
      </c>
      <c r="I9" s="97">
        <v>0</v>
      </c>
      <c r="J9" s="4">
        <f>VLOOKUP(H9,$B$9:$D$21,3,FALSE)*POWER(2,I9)</f>
        <v>263.40423257498082</v>
      </c>
      <c r="K9" s="4">
        <v>0</v>
      </c>
      <c r="L9" s="4">
        <f>K9</f>
        <v>0</v>
      </c>
      <c r="M9" s="47"/>
      <c r="P9" s="123" t="str">
        <f t="shared" ref="P9:P21" si="0">B9</f>
        <v>C</v>
      </c>
      <c r="Q9" s="4">
        <f>D9</f>
        <v>263.40423257498082</v>
      </c>
      <c r="R9" s="4">
        <f t="shared" ref="R9:R21" si="1">LOG(D9/Q9,2)*1200</f>
        <v>0</v>
      </c>
      <c r="S9" s="145" t="str">
        <f t="shared" ref="S9:S21" si="2">H9</f>
        <v>C</v>
      </c>
      <c r="T9" s="4">
        <f t="shared" ref="T9:T21" si="3">VLOOKUP(S9,$P$9:$Q$21,2,FALSE)</f>
        <v>263.40423257498082</v>
      </c>
      <c r="U9" s="47">
        <f t="shared" ref="U9:U21" si="4">VLOOKUP(S9,$P$9:$R$21,3,FALSE)</f>
        <v>0</v>
      </c>
    </row>
    <row r="10" spans="2:27" x14ac:dyDescent="0.2">
      <c r="B10" s="85" t="s">
        <v>74</v>
      </c>
      <c r="C10" s="156">
        <v>15.383624166185623</v>
      </c>
      <c r="D10" s="4">
        <f t="shared" ref="D10:D21" si="5">$D$9*POWER(1/$F$3,C10)</f>
        <v>277.49581703372479</v>
      </c>
      <c r="E10" s="4">
        <f t="shared" ref="E10:E21" si="6">LOG(D10/D9,2)*1200</f>
        <v>90.224995673063802</v>
      </c>
      <c r="F10" s="47">
        <f t="shared" ref="F10:F21" si="7">F$9*D$9/D10</f>
        <v>3417.1874999999986</v>
      </c>
      <c r="G10" s="97"/>
      <c r="H10" s="123" t="s">
        <v>6</v>
      </c>
      <c r="I10" s="97">
        <v>0</v>
      </c>
      <c r="J10" s="4">
        <f t="shared" ref="J10:J21" si="8">VLOOKUP(H10,$B$9:$D$21,3,FALSE)*POWER(2,I10)</f>
        <v>393.77008877325841</v>
      </c>
      <c r="K10" s="75">
        <f>LOG(J10/(J9*3/2),1/$F$3)</f>
        <v>-0.99999999999894262</v>
      </c>
      <c r="L10" s="4">
        <f>L9+K10</f>
        <v>-0.99999999999894262</v>
      </c>
      <c r="M10" s="47">
        <f t="shared" ref="M10:M21" si="9">LOG(J10/J9,2)*1200</f>
        <v>696.08999826923127</v>
      </c>
      <c r="P10" s="123" t="str">
        <f t="shared" si="0"/>
        <v>C#</v>
      </c>
      <c r="Q10" s="4">
        <f t="shared" ref="Q10:Q21" si="10">Q9*POWER($Q$9*2/$Q$9,1/12)</f>
        <v>279.06706331122467</v>
      </c>
      <c r="R10" s="4">
        <f t="shared" si="1"/>
        <v>-9.7750043269363527</v>
      </c>
      <c r="S10" s="145" t="str">
        <f t="shared" si="2"/>
        <v>G</v>
      </c>
      <c r="T10" s="4">
        <f t="shared" si="3"/>
        <v>394.66042574636515</v>
      </c>
      <c r="U10" s="47">
        <f t="shared" si="4"/>
        <v>-3.9100017307690873</v>
      </c>
    </row>
    <row r="11" spans="2:27" x14ac:dyDescent="0.2">
      <c r="B11" s="85" t="s">
        <v>3</v>
      </c>
      <c r="C11" s="156">
        <v>32.76724833237121</v>
      </c>
      <c r="D11" s="4">
        <f t="shared" si="5"/>
        <v>294.32876096317256</v>
      </c>
      <c r="E11" s="4">
        <f t="shared" si="6"/>
        <v>101.95500086538836</v>
      </c>
      <c r="F11" s="47">
        <f t="shared" si="7"/>
        <v>3221.7552717812041</v>
      </c>
      <c r="G11" s="97"/>
      <c r="H11" s="123" t="s">
        <v>3</v>
      </c>
      <c r="I11" s="97">
        <v>1</v>
      </c>
      <c r="J11" s="4">
        <f t="shared" si="8"/>
        <v>588.65752192634511</v>
      </c>
      <c r="K11" s="75">
        <f t="shared" ref="K11:K21" si="11">LOG(J11/(J10*3/2),1/$F$3)</f>
        <v>-1.0000000000006855</v>
      </c>
      <c r="L11" s="4">
        <f t="shared" ref="L11:L21" si="12">L10+K11</f>
        <v>-1.9999999999996281</v>
      </c>
      <c r="M11" s="47">
        <f t="shared" si="9"/>
        <v>696.08999826922104</v>
      </c>
      <c r="P11" s="123" t="str">
        <f t="shared" si="0"/>
        <v>D</v>
      </c>
      <c r="Q11" s="4">
        <f t="shared" si="10"/>
        <v>295.66125442947146</v>
      </c>
      <c r="R11" s="4">
        <f t="shared" si="1"/>
        <v>-7.8200034615479517</v>
      </c>
      <c r="S11" s="145" t="str">
        <f t="shared" si="2"/>
        <v>D</v>
      </c>
      <c r="T11" s="4">
        <f t="shared" si="3"/>
        <v>295.66125442947146</v>
      </c>
      <c r="U11" s="47">
        <f t="shared" si="4"/>
        <v>-7.8200034615479517</v>
      </c>
    </row>
    <row r="12" spans="2:27" x14ac:dyDescent="0.2">
      <c r="B12" s="85" t="s">
        <v>76</v>
      </c>
      <c r="C12" s="156">
        <v>50.150872498556836</v>
      </c>
      <c r="D12" s="4">
        <f t="shared" si="5"/>
        <v>312.18279416294075</v>
      </c>
      <c r="E12" s="4">
        <f t="shared" si="6"/>
        <v>101.95500086538836</v>
      </c>
      <c r="F12" s="47">
        <f t="shared" si="7"/>
        <v>3037.499999999995</v>
      </c>
      <c r="G12" s="97"/>
      <c r="H12" s="123" t="s">
        <v>7</v>
      </c>
      <c r="I12" s="97">
        <v>1</v>
      </c>
      <c r="J12" s="4">
        <f t="shared" si="8"/>
        <v>880.00000000000011</v>
      </c>
      <c r="K12" s="75">
        <f t="shared" si="11"/>
        <v>-0.99999999999907419</v>
      </c>
      <c r="L12" s="4">
        <f t="shared" si="12"/>
        <v>-2.9999999999987024</v>
      </c>
      <c r="M12" s="47">
        <f t="shared" si="9"/>
        <v>696.0899982692307</v>
      </c>
      <c r="P12" s="123" t="str">
        <f t="shared" si="0"/>
        <v>D#</v>
      </c>
      <c r="Q12" s="4">
        <f t="shared" si="10"/>
        <v>313.24218749999875</v>
      </c>
      <c r="R12" s="4">
        <f t="shared" si="1"/>
        <v>-5.8650025961595729</v>
      </c>
      <c r="S12" s="145" t="str">
        <f t="shared" si="2"/>
        <v>A</v>
      </c>
      <c r="T12" s="4">
        <f t="shared" si="3"/>
        <v>442.99134986991425</v>
      </c>
      <c r="U12" s="47">
        <f t="shared" si="4"/>
        <v>-11.730005192317469</v>
      </c>
    </row>
    <row r="13" spans="2:27" x14ac:dyDescent="0.2">
      <c r="B13" s="85" t="s">
        <v>4</v>
      </c>
      <c r="C13" s="156">
        <v>66.534496664742363</v>
      </c>
      <c r="D13" s="4">
        <f t="shared" si="5"/>
        <v>329.99999999999926</v>
      </c>
      <c r="E13" s="4">
        <f t="shared" si="6"/>
        <v>96.089998269225674</v>
      </c>
      <c r="F13" s="47">
        <f t="shared" si="7"/>
        <v>2873.5007189997973</v>
      </c>
      <c r="G13" s="97"/>
      <c r="H13" s="123" t="s">
        <v>4</v>
      </c>
      <c r="I13" s="97">
        <v>2</v>
      </c>
      <c r="J13" s="4">
        <f t="shared" si="8"/>
        <v>1319.999999999997</v>
      </c>
      <c r="K13" s="75">
        <f t="shared" si="11"/>
        <v>-7.2097546688258618E-13</v>
      </c>
      <c r="L13" s="4">
        <f t="shared" si="12"/>
        <v>-2.9999999999994231</v>
      </c>
      <c r="M13" s="47">
        <f t="shared" si="9"/>
        <v>701.95500086538334</v>
      </c>
      <c r="P13" s="123" t="str">
        <f t="shared" si="0"/>
        <v>E</v>
      </c>
      <c r="Q13" s="4">
        <f t="shared" si="10"/>
        <v>331.86853725262324</v>
      </c>
      <c r="R13" s="4">
        <f t="shared" si="1"/>
        <v>-9.7750043269340345</v>
      </c>
      <c r="S13" s="145" t="str">
        <f t="shared" si="2"/>
        <v>E</v>
      </c>
      <c r="T13" s="4">
        <f t="shared" si="3"/>
        <v>331.86853725262324</v>
      </c>
      <c r="U13" s="47">
        <f t="shared" si="4"/>
        <v>-9.7750043269340345</v>
      </c>
    </row>
    <row r="14" spans="2:27" x14ac:dyDescent="0.2">
      <c r="B14" s="85" t="s">
        <v>5</v>
      </c>
      <c r="C14" s="156">
        <v>84.918120830928018</v>
      </c>
      <c r="D14" s="4">
        <f t="shared" si="5"/>
        <v>351.20564343330869</v>
      </c>
      <c r="E14" s="4">
        <f t="shared" si="6"/>
        <v>107.82000346155087</v>
      </c>
      <c r="F14" s="47">
        <f t="shared" si="7"/>
        <v>2699.9999999999932</v>
      </c>
      <c r="G14" s="97"/>
      <c r="H14" s="123" t="s">
        <v>8</v>
      </c>
      <c r="I14" s="97">
        <v>2</v>
      </c>
      <c r="J14" s="4">
        <f t="shared" si="8"/>
        <v>1980.0000000000027</v>
      </c>
      <c r="K14" s="75">
        <f t="shared" si="11"/>
        <v>1.1142348124549024E-12</v>
      </c>
      <c r="L14" s="4">
        <f t="shared" si="12"/>
        <v>-2.9999999999983089</v>
      </c>
      <c r="M14" s="47">
        <f t="shared" si="9"/>
        <v>701.95500086539357</v>
      </c>
      <c r="P14" s="123" t="str">
        <f t="shared" si="0"/>
        <v>F</v>
      </c>
      <c r="Q14" s="4">
        <f t="shared" si="10"/>
        <v>351.60246739815727</v>
      </c>
      <c r="R14" s="4">
        <f t="shared" si="1"/>
        <v>-1.9550008653831592</v>
      </c>
      <c r="S14" s="145" t="str">
        <f t="shared" si="2"/>
        <v>B</v>
      </c>
      <c r="T14" s="4">
        <f t="shared" si="3"/>
        <v>497.24097795831807</v>
      </c>
      <c r="U14" s="47">
        <f t="shared" si="4"/>
        <v>-7.8200034615406153</v>
      </c>
    </row>
    <row r="15" spans="2:27" x14ac:dyDescent="0.2">
      <c r="B15" s="85" t="s">
        <v>70</v>
      </c>
      <c r="C15" s="156">
        <v>100.30174499711363</v>
      </c>
      <c r="D15" s="4">
        <f t="shared" si="5"/>
        <v>369.994422711634</v>
      </c>
      <c r="E15" s="4">
        <f t="shared" si="6"/>
        <v>90.224995673063802</v>
      </c>
      <c r="F15" s="47">
        <f t="shared" si="7"/>
        <v>2562.8906249999923</v>
      </c>
      <c r="G15" s="97"/>
      <c r="H15" s="123" t="s">
        <v>70</v>
      </c>
      <c r="I15" s="97">
        <v>3</v>
      </c>
      <c r="J15" s="4">
        <f t="shared" si="8"/>
        <v>2959.955381693072</v>
      </c>
      <c r="K15" s="75">
        <f t="shared" si="11"/>
        <v>-1.0000000000007183</v>
      </c>
      <c r="L15" s="4">
        <f t="shared" si="12"/>
        <v>-3.9999999999990274</v>
      </c>
      <c r="M15" s="47">
        <f t="shared" si="9"/>
        <v>696.08999826922104</v>
      </c>
      <c r="P15" s="123" t="str">
        <f t="shared" si="0"/>
        <v>F#</v>
      </c>
      <c r="Q15" s="4">
        <f t="shared" si="10"/>
        <v>372.50983809401492</v>
      </c>
      <c r="R15" s="4">
        <f t="shared" si="1"/>
        <v>-11.730005192319405</v>
      </c>
      <c r="S15" s="145" t="str">
        <f t="shared" si="2"/>
        <v>F#</v>
      </c>
      <c r="T15" s="4">
        <f t="shared" si="3"/>
        <v>372.50983809401492</v>
      </c>
      <c r="U15" s="47">
        <f t="shared" si="4"/>
        <v>-11.730005192319405</v>
      </c>
    </row>
    <row r="16" spans="2:27" x14ac:dyDescent="0.2">
      <c r="B16" s="85" t="s">
        <v>6</v>
      </c>
      <c r="C16" s="156">
        <v>118.68536916329923</v>
      </c>
      <c r="D16" s="4">
        <f t="shared" si="5"/>
        <v>393.77008877325841</v>
      </c>
      <c r="E16" s="4">
        <f t="shared" si="6"/>
        <v>107.82000346155051</v>
      </c>
      <c r="F16" s="47">
        <f t="shared" si="7"/>
        <v>2408.1444078805016</v>
      </c>
      <c r="G16" s="97"/>
      <c r="H16" s="123" t="s">
        <v>74</v>
      </c>
      <c r="I16" s="97">
        <v>4</v>
      </c>
      <c r="J16" s="4">
        <f t="shared" si="8"/>
        <v>4439.9330725395967</v>
      </c>
      <c r="K16" s="75">
        <f t="shared" si="11"/>
        <v>-7.8651869114463958E-13</v>
      </c>
      <c r="L16" s="4">
        <f t="shared" si="12"/>
        <v>-3.9999999999998139</v>
      </c>
      <c r="M16" s="47">
        <f t="shared" si="9"/>
        <v>701.95500086538311</v>
      </c>
      <c r="P16" s="123" t="str">
        <f t="shared" si="0"/>
        <v>G</v>
      </c>
      <c r="Q16" s="4">
        <f t="shared" si="10"/>
        <v>394.66042574636515</v>
      </c>
      <c r="R16" s="4">
        <f t="shared" si="1"/>
        <v>-3.9100017307690873</v>
      </c>
      <c r="S16" s="145" t="str">
        <f t="shared" si="2"/>
        <v>C#</v>
      </c>
      <c r="T16" s="4">
        <f t="shared" si="3"/>
        <v>279.06706331122467</v>
      </c>
      <c r="U16" s="47">
        <f t="shared" si="4"/>
        <v>-9.7750043269363527</v>
      </c>
    </row>
    <row r="17" spans="2:26" x14ac:dyDescent="0.2">
      <c r="B17" s="85" t="s">
        <v>72</v>
      </c>
      <c r="C17" s="156">
        <v>135.06899332948481</v>
      </c>
      <c r="D17" s="4">
        <f t="shared" si="5"/>
        <v>416.24372555058864</v>
      </c>
      <c r="E17" s="4">
        <f t="shared" si="6"/>
        <v>96.089998269226058</v>
      </c>
      <c r="F17" s="47">
        <f t="shared" si="7"/>
        <v>2278.1249999999909</v>
      </c>
      <c r="G17" s="97"/>
      <c r="H17" s="123" t="s">
        <v>72</v>
      </c>
      <c r="I17" s="97">
        <v>4</v>
      </c>
      <c r="J17" s="4">
        <f t="shared" si="8"/>
        <v>6659.8996088094182</v>
      </c>
      <c r="K17" s="75">
        <f t="shared" si="11"/>
        <v>9.8314836393079645E-13</v>
      </c>
      <c r="L17" s="4">
        <f t="shared" si="12"/>
        <v>-3.9999999999988307</v>
      </c>
      <c r="M17" s="47">
        <f t="shared" si="9"/>
        <v>701.95500086539357</v>
      </c>
      <c r="P17" s="123" t="str">
        <f t="shared" si="0"/>
        <v>G#</v>
      </c>
      <c r="Q17" s="4">
        <f t="shared" si="10"/>
        <v>418.1281558824009</v>
      </c>
      <c r="R17" s="4">
        <f t="shared" si="1"/>
        <v>-7.8200034615431271</v>
      </c>
      <c r="S17" s="145" t="str">
        <f t="shared" si="2"/>
        <v>G#</v>
      </c>
      <c r="T17" s="4">
        <f t="shared" si="3"/>
        <v>418.1281558824009</v>
      </c>
      <c r="U17" s="47">
        <f t="shared" si="4"/>
        <v>-7.8200034615431271</v>
      </c>
    </row>
    <row r="18" spans="2:26" x14ac:dyDescent="0.2">
      <c r="B18" s="85" t="s">
        <v>7</v>
      </c>
      <c r="C18" s="156">
        <v>151.45261749567035</v>
      </c>
      <c r="D18" s="4">
        <f t="shared" si="5"/>
        <v>440.00000000000006</v>
      </c>
      <c r="E18" s="4">
        <f t="shared" si="6"/>
        <v>96.089998269225674</v>
      </c>
      <c r="F18" s="47">
        <f t="shared" si="7"/>
        <v>2155.1255392498429</v>
      </c>
      <c r="G18" s="97"/>
      <c r="H18" s="123" t="s">
        <v>76</v>
      </c>
      <c r="I18" s="97">
        <v>5</v>
      </c>
      <c r="J18" s="4">
        <f t="shared" si="8"/>
        <v>9989.8494132141041</v>
      </c>
      <c r="K18" s="75">
        <f t="shared" si="11"/>
        <v>-6.8820385475155953E-13</v>
      </c>
      <c r="L18" s="4">
        <f t="shared" si="12"/>
        <v>-3.9999999999995191</v>
      </c>
      <c r="M18" s="47">
        <f t="shared" si="9"/>
        <v>701.95500086538334</v>
      </c>
      <c r="P18" s="123" t="str">
        <f t="shared" si="0"/>
        <v>A</v>
      </c>
      <c r="Q18" s="4">
        <f t="shared" si="10"/>
        <v>442.99134986991425</v>
      </c>
      <c r="R18" s="4">
        <f t="shared" si="1"/>
        <v>-11.730005192317469</v>
      </c>
      <c r="S18" s="145" t="str">
        <f t="shared" si="2"/>
        <v>D#</v>
      </c>
      <c r="T18" s="4">
        <f t="shared" si="3"/>
        <v>313.24218749999875</v>
      </c>
      <c r="U18" s="47">
        <f t="shared" si="4"/>
        <v>-5.8650025961595729</v>
      </c>
    </row>
    <row r="19" spans="2:26" x14ac:dyDescent="0.2">
      <c r="B19" s="85" t="s">
        <v>73</v>
      </c>
      <c r="C19" s="156">
        <v>169.83624166185601</v>
      </c>
      <c r="D19" s="4">
        <f t="shared" si="5"/>
        <v>468.27419124441269</v>
      </c>
      <c r="E19" s="4">
        <f t="shared" si="6"/>
        <v>107.82000346155087</v>
      </c>
      <c r="F19" s="47">
        <f t="shared" si="7"/>
        <v>2024.99999999999</v>
      </c>
      <c r="G19" s="97"/>
      <c r="H19" s="123" t="s">
        <v>73</v>
      </c>
      <c r="I19" s="97">
        <v>5</v>
      </c>
      <c r="J19" s="4">
        <f t="shared" si="8"/>
        <v>14984.774119821206</v>
      </c>
      <c r="K19" s="75">
        <f t="shared" si="11"/>
        <v>9.8314836393079645E-13</v>
      </c>
      <c r="L19" s="4">
        <f t="shared" si="12"/>
        <v>-3.9999999999985358</v>
      </c>
      <c r="M19" s="47">
        <f t="shared" si="9"/>
        <v>701.95500086539323</v>
      </c>
      <c r="P19" s="123" t="str">
        <f t="shared" si="0"/>
        <v>A#</v>
      </c>
      <c r="Q19" s="4">
        <f t="shared" si="10"/>
        <v>469.33298630758054</v>
      </c>
      <c r="R19" s="4">
        <f t="shared" si="1"/>
        <v>-3.9100017307665826</v>
      </c>
      <c r="S19" s="145" t="str">
        <f t="shared" si="2"/>
        <v>A#</v>
      </c>
      <c r="T19" s="4">
        <f t="shared" si="3"/>
        <v>469.33298630758054</v>
      </c>
      <c r="U19" s="47">
        <f t="shared" si="4"/>
        <v>-3.9100017307665826</v>
      </c>
    </row>
    <row r="20" spans="2:26" x14ac:dyDescent="0.2">
      <c r="B20" s="85" t="s">
        <v>8</v>
      </c>
      <c r="C20" s="156">
        <v>186.21986582804161</v>
      </c>
      <c r="D20" s="4">
        <f t="shared" si="5"/>
        <v>495.00000000000068</v>
      </c>
      <c r="E20" s="4">
        <f t="shared" si="6"/>
        <v>96.089998269226058</v>
      </c>
      <c r="F20" s="47">
        <f t="shared" si="7"/>
        <v>1915.6671459998579</v>
      </c>
      <c r="G20" s="97"/>
      <c r="H20" s="123" t="s">
        <v>5</v>
      </c>
      <c r="I20" s="97">
        <v>6</v>
      </c>
      <c r="J20" s="4">
        <f t="shared" si="8"/>
        <v>22477.161179731756</v>
      </c>
      <c r="K20" s="75">
        <f t="shared" si="11"/>
        <v>-7.2097546688258618E-13</v>
      </c>
      <c r="L20" s="4">
        <f t="shared" si="12"/>
        <v>-3.9999999999992566</v>
      </c>
      <c r="M20" s="47">
        <f t="shared" si="9"/>
        <v>701.95500086538334</v>
      </c>
      <c r="P20" s="123" t="str">
        <f t="shared" si="0"/>
        <v>B</v>
      </c>
      <c r="Q20" s="4">
        <f t="shared" si="10"/>
        <v>497.24097795831807</v>
      </c>
      <c r="R20" s="4">
        <f t="shared" si="1"/>
        <v>-7.8200034615406153</v>
      </c>
      <c r="S20" s="145" t="str">
        <f t="shared" si="2"/>
        <v>F</v>
      </c>
      <c r="T20" s="4">
        <f t="shared" si="3"/>
        <v>351.60246739815727</v>
      </c>
      <c r="U20" s="47">
        <f t="shared" si="4"/>
        <v>-1.9550008653831592</v>
      </c>
    </row>
    <row r="21" spans="2:26" x14ac:dyDescent="0.2">
      <c r="B21" s="87" t="s">
        <v>78</v>
      </c>
      <c r="C21" s="157">
        <v>204.60348999422717</v>
      </c>
      <c r="D21" s="53">
        <f t="shared" si="5"/>
        <v>526.80846514996472</v>
      </c>
      <c r="E21" s="53">
        <f t="shared" si="6"/>
        <v>107.82000346155014</v>
      </c>
      <c r="F21" s="48">
        <f t="shared" si="7"/>
        <v>1799.9999999999895</v>
      </c>
      <c r="G21" s="97"/>
      <c r="H21" s="108" t="s">
        <v>78</v>
      </c>
      <c r="I21" s="98">
        <v>6</v>
      </c>
      <c r="J21" s="53">
        <f t="shared" si="8"/>
        <v>33715.741769597742</v>
      </c>
      <c r="K21" s="88">
        <f t="shared" si="11"/>
        <v>9.8314836393079645E-13</v>
      </c>
      <c r="L21" s="53">
        <f t="shared" si="12"/>
        <v>-3.9999999999982734</v>
      </c>
      <c r="M21" s="48">
        <f t="shared" si="9"/>
        <v>701.95500086539312</v>
      </c>
      <c r="P21" s="108" t="str">
        <f t="shared" si="0"/>
        <v>c oct.</v>
      </c>
      <c r="Q21" s="53">
        <f t="shared" si="10"/>
        <v>526.80846514996176</v>
      </c>
      <c r="R21" s="53">
        <f t="shared" si="1"/>
        <v>9.610279511444725E-12</v>
      </c>
      <c r="S21" s="151" t="str">
        <f t="shared" si="2"/>
        <v>c oct.</v>
      </c>
      <c r="T21" s="53">
        <f t="shared" si="3"/>
        <v>526.80846514996176</v>
      </c>
      <c r="U21" s="48">
        <f t="shared" si="4"/>
        <v>9.610279511444725E-12</v>
      </c>
    </row>
    <row r="22" spans="2:26" x14ac:dyDescent="0.2">
      <c r="B22" s="86"/>
      <c r="H22" s="18"/>
      <c r="P22" s="18"/>
      <c r="S22" s="18"/>
    </row>
    <row r="23" spans="2:26" x14ac:dyDescent="0.2">
      <c r="B23" s="86"/>
      <c r="H23" s="18"/>
      <c r="P23" s="18"/>
      <c r="S23" s="18"/>
    </row>
    <row r="24" spans="2:26" ht="18" x14ac:dyDescent="0.2">
      <c r="B24" s="86"/>
      <c r="H24" s="18"/>
      <c r="Q24" s="18"/>
      <c r="T24" s="18"/>
      <c r="X24" s="310" t="s">
        <v>522</v>
      </c>
      <c r="Y24" s="311"/>
      <c r="Z24" s="312"/>
    </row>
    <row r="25" spans="2:26"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26" s="84" customFormat="1" ht="64" x14ac:dyDescent="0.2">
      <c r="B26" s="83" t="s">
        <v>130</v>
      </c>
      <c r="C26" s="84" t="s">
        <v>131</v>
      </c>
      <c r="D26" s="84" t="s">
        <v>132</v>
      </c>
      <c r="E26" s="84" t="str" cm="1">
        <f t="array" aca="1" ref="E26" ca="1">_xlfn.CONCAT(_xlfn.TEXTAFTER(CELL("filename",A2),"]")," Interval in cents")</f>
        <v>Template from Scale Interval in cents</v>
      </c>
      <c r="F26" s="84" t="s">
        <v>18</v>
      </c>
      <c r="G26" s="52" t="str">
        <f>_xlfn.CONCAT("diff ",$F$2)</f>
        <v>diff 1/4 Pythagorean Comma</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26" x14ac:dyDescent="0.2">
      <c r="B27" s="123" t="s">
        <v>2</v>
      </c>
      <c r="C27" s="145" t="s">
        <v>4</v>
      </c>
      <c r="D27" s="97">
        <v>1</v>
      </c>
      <c r="E27" s="4">
        <f t="shared" ref="E27:E38" si="13">LOG(D27*VLOOKUP(C27,Master_Frequencies,2,FALSE)/VLOOKUP(B27,Master_Frequencies,2,FALSE),2)*1200</f>
        <v>390.22499567306613</v>
      </c>
      <c r="F27" s="4">
        <f t="shared" ref="F27:F38" si="14">VLOOKUP(B27,Master_Frequencies,2,FALSE)*5/4</f>
        <v>329.25529071872603</v>
      </c>
      <c r="G27" s="47">
        <f t="shared" ref="G27:G38" si="15">IF($D$2="Cents",LOG(D27*VLOOKUP(C27,Master_Frequencies,2,FALSE)/F27,2)*1200*$D$3,LOG(D27*VLOOKUP(C27,Master_Frequencies,2,FALSE)/F27,$F$3))</f>
        <v>-0.66688492359588958</v>
      </c>
      <c r="I27" s="123" t="s">
        <v>2</v>
      </c>
      <c r="J27" s="145" t="s">
        <v>6</v>
      </c>
      <c r="K27" s="97">
        <v>1</v>
      </c>
      <c r="L27" s="191">
        <f t="shared" ref="L27:L38" si="16">K27*VLOOKUP(J27,Master_Frequencies,2,FALSE)/VLOOKUP(I27,Master_Frequencies,2,FALSE)</f>
        <v>1.4949269604510533</v>
      </c>
      <c r="M27" s="145" t="s">
        <v>2</v>
      </c>
      <c r="N27" s="145" t="s">
        <v>4</v>
      </c>
      <c r="O27" s="191">
        <f t="shared" ref="O27:O38" si="17">D27*VLOOKUP(N27,Master_Frequencies,2,FALSE)/VLOOKUP(M27,Master_Frequencies,2,FALSE)</f>
        <v>1.2528272487271488</v>
      </c>
      <c r="Q27" s="99">
        <v>1</v>
      </c>
      <c r="R27" s="18">
        <f>$D$9*Q27</f>
        <v>263.40423257498082</v>
      </c>
      <c r="S27" s="97">
        <v>0</v>
      </c>
      <c r="T27" s="4">
        <f>R27/POWER(2,S27)</f>
        <v>263.40423257498082</v>
      </c>
      <c r="U27" s="18" t="str" cm="1">
        <f t="array" ref="U27">_xlfn.XLOOKUP(0,ABS($C$43:$C$55-T27),$B$43:$B$55,,1)</f>
        <v>C</v>
      </c>
      <c r="V27" s="47">
        <f>LOG(T27/VLOOKUP(U27,$B$9:$D$21,3,FALSE),2)*1200</f>
        <v>0</v>
      </c>
      <c r="X27" s="85" t="s">
        <v>2</v>
      </c>
      <c r="Y27" s="4">
        <f t="shared" ref="Y27:Y39" si="18">VLOOKUP(X27,Master_Frequencies,2,FALSE)/POWER(2,$Z$25)</f>
        <v>131.70211628749041</v>
      </c>
      <c r="Z27" s="47">
        <f t="shared" ref="Z27:Z39" si="19">VLOOKUP(X27,Master_Frequencies,2,FALSE)*POWER(2,$Z$25)</f>
        <v>526.80846514996165</v>
      </c>
    </row>
    <row r="28" spans="2:26" x14ac:dyDescent="0.2">
      <c r="B28" s="123" t="s">
        <v>74</v>
      </c>
      <c r="C28" s="145" t="s">
        <v>5</v>
      </c>
      <c r="D28" s="97">
        <v>1</v>
      </c>
      <c r="E28" s="4">
        <f t="shared" si="13"/>
        <v>407.82000346155337</v>
      </c>
      <c r="F28" s="4">
        <f t="shared" si="14"/>
        <v>346.86977129215597</v>
      </c>
      <c r="G28" s="47">
        <f t="shared" si="15"/>
        <v>-3.6668849235959549</v>
      </c>
      <c r="I28" s="123" t="s">
        <v>74</v>
      </c>
      <c r="J28" s="145" t="s">
        <v>72</v>
      </c>
      <c r="K28" s="97">
        <v>1</v>
      </c>
      <c r="L28" s="191">
        <f t="shared" si="16"/>
        <v>1.5000000000000053</v>
      </c>
      <c r="M28" s="145" t="s">
        <v>74</v>
      </c>
      <c r="N28" s="145" t="s">
        <v>5</v>
      </c>
      <c r="O28" s="191">
        <f t="shared" si="17"/>
        <v>1.2656250000000027</v>
      </c>
      <c r="Q28" s="99">
        <v>2</v>
      </c>
      <c r="R28" s="18">
        <f t="shared" ref="R28:R39" si="20">$D$9*Q28</f>
        <v>526.80846514996165</v>
      </c>
      <c r="S28" s="97">
        <v>0</v>
      </c>
      <c r="T28" s="4">
        <f t="shared" ref="T28:T39" si="21">R28/POWER(2,S28)</f>
        <v>526.80846514996165</v>
      </c>
      <c r="U28" s="18" t="str" cm="1">
        <f t="array" ref="U28">_xlfn.XLOOKUP(0,ABS($C$43:$C$55-T28),$B$43:$B$55,,1)</f>
        <v>c oct.</v>
      </c>
      <c r="V28" s="47">
        <f t="shared" ref="V28:V39" si="22">LOG(T28/VLOOKUP(U28,$B$9:$D$21,3,FALSE),2)*1200</f>
        <v>-9.9946906919025732E-12</v>
      </c>
      <c r="X28" s="85" t="s">
        <v>74</v>
      </c>
      <c r="Y28" s="4">
        <f t="shared" si="18"/>
        <v>138.7479085168624</v>
      </c>
      <c r="Z28" s="47">
        <f t="shared" si="19"/>
        <v>554.99163406744958</v>
      </c>
    </row>
    <row r="29" spans="2:26" x14ac:dyDescent="0.2">
      <c r="B29" s="123" t="s">
        <v>3</v>
      </c>
      <c r="C29" s="145" t="s">
        <v>70</v>
      </c>
      <c r="D29" s="97">
        <v>1</v>
      </c>
      <c r="E29" s="4">
        <f t="shared" si="13"/>
        <v>396.08999826922866</v>
      </c>
      <c r="F29" s="4">
        <f t="shared" si="14"/>
        <v>367.91095120396568</v>
      </c>
      <c r="G29" s="47">
        <f t="shared" si="15"/>
        <v>-1.6668849235959324</v>
      </c>
      <c r="I29" s="123" t="s">
        <v>3</v>
      </c>
      <c r="J29" s="145" t="s">
        <v>7</v>
      </c>
      <c r="K29" s="97">
        <v>1</v>
      </c>
      <c r="L29" s="191">
        <f t="shared" si="16"/>
        <v>1.4949269604510529</v>
      </c>
      <c r="M29" s="145" t="s">
        <v>3</v>
      </c>
      <c r="N29" s="145" t="s">
        <v>70</v>
      </c>
      <c r="O29" s="191">
        <f t="shared" si="17"/>
        <v>1.2570787221094204</v>
      </c>
      <c r="Q29" s="99">
        <v>3</v>
      </c>
      <c r="R29" s="18">
        <f t="shared" si="20"/>
        <v>790.21269772494247</v>
      </c>
      <c r="S29" s="97">
        <v>1</v>
      </c>
      <c r="T29" s="4">
        <f t="shared" si="21"/>
        <v>395.10634886247124</v>
      </c>
      <c r="U29" s="18" t="str" cm="1">
        <f t="array" ref="U29">_xlfn.XLOOKUP(0,ABS($C$43:$C$55-T29),$B$43:$B$55,,1)</f>
        <v>G</v>
      </c>
      <c r="V29" s="47">
        <f t="shared" si="22"/>
        <v>5.8650025961561729</v>
      </c>
      <c r="X29" s="85" t="s">
        <v>3</v>
      </c>
      <c r="Y29" s="4">
        <f t="shared" si="18"/>
        <v>147.16438048158628</v>
      </c>
      <c r="Z29" s="47">
        <f t="shared" si="19"/>
        <v>588.65752192634511</v>
      </c>
    </row>
    <row r="30" spans="2:26" x14ac:dyDescent="0.2">
      <c r="B30" s="123" t="s">
        <v>76</v>
      </c>
      <c r="C30" s="145" t="s">
        <v>6</v>
      </c>
      <c r="D30" s="97">
        <v>1</v>
      </c>
      <c r="E30" s="4">
        <f t="shared" si="13"/>
        <v>401.95500086539073</v>
      </c>
      <c r="F30" s="4">
        <f t="shared" si="14"/>
        <v>390.22849270367595</v>
      </c>
      <c r="G30" s="47">
        <f t="shared" si="15"/>
        <v>-2.6668849235958683</v>
      </c>
      <c r="I30" s="123" t="s">
        <v>76</v>
      </c>
      <c r="J30" s="145" t="s">
        <v>73</v>
      </c>
      <c r="K30" s="97">
        <v>1</v>
      </c>
      <c r="L30" s="191">
        <f t="shared" si="16"/>
        <v>1.5000000000000051</v>
      </c>
      <c r="M30" s="145" t="s">
        <v>76</v>
      </c>
      <c r="N30" s="145" t="s">
        <v>6</v>
      </c>
      <c r="O30" s="191">
        <f t="shared" si="17"/>
        <v>1.2613446228805743</v>
      </c>
      <c r="Q30" s="99">
        <v>4</v>
      </c>
      <c r="R30" s="18">
        <f t="shared" si="20"/>
        <v>1053.6169302999233</v>
      </c>
      <c r="S30" s="97">
        <v>1</v>
      </c>
      <c r="T30" s="4">
        <f t="shared" si="21"/>
        <v>526.80846514996165</v>
      </c>
      <c r="U30" s="18" t="str" cm="1">
        <f t="array" ref="U30">_xlfn.XLOOKUP(0,ABS($C$43:$C$55-T30),$B$43:$B$55,,1)</f>
        <v>c oct.</v>
      </c>
      <c r="V30" s="47">
        <f t="shared" si="22"/>
        <v>-9.9946906919025732E-12</v>
      </c>
      <c r="X30" s="85" t="s">
        <v>76</v>
      </c>
      <c r="Y30" s="4">
        <f t="shared" si="18"/>
        <v>156.09139708147038</v>
      </c>
      <c r="Z30" s="47">
        <f t="shared" si="19"/>
        <v>624.3655883258815</v>
      </c>
    </row>
    <row r="31" spans="2:26" x14ac:dyDescent="0.2">
      <c r="B31" s="123" t="s">
        <v>4</v>
      </c>
      <c r="C31" s="145" t="s">
        <v>72</v>
      </c>
      <c r="D31" s="97">
        <v>1</v>
      </c>
      <c r="E31" s="4">
        <f t="shared" si="13"/>
        <v>401.95500086539107</v>
      </c>
      <c r="F31" s="4">
        <f t="shared" si="14"/>
        <v>412.49999999999909</v>
      </c>
      <c r="G31" s="47">
        <f t="shared" si="15"/>
        <v>-2.6668849235959331</v>
      </c>
      <c r="I31" s="123" t="s">
        <v>4</v>
      </c>
      <c r="J31" s="145" t="s">
        <v>8</v>
      </c>
      <c r="K31" s="97">
        <v>1</v>
      </c>
      <c r="L31" s="191">
        <f t="shared" si="16"/>
        <v>1.5000000000000053</v>
      </c>
      <c r="M31" s="145" t="s">
        <v>4</v>
      </c>
      <c r="N31" s="145" t="s">
        <v>72</v>
      </c>
      <c r="O31" s="191">
        <f t="shared" si="17"/>
        <v>1.2613446228805745</v>
      </c>
      <c r="Q31" s="99">
        <v>5</v>
      </c>
      <c r="R31" s="18">
        <f t="shared" si="20"/>
        <v>1317.0211628749041</v>
      </c>
      <c r="S31" s="97">
        <v>2</v>
      </c>
      <c r="T31" s="4">
        <f t="shared" si="21"/>
        <v>329.25529071872603</v>
      </c>
      <c r="U31" s="18" t="str" cm="1">
        <f t="array" ref="U31">_xlfn.XLOOKUP(0,ABS($C$43:$C$55-T31),$B$43:$B$55,,1)</f>
        <v>E</v>
      </c>
      <c r="V31" s="47">
        <f t="shared" si="22"/>
        <v>-3.9112818082313612</v>
      </c>
      <c r="X31" s="85" t="s">
        <v>4</v>
      </c>
      <c r="Y31" s="4">
        <f t="shared" si="18"/>
        <v>164.99999999999963</v>
      </c>
      <c r="Z31" s="47">
        <f t="shared" si="19"/>
        <v>659.99999999999852</v>
      </c>
    </row>
    <row r="32" spans="2:26" x14ac:dyDescent="0.2">
      <c r="B32" s="123" t="s">
        <v>5</v>
      </c>
      <c r="C32" s="145" t="s">
        <v>7</v>
      </c>
      <c r="D32" s="97">
        <v>1</v>
      </c>
      <c r="E32" s="4">
        <f t="shared" si="13"/>
        <v>390.22499567306579</v>
      </c>
      <c r="F32" s="4">
        <f t="shared" si="14"/>
        <v>439.00705429163588</v>
      </c>
      <c r="G32" s="47">
        <f t="shared" si="15"/>
        <v>-0.66688492359582419</v>
      </c>
      <c r="I32" s="123" t="s">
        <v>5</v>
      </c>
      <c r="J32" s="145" t="s">
        <v>78</v>
      </c>
      <c r="K32" s="97">
        <v>1</v>
      </c>
      <c r="L32" s="191">
        <f t="shared" si="16"/>
        <v>1.5000000000000049</v>
      </c>
      <c r="M32" s="145" t="s">
        <v>5</v>
      </c>
      <c r="N32" s="145" t="s">
        <v>7</v>
      </c>
      <c r="O32" s="191">
        <f t="shared" si="17"/>
        <v>1.2528272487271486</v>
      </c>
      <c r="Q32" s="99">
        <v>6</v>
      </c>
      <c r="R32" s="18">
        <f t="shared" si="20"/>
        <v>1580.4253954498849</v>
      </c>
      <c r="S32" s="97">
        <v>2</v>
      </c>
      <c r="T32" s="4">
        <f t="shared" si="21"/>
        <v>395.10634886247124</v>
      </c>
      <c r="U32" s="18" t="str" cm="1">
        <f t="array" ref="U32">_xlfn.XLOOKUP(0,ABS($C$43:$C$55-T32),$B$43:$B$55,,1)</f>
        <v>G</v>
      </c>
      <c r="V32" s="47">
        <f t="shared" si="22"/>
        <v>5.8650025961561729</v>
      </c>
      <c r="X32" s="85" t="s">
        <v>5</v>
      </c>
      <c r="Y32" s="4">
        <f t="shared" si="18"/>
        <v>175.60282171665435</v>
      </c>
      <c r="Z32" s="47">
        <f t="shared" si="19"/>
        <v>702.41128686661739</v>
      </c>
    </row>
    <row r="33" spans="2:26" x14ac:dyDescent="0.2">
      <c r="B33" s="123" t="s">
        <v>70</v>
      </c>
      <c r="C33" s="145" t="s">
        <v>73</v>
      </c>
      <c r="D33" s="97">
        <v>1</v>
      </c>
      <c r="E33" s="4">
        <f t="shared" si="13"/>
        <v>407.82000346155303</v>
      </c>
      <c r="F33" s="4">
        <f t="shared" si="14"/>
        <v>462.49302838954247</v>
      </c>
      <c r="G33" s="47">
        <f t="shared" si="15"/>
        <v>-3.66688492359589</v>
      </c>
      <c r="I33" s="123" t="s">
        <v>70</v>
      </c>
      <c r="J33" s="145" t="s">
        <v>74</v>
      </c>
      <c r="K33" s="97">
        <v>2</v>
      </c>
      <c r="L33" s="191">
        <f t="shared" si="16"/>
        <v>1.4999999999999962</v>
      </c>
      <c r="M33" s="145" t="s">
        <v>70</v>
      </c>
      <c r="N33" s="145" t="s">
        <v>73</v>
      </c>
      <c r="O33" s="191">
        <f t="shared" si="17"/>
        <v>1.2656250000000024</v>
      </c>
      <c r="Q33" s="99">
        <v>7</v>
      </c>
      <c r="R33" s="18">
        <f t="shared" si="20"/>
        <v>1843.8296280248658</v>
      </c>
      <c r="S33" s="97">
        <v>2</v>
      </c>
      <c r="T33" s="4">
        <f t="shared" si="21"/>
        <v>460.95740700621644</v>
      </c>
      <c r="U33" s="18" t="str" cm="1">
        <f t="array" ref="U33">_xlfn.XLOOKUP(0,ABS($C$43:$C$55-T33),$B$43:$B$55,,1)</f>
        <v>A#</v>
      </c>
      <c r="V33" s="47">
        <f t="shared" si="22"/>
        <v>-27.264091800108833</v>
      </c>
      <c r="X33" s="85" t="s">
        <v>70</v>
      </c>
      <c r="Y33" s="4">
        <f t="shared" si="18"/>
        <v>184.997211355817</v>
      </c>
      <c r="Z33" s="47">
        <f t="shared" si="19"/>
        <v>739.988845423268</v>
      </c>
    </row>
    <row r="34" spans="2:26" x14ac:dyDescent="0.2">
      <c r="B34" s="123" t="s">
        <v>6</v>
      </c>
      <c r="C34" s="145" t="s">
        <v>8</v>
      </c>
      <c r="D34" s="97">
        <v>1</v>
      </c>
      <c r="E34" s="4">
        <f t="shared" si="13"/>
        <v>396.08999826922866</v>
      </c>
      <c r="F34" s="4">
        <f t="shared" si="14"/>
        <v>492.21261096657304</v>
      </c>
      <c r="G34" s="47">
        <f t="shared" si="15"/>
        <v>-1.6668849235959324</v>
      </c>
      <c r="I34" s="123" t="s">
        <v>6</v>
      </c>
      <c r="J34" s="145" t="s">
        <v>3</v>
      </c>
      <c r="K34" s="97">
        <v>2</v>
      </c>
      <c r="L34" s="191">
        <f t="shared" si="16"/>
        <v>1.4949269604510445</v>
      </c>
      <c r="M34" s="145" t="s">
        <v>6</v>
      </c>
      <c r="N34" s="145" t="s">
        <v>8</v>
      </c>
      <c r="O34" s="191">
        <f t="shared" si="17"/>
        <v>1.2570787221094204</v>
      </c>
      <c r="Q34" s="99">
        <v>8</v>
      </c>
      <c r="R34" s="18">
        <f t="shared" si="20"/>
        <v>2107.2338605998466</v>
      </c>
      <c r="S34" s="97">
        <v>3</v>
      </c>
      <c r="T34" s="4">
        <f t="shared" si="21"/>
        <v>263.40423257498082</v>
      </c>
      <c r="U34" s="18" t="str" cm="1">
        <f t="array" ref="U34">_xlfn.XLOOKUP(0,ABS($C$43:$C$55-T34),$B$43:$B$55,,1)</f>
        <v>C</v>
      </c>
      <c r="V34" s="47">
        <f t="shared" si="22"/>
        <v>0</v>
      </c>
      <c r="X34" s="85" t="s">
        <v>6</v>
      </c>
      <c r="Y34" s="4">
        <f t="shared" si="18"/>
        <v>196.8850443866292</v>
      </c>
      <c r="Z34" s="47">
        <f t="shared" si="19"/>
        <v>787.54017754651682</v>
      </c>
    </row>
    <row r="35" spans="2:26" x14ac:dyDescent="0.2">
      <c r="B35" s="123" t="s">
        <v>72</v>
      </c>
      <c r="C35" s="145" t="s">
        <v>78</v>
      </c>
      <c r="D35" s="97">
        <v>1</v>
      </c>
      <c r="E35" s="4">
        <f t="shared" si="13"/>
        <v>407.82000346155303</v>
      </c>
      <c r="F35" s="4">
        <f t="shared" si="14"/>
        <v>520.30465693823578</v>
      </c>
      <c r="G35" s="47">
        <f t="shared" si="15"/>
        <v>-3.66688492359589</v>
      </c>
      <c r="I35" s="123" t="s">
        <v>72</v>
      </c>
      <c r="J35" s="145" t="s">
        <v>76</v>
      </c>
      <c r="K35" s="97">
        <v>2</v>
      </c>
      <c r="L35" s="191">
        <f t="shared" si="16"/>
        <v>1.4999999999999964</v>
      </c>
      <c r="M35" s="145" t="s">
        <v>72</v>
      </c>
      <c r="N35" s="145" t="s">
        <v>78</v>
      </c>
      <c r="O35" s="191">
        <f t="shared" si="17"/>
        <v>1.2656250000000024</v>
      </c>
      <c r="Q35" s="99">
        <v>9</v>
      </c>
      <c r="R35" s="18">
        <f t="shared" si="20"/>
        <v>2370.6380931748272</v>
      </c>
      <c r="S35" s="97">
        <v>3</v>
      </c>
      <c r="T35" s="4">
        <f t="shared" si="21"/>
        <v>296.3297616468534</v>
      </c>
      <c r="U35" s="18" t="str" cm="1">
        <f t="array" ref="U35">_xlfn.XLOOKUP(0,ABS($C$43:$C$55-T35),$B$43:$B$55,,1)</f>
        <v>D</v>
      </c>
      <c r="V35" s="47">
        <f t="shared" si="22"/>
        <v>11.730005192322452</v>
      </c>
      <c r="X35" s="85" t="s">
        <v>72</v>
      </c>
      <c r="Y35" s="4">
        <f t="shared" si="18"/>
        <v>208.12186277529432</v>
      </c>
      <c r="Z35" s="47">
        <f t="shared" si="19"/>
        <v>832.48745110117727</v>
      </c>
    </row>
    <row r="36" spans="2:26" x14ac:dyDescent="0.2">
      <c r="B36" s="123" t="s">
        <v>7</v>
      </c>
      <c r="C36" s="145" t="s">
        <v>74</v>
      </c>
      <c r="D36" s="97">
        <v>2</v>
      </c>
      <c r="E36" s="4">
        <f t="shared" si="13"/>
        <v>401.95500086538101</v>
      </c>
      <c r="F36" s="4">
        <f t="shared" si="14"/>
        <v>550.00000000000011</v>
      </c>
      <c r="G36" s="47">
        <f t="shared" si="15"/>
        <v>-2.6668849235941794</v>
      </c>
      <c r="I36" s="123" t="s">
        <v>7</v>
      </c>
      <c r="J36" s="145" t="s">
        <v>4</v>
      </c>
      <c r="K36" s="97">
        <v>2</v>
      </c>
      <c r="L36" s="191">
        <f t="shared" si="16"/>
        <v>1.4999999999999964</v>
      </c>
      <c r="M36" s="145" t="s">
        <v>7</v>
      </c>
      <c r="N36" s="145" t="s">
        <v>74</v>
      </c>
      <c r="O36" s="191">
        <f t="shared" si="17"/>
        <v>1.2613446228805671</v>
      </c>
      <c r="Q36" s="99">
        <v>10</v>
      </c>
      <c r="R36" s="18">
        <f t="shared" si="20"/>
        <v>2634.0423257498082</v>
      </c>
      <c r="S36" s="97">
        <v>3</v>
      </c>
      <c r="T36" s="4">
        <f t="shared" si="21"/>
        <v>329.25529071872603</v>
      </c>
      <c r="U36" s="18" t="str" cm="1">
        <f t="array" ref="U36">_xlfn.XLOOKUP(0,ABS($C$43:$C$55-T36),$B$43:$B$55,,1)</f>
        <v>E</v>
      </c>
      <c r="V36" s="47">
        <f t="shared" si="22"/>
        <v>-3.9112818082313612</v>
      </c>
      <c r="X36" s="85" t="s">
        <v>7</v>
      </c>
      <c r="Y36" s="4">
        <f t="shared" si="18"/>
        <v>220.00000000000003</v>
      </c>
      <c r="Z36" s="47">
        <f t="shared" si="19"/>
        <v>880.00000000000011</v>
      </c>
    </row>
    <row r="37" spans="2:26" x14ac:dyDescent="0.2">
      <c r="B37" s="123" t="s">
        <v>73</v>
      </c>
      <c r="C37" s="145" t="s">
        <v>3</v>
      </c>
      <c r="D37" s="97">
        <v>2</v>
      </c>
      <c r="E37" s="4">
        <f t="shared" si="13"/>
        <v>396.08999826921837</v>
      </c>
      <c r="F37" s="4">
        <f t="shared" si="14"/>
        <v>585.34273905551584</v>
      </c>
      <c r="G37" s="47">
        <f t="shared" si="15"/>
        <v>-1.6668849235941727</v>
      </c>
      <c r="I37" s="123" t="s">
        <v>73</v>
      </c>
      <c r="J37" s="145" t="s">
        <v>5</v>
      </c>
      <c r="K37" s="97">
        <v>2</v>
      </c>
      <c r="L37" s="191">
        <f t="shared" si="16"/>
        <v>1.4999999999999964</v>
      </c>
      <c r="M37" s="145" t="s">
        <v>73</v>
      </c>
      <c r="N37" s="145" t="s">
        <v>3</v>
      </c>
      <c r="O37" s="191">
        <f t="shared" si="17"/>
        <v>1.2570787221094128</v>
      </c>
      <c r="Q37" s="99">
        <v>11</v>
      </c>
      <c r="R37" s="18">
        <f t="shared" si="20"/>
        <v>2897.4465583247893</v>
      </c>
      <c r="S37" s="97">
        <v>3</v>
      </c>
      <c r="T37" s="4">
        <f t="shared" si="21"/>
        <v>362.18081979059866</v>
      </c>
      <c r="U37" s="18" t="str" cm="1">
        <f t="array" ref="U37">_xlfn.XLOOKUP(0,ABS($C$43:$C$55-T37),$B$43:$B$55,,1)</f>
        <v>F#</v>
      </c>
      <c r="V37" s="47">
        <f t="shared" si="22"/>
        <v>-36.952052442923893</v>
      </c>
      <c r="X37" s="85" t="s">
        <v>73</v>
      </c>
      <c r="Y37" s="4">
        <f t="shared" si="18"/>
        <v>234.13709562220635</v>
      </c>
      <c r="Z37" s="47">
        <f t="shared" si="19"/>
        <v>936.54838248882538</v>
      </c>
    </row>
    <row r="38" spans="2:26" x14ac:dyDescent="0.2">
      <c r="B38" s="124" t="s">
        <v>8</v>
      </c>
      <c r="C38" s="153" t="s">
        <v>76</v>
      </c>
      <c r="D38" s="98">
        <v>2</v>
      </c>
      <c r="E38" s="53">
        <f t="shared" si="13"/>
        <v>401.95500086538067</v>
      </c>
      <c r="F38" s="53">
        <f t="shared" si="14"/>
        <v>618.75000000000091</v>
      </c>
      <c r="G38" s="48">
        <f t="shared" si="15"/>
        <v>-2.6668849235941794</v>
      </c>
      <c r="I38" s="124" t="s">
        <v>8</v>
      </c>
      <c r="J38" s="153" t="s">
        <v>70</v>
      </c>
      <c r="K38" s="98">
        <v>2</v>
      </c>
      <c r="L38" s="192">
        <f t="shared" si="16"/>
        <v>1.4949269604510445</v>
      </c>
      <c r="M38" s="153" t="s">
        <v>8</v>
      </c>
      <c r="N38" s="153" t="s">
        <v>76</v>
      </c>
      <c r="O38" s="192">
        <f t="shared" si="17"/>
        <v>1.2613446228805669</v>
      </c>
      <c r="Q38" s="99">
        <v>12</v>
      </c>
      <c r="R38" s="18">
        <f t="shared" si="20"/>
        <v>3160.8507908997699</v>
      </c>
      <c r="S38" s="97">
        <v>3</v>
      </c>
      <c r="T38" s="4">
        <f t="shared" si="21"/>
        <v>395.10634886247124</v>
      </c>
      <c r="U38" s="18" t="str" cm="1">
        <f t="array" ref="U38">_xlfn.XLOOKUP(0,ABS($C$43:$C$55-T38),$B$43:$B$55,,1)</f>
        <v>G</v>
      </c>
      <c r="V38" s="47">
        <f t="shared" si="22"/>
        <v>5.8650025961561729</v>
      </c>
      <c r="X38" s="85" t="s">
        <v>8</v>
      </c>
      <c r="Y38" s="4">
        <f t="shared" si="18"/>
        <v>247.50000000000034</v>
      </c>
      <c r="Z38" s="47">
        <f t="shared" si="19"/>
        <v>990.00000000000136</v>
      </c>
    </row>
    <row r="39" spans="2:26" x14ac:dyDescent="0.2">
      <c r="Q39" s="100">
        <v>13</v>
      </c>
      <c r="R39" s="50">
        <f t="shared" si="20"/>
        <v>3424.2550234747505</v>
      </c>
      <c r="S39" s="98">
        <v>3</v>
      </c>
      <c r="T39" s="53">
        <f t="shared" si="21"/>
        <v>428.03187793434381</v>
      </c>
      <c r="U39" s="50" t="str" cm="1">
        <f t="array" ref="U39">_xlfn.XLOOKUP(0,ABS($C$43:$C$55-T39),$B$43:$B$55,,1)</f>
        <v>G#</v>
      </c>
      <c r="V39" s="48">
        <f t="shared" si="22"/>
        <v>48.34766523085316</v>
      </c>
      <c r="X39" s="87" t="s">
        <v>78</v>
      </c>
      <c r="Y39" s="53">
        <f t="shared" si="18"/>
        <v>263.40423257498236</v>
      </c>
      <c r="Z39" s="48">
        <f t="shared" si="19"/>
        <v>1053.6169302999294</v>
      </c>
    </row>
    <row r="40" spans="2:26" ht="16" thickBot="1" x14ac:dyDescent="0.25"/>
    <row r="41" spans="2:26" ht="17" customHeight="1" thickTop="1" x14ac:dyDescent="0.2">
      <c r="B41" s="308" t="s">
        <v>138</v>
      </c>
      <c r="C41" s="309"/>
    </row>
    <row r="42" spans="2:26" ht="32" x14ac:dyDescent="0.2">
      <c r="B42" s="90" t="s">
        <v>14</v>
      </c>
      <c r="C42" s="91" t="s">
        <v>15</v>
      </c>
    </row>
    <row r="43" spans="2:26" x14ac:dyDescent="0.2">
      <c r="B43" s="92" t="s">
        <v>2</v>
      </c>
      <c r="C43" s="93">
        <f>VLOOKUP(B43,$B$9:$H$21,3,FALSE)</f>
        <v>263.40423257498082</v>
      </c>
    </row>
    <row r="44" spans="2:26" x14ac:dyDescent="0.2">
      <c r="B44" s="92" t="s">
        <v>74</v>
      </c>
      <c r="C44" s="93">
        <f t="shared" ref="C44:C55" si="23">VLOOKUP(B44,$B$9:$H$21,3,FALSE)</f>
        <v>277.49581703372479</v>
      </c>
    </row>
    <row r="45" spans="2:26" x14ac:dyDescent="0.2">
      <c r="B45" s="92" t="s">
        <v>3</v>
      </c>
      <c r="C45" s="93">
        <f t="shared" si="23"/>
        <v>294.32876096317256</v>
      </c>
    </row>
    <row r="46" spans="2:26" x14ac:dyDescent="0.2">
      <c r="B46" s="92" t="s">
        <v>76</v>
      </c>
      <c r="C46" s="93">
        <f t="shared" si="23"/>
        <v>312.18279416294075</v>
      </c>
    </row>
    <row r="47" spans="2:26" x14ac:dyDescent="0.2">
      <c r="B47" s="92" t="s">
        <v>4</v>
      </c>
      <c r="C47" s="93">
        <f t="shared" si="23"/>
        <v>329.99999999999926</v>
      </c>
    </row>
    <row r="48" spans="2:26" x14ac:dyDescent="0.2">
      <c r="B48" s="92" t="s">
        <v>5</v>
      </c>
      <c r="C48" s="93">
        <f t="shared" si="23"/>
        <v>351.20564343330869</v>
      </c>
    </row>
    <row r="49" spans="2:3" x14ac:dyDescent="0.2">
      <c r="B49" s="92" t="s">
        <v>70</v>
      </c>
      <c r="C49" s="93">
        <f t="shared" si="23"/>
        <v>369.994422711634</v>
      </c>
    </row>
    <row r="50" spans="2:3" x14ac:dyDescent="0.2">
      <c r="B50" s="92" t="s">
        <v>6</v>
      </c>
      <c r="C50" s="93">
        <f t="shared" si="23"/>
        <v>393.77008877325841</v>
      </c>
    </row>
    <row r="51" spans="2:3" x14ac:dyDescent="0.2">
      <c r="B51" s="92" t="s">
        <v>72</v>
      </c>
      <c r="C51" s="93">
        <f t="shared" si="23"/>
        <v>416.24372555058864</v>
      </c>
    </row>
    <row r="52" spans="2:3" x14ac:dyDescent="0.2">
      <c r="B52" s="92" t="s">
        <v>7</v>
      </c>
      <c r="C52" s="93">
        <f t="shared" si="23"/>
        <v>440.00000000000006</v>
      </c>
    </row>
    <row r="53" spans="2:3" x14ac:dyDescent="0.2">
      <c r="B53" s="92" t="s">
        <v>73</v>
      </c>
      <c r="C53" s="93">
        <f t="shared" si="23"/>
        <v>468.27419124441269</v>
      </c>
    </row>
    <row r="54" spans="2:3" x14ac:dyDescent="0.2">
      <c r="B54" s="92" t="s">
        <v>8</v>
      </c>
      <c r="C54" s="93">
        <f t="shared" si="23"/>
        <v>495.00000000000068</v>
      </c>
    </row>
    <row r="55" spans="2:3" ht="16" thickBot="1" x14ac:dyDescent="0.25">
      <c r="B55" s="94" t="s">
        <v>78</v>
      </c>
      <c r="C55" s="95">
        <f t="shared" si="23"/>
        <v>526.80846514996472</v>
      </c>
    </row>
    <row r="56" spans="2:3" ht="16" thickTop="1" x14ac:dyDescent="0.2"/>
  </sheetData>
  <sheetProtection sheet="1" scenarios="1" formatCells="0"/>
  <mergeCells count="9">
    <mergeCell ref="B1:H1"/>
    <mergeCell ref="X24:Z24"/>
    <mergeCell ref="B41:C41"/>
    <mergeCell ref="B7:F7"/>
    <mergeCell ref="H7:M7"/>
    <mergeCell ref="P7:U7"/>
    <mergeCell ref="I25:O25"/>
    <mergeCell ref="Q25:V25"/>
    <mergeCell ref="B25:D25"/>
  </mergeCells>
  <conditionalFormatting sqref="A1:XFD1048576">
    <cfRule type="expression" dxfId="5" priority="1">
      <formula>CELL("protect",A1)=0</formula>
    </cfRule>
    <cfRule type="expression" dxfId="4" priority="3">
      <formula>_xlfn.ISFORMULA(A1)</formula>
    </cfRule>
  </conditionalFormatting>
  <dataValidations disablePrompts="1" count="1">
    <dataValidation type="list" showInputMessage="1" showErrorMessage="1" errorTitle="Choose from list" error="You must choose the units from the list:_x000a_Pythagoream Comma_x000a_Syntonic Comma_x000a_Cents" sqref="D2" xr:uid="{95A8AC52-AB9E-8849-9A13-9C5EFD1AADE5}">
      <formula1>Units</formula1>
    </dataValidation>
  </dataValidations>
  <hyperlinks>
    <hyperlink ref="B4" location="Overview!A1" display="Back to Overview" xr:uid="{8A20CBD6-4921-A34E-8AC8-D3135BD2D162}"/>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0423-C5EA-B844-972C-9D56A2B5C63F}">
  <sheetPr codeName="Sheet43">
    <tabColor rgb="FFFFFF00"/>
  </sheetPr>
  <dimension ref="B1:AF57"/>
  <sheetViews>
    <sheetView zoomScaleNormal="100" workbookViewId="0"/>
  </sheetViews>
  <sheetFormatPr baseColWidth="10" defaultColWidth="12" defaultRowHeight="15" x14ac:dyDescent="0.2"/>
  <cols>
    <col min="1" max="1" width="2.83203125" style="4" customWidth="1"/>
    <col min="2" max="14" width="12" style="4"/>
    <col min="15" max="15" width="9.6640625" style="4" customWidth="1"/>
    <col min="16" max="16" width="10" style="4" customWidth="1"/>
    <col min="17" max="17" width="10.1640625" style="4" customWidth="1"/>
    <col min="18" max="18" width="12" style="4"/>
    <col min="19" max="19" width="8.6640625" style="4" customWidth="1"/>
    <col min="20" max="20" width="10.33203125" style="4" customWidth="1"/>
    <col min="21" max="21" width="9.83203125" style="4" customWidth="1"/>
    <col min="22" max="22" width="9.5" style="4" customWidth="1"/>
    <col min="23" max="23" width="5.6640625" style="4" customWidth="1"/>
    <col min="24" max="24" width="10.5" style="4" customWidth="1"/>
    <col min="25" max="25" width="10.6640625" style="4" customWidth="1"/>
    <col min="26" max="26" width="12" style="4"/>
    <col min="27" max="27" width="5.5" style="4" customWidth="1"/>
    <col min="28" max="28" width="8.1640625" style="4" customWidth="1"/>
    <col min="29" max="16384" width="12" style="4"/>
  </cols>
  <sheetData>
    <row r="1" spans="2:32" ht="18" x14ac:dyDescent="0.2">
      <c r="B1" s="289" t="s">
        <v>476</v>
      </c>
      <c r="C1" s="289"/>
      <c r="D1" s="289"/>
      <c r="E1" s="289"/>
      <c r="F1" s="289"/>
      <c r="G1" s="289"/>
      <c r="H1" s="289"/>
      <c r="P1" s="4" t="s">
        <v>524</v>
      </c>
      <c r="AB1" s="70"/>
      <c r="AC1" s="70"/>
    </row>
    <row r="2" spans="2:32" s="70" customFormat="1" ht="16" x14ac:dyDescent="0.2">
      <c r="D2" s="154" t="s">
        <v>16</v>
      </c>
      <c r="E2" s="72" t="str">
        <f>D2</f>
        <v>Cents</v>
      </c>
      <c r="F2" s="72" t="str">
        <f>_xlfn.CONCAT("1/",D3," ",D2)</f>
        <v>1/1 Cents</v>
      </c>
      <c r="G2" s="102"/>
      <c r="H2" s="103" t="s">
        <v>143</v>
      </c>
      <c r="I2" s="161">
        <v>440</v>
      </c>
      <c r="J2" s="103" t="str">
        <f>_xlfn.CONCAT("C for A=", I2,":")</f>
        <v>C for A=440:</v>
      </c>
      <c r="K2" s="70">
        <f>(I2/POWER(2,9/12))*POWER(2,-D12/1200)</f>
        <v>263.53206732599307</v>
      </c>
      <c r="L2" s="103"/>
      <c r="U2" s="103"/>
      <c r="Z2" s="72"/>
      <c r="AA2" s="103"/>
      <c r="AD2" s="72"/>
    </row>
    <row r="3" spans="2:32" ht="16" x14ac:dyDescent="0.2">
      <c r="B3" s="105"/>
      <c r="C3" s="74" t="s">
        <v>125</v>
      </c>
      <c r="D3" s="155">
        <v>1</v>
      </c>
      <c r="E3" s="1">
        <f>IF(D2="Pythagorean Comma",524288/531441,IF(D2="Syntonic Comma",80/81,IF(D2="Cents",1/POWER(2,1/1200),"Not in List")))</f>
        <v>0.99942254414138076</v>
      </c>
      <c r="F3" s="132">
        <f>POWER(E3,1/D3)</f>
        <v>0.99942254414138076</v>
      </c>
      <c r="U3" s="74"/>
      <c r="Z3" s="132"/>
      <c r="AB3" s="70"/>
      <c r="AC3" s="70"/>
      <c r="AD3" s="1"/>
    </row>
    <row r="4" spans="2:32" ht="16" x14ac:dyDescent="0.2">
      <c r="B4" s="105" t="s">
        <v>63</v>
      </c>
    </row>
    <row r="5" spans="2:32" ht="48" x14ac:dyDescent="0.2">
      <c r="B5" s="106"/>
      <c r="D5" s="74"/>
      <c r="F5" s="78"/>
      <c r="AB5" s="175"/>
      <c r="AC5" s="231"/>
      <c r="AD5" s="232"/>
      <c r="AE5" s="233" t="s">
        <v>48</v>
      </c>
      <c r="AF5" s="234" t="str">
        <f>_xlfn.CONCAT("1/",AE6," ",AE5," in cents")</f>
        <v>1/7 Syntonic Comma in cents</v>
      </c>
    </row>
    <row r="6" spans="2:32" ht="16" x14ac:dyDescent="0.2">
      <c r="AB6" s="235"/>
      <c r="AC6" s="236"/>
      <c r="AD6" s="237" t="s">
        <v>576</v>
      </c>
      <c r="AE6" s="221">
        <v>7</v>
      </c>
      <c r="AF6" s="238">
        <f>IF(AE5="Pythagorean Comma",1200*LOG(531441/524288,2),IF(AE5="Syntonic Comma",1200*LOG(81/80,2),IF(AE5="Cents",1,"Not in List")))*1/AE6</f>
        <v>3.0723270852449684</v>
      </c>
    </row>
    <row r="7" spans="2:32" ht="18" customHeight="1" x14ac:dyDescent="0.25">
      <c r="B7" s="310" t="s">
        <v>141</v>
      </c>
      <c r="C7" s="311"/>
      <c r="D7" s="311"/>
      <c r="E7" s="311"/>
      <c r="F7" s="311"/>
      <c r="G7" s="311"/>
      <c r="H7" s="312"/>
      <c r="J7" s="310" t="s">
        <v>142</v>
      </c>
      <c r="K7" s="311"/>
      <c r="L7" s="311"/>
      <c r="M7" s="311"/>
      <c r="N7" s="312"/>
      <c r="P7" s="310" t="s">
        <v>129</v>
      </c>
      <c r="Q7" s="311"/>
      <c r="R7" s="311"/>
      <c r="S7" s="311"/>
      <c r="T7" s="311"/>
      <c r="U7" s="312"/>
      <c r="AB7" s="323" t="str">
        <f>_xlfn.CONCAT("Fractions of ",AE5," from Just")</f>
        <v>Fractions of Syntonic Comma from Just</v>
      </c>
      <c r="AC7" s="324"/>
      <c r="AD7" s="324"/>
      <c r="AE7" s="324"/>
      <c r="AF7" s="325"/>
    </row>
    <row r="8" spans="2:32" s="84" customFormat="1" ht="48" x14ac:dyDescent="0.2">
      <c r="B8" s="83" t="s">
        <v>0</v>
      </c>
      <c r="C8" s="84" t="s">
        <v>486</v>
      </c>
      <c r="D8" s="84" t="s">
        <v>167</v>
      </c>
      <c r="E8" s="84" t="s">
        <v>11</v>
      </c>
      <c r="F8" s="84" t="s">
        <v>17</v>
      </c>
      <c r="G8" s="84" t="s">
        <v>12</v>
      </c>
      <c r="H8" s="147" t="s">
        <v>13</v>
      </c>
      <c r="J8" s="83" t="s">
        <v>14</v>
      </c>
      <c r="K8" s="84" t="s">
        <v>15</v>
      </c>
      <c r="L8" s="84" t="s">
        <v>29</v>
      </c>
      <c r="M8" s="84" t="s">
        <v>36</v>
      </c>
      <c r="N8" s="52" t="s">
        <v>50</v>
      </c>
      <c r="P8" s="149" t="s">
        <v>89</v>
      </c>
      <c r="Q8" s="84" t="s">
        <v>136</v>
      </c>
      <c r="R8" s="84" t="s">
        <v>90</v>
      </c>
      <c r="S8" s="152" t="s">
        <v>88</v>
      </c>
      <c r="T8" s="84" t="s">
        <v>32</v>
      </c>
      <c r="U8" s="52" t="s">
        <v>91</v>
      </c>
      <c r="AB8" s="83" t="s">
        <v>43</v>
      </c>
      <c r="AC8" s="84" t="s">
        <v>128</v>
      </c>
      <c r="AD8" s="84" t="s">
        <v>1</v>
      </c>
      <c r="AE8" s="84" t="str">
        <f>_xlfn.CONCAT("1/",AE6," ",AE5)</f>
        <v>1/7 Syntonic Comma</v>
      </c>
      <c r="AF8" s="230" t="s">
        <v>577</v>
      </c>
    </row>
    <row r="9" spans="2:32" x14ac:dyDescent="0.2">
      <c r="B9" s="107" t="s">
        <v>2</v>
      </c>
      <c r="C9" s="75">
        <f>K2</f>
        <v>263.53206732599307</v>
      </c>
      <c r="D9" s="156">
        <v>0</v>
      </c>
      <c r="E9" s="4">
        <f>C9*POWER(1/$F$3,D9)</f>
        <v>263.53206732599307</v>
      </c>
      <c r="G9" s="97">
        <v>0</v>
      </c>
      <c r="H9" s="148">
        <f t="shared" ref="H9:H21" si="0">E9/POWER(2,G9)</f>
        <v>263.53206732599307</v>
      </c>
      <c r="J9" s="85" t="s">
        <v>2</v>
      </c>
      <c r="K9" s="4">
        <f t="shared" ref="K9:K21" si="1">VLOOKUP(J9,Master_Frequencies,2,FALSE)</f>
        <v>263.53206732599307</v>
      </c>
      <c r="L9" s="4">
        <f t="shared" ref="L9:L21" si="2">LOG(K9/K$9,2)*1200</f>
        <v>0</v>
      </c>
      <c r="N9" s="158">
        <v>3600</v>
      </c>
      <c r="P9" s="123" t="str">
        <f>J9</f>
        <v>C</v>
      </c>
      <c r="Q9" s="4">
        <f>E9</f>
        <v>263.53206732599307</v>
      </c>
      <c r="R9" s="4">
        <f>LOG(K9/Q9,2)*1200</f>
        <v>0</v>
      </c>
      <c r="S9" s="145" t="str">
        <f t="shared" ref="S9:S21" si="3">B9</f>
        <v>C</v>
      </c>
      <c r="T9" s="4">
        <f t="shared" ref="T9:T21" si="4">VLOOKUP(S9,Master_Frequencies,2,FALSE)</f>
        <v>263.53206732599307</v>
      </c>
      <c r="U9" s="47">
        <f t="shared" ref="U9:U21" si="5">VLOOKUP(S9,$P$9:$R$21,3,FALSE)</f>
        <v>0</v>
      </c>
      <c r="AB9" s="107" t="str">
        <f>S9</f>
        <v>C</v>
      </c>
      <c r="AC9" s="223">
        <v>0</v>
      </c>
      <c r="AD9" s="224">
        <f t="shared" ref="AD9:AD21" si="6">VLOOKUP(AB9,Master_Frequencies,2,FALSE)*POWER(2,AC9)</f>
        <v>263.53206732599307</v>
      </c>
      <c r="AF9" s="47"/>
    </row>
    <row r="10" spans="2:32" x14ac:dyDescent="0.2">
      <c r="B10" s="107" t="s">
        <v>6</v>
      </c>
      <c r="C10" s="75">
        <f>C9*POWER(2,700/1200)</f>
        <v>394.85196145847749</v>
      </c>
      <c r="D10" s="156">
        <v>-4.1900000000000004</v>
      </c>
      <c r="E10" s="4">
        <f t="shared" ref="E10:E21" si="7">C10*POWER(1/$F$3,D10)</f>
        <v>393.89748088088493</v>
      </c>
      <c r="F10" s="4">
        <f t="shared" ref="F10:F21" si="8">LOG(E10/E9,2)*1200</f>
        <v>695.81000000000017</v>
      </c>
      <c r="G10" s="97">
        <v>0</v>
      </c>
      <c r="H10" s="148">
        <f t="shared" si="0"/>
        <v>393.89748088088493</v>
      </c>
      <c r="J10" s="85" t="s">
        <v>74</v>
      </c>
      <c r="K10" s="4">
        <f t="shared" si="1"/>
        <v>274.51218531655832</v>
      </c>
      <c r="L10" s="4">
        <f t="shared" si="2"/>
        <v>70.670000000000812</v>
      </c>
      <c r="M10" s="4">
        <f t="shared" ref="M10:M21" si="9">LOG(K10/K9,2)*1200</f>
        <v>70.670000000000812</v>
      </c>
      <c r="N10" s="47">
        <f t="shared" ref="N10:N21" si="10">N$9*K$9/K10</f>
        <v>3456.0048446649025</v>
      </c>
      <c r="P10" s="123" t="str">
        <f t="shared" ref="P10:P21" si="11">J10</f>
        <v>C#</v>
      </c>
      <c r="Q10" s="4">
        <f>Q9*POWER(2,1/12)</f>
        <v>279.20249951209877</v>
      </c>
      <c r="R10" s="4">
        <f t="shared" ref="R10:R21" si="12">LOG(K10/Q10,2)*1200</f>
        <v>-29.329999999999462</v>
      </c>
      <c r="S10" s="145" t="str">
        <f t="shared" si="3"/>
        <v>G</v>
      </c>
      <c r="T10" s="4">
        <f t="shared" si="4"/>
        <v>393.89748088088493</v>
      </c>
      <c r="U10" s="47">
        <f t="shared" si="5"/>
        <v>-4.1900000000005519</v>
      </c>
      <c r="AB10" s="107" t="str">
        <f t="shared" ref="AB10:AB21" si="13">S10</f>
        <v>G</v>
      </c>
      <c r="AC10" s="223">
        <v>0</v>
      </c>
      <c r="AD10" s="224">
        <f t="shared" si="6"/>
        <v>393.89748088088493</v>
      </c>
      <c r="AE10" s="4">
        <f>1200*LOG(AD10/(AD9*3/2),2)/$AF$6</f>
        <v>-2.0001128443970146</v>
      </c>
      <c r="AF10" s="228">
        <f>AE10</f>
        <v>-2.0001128443970146</v>
      </c>
    </row>
    <row r="11" spans="2:32" x14ac:dyDescent="0.2">
      <c r="B11" s="107" t="s">
        <v>3</v>
      </c>
      <c r="C11" s="75">
        <f t="shared" ref="C11:C21" si="14">C10*POWER(2,700/1200)</f>
        <v>591.60948817187557</v>
      </c>
      <c r="D11" s="156">
        <v>-8.3800000000000008</v>
      </c>
      <c r="E11" s="4">
        <f t="shared" si="7"/>
        <v>588.75273517426547</v>
      </c>
      <c r="F11" s="4">
        <f t="shared" si="8"/>
        <v>695.81000000000017</v>
      </c>
      <c r="G11" s="97">
        <v>1</v>
      </c>
      <c r="H11" s="148">
        <f t="shared" si="0"/>
        <v>294.37636758713273</v>
      </c>
      <c r="J11" s="85" t="s">
        <v>3</v>
      </c>
      <c r="K11" s="4">
        <f t="shared" si="1"/>
        <v>294.37636758713273</v>
      </c>
      <c r="L11" s="4">
        <f t="shared" si="2"/>
        <v>191.62000000000018</v>
      </c>
      <c r="M11" s="4">
        <f t="shared" si="9"/>
        <v>120.94999999999941</v>
      </c>
      <c r="N11" s="47">
        <f t="shared" si="10"/>
        <v>3222.7975708436034</v>
      </c>
      <c r="P11" s="123" t="str">
        <f t="shared" si="11"/>
        <v>D</v>
      </c>
      <c r="Q11" s="4">
        <f t="shared" ref="Q11:Q21" si="15">Q10*POWER(2,1/12)</f>
        <v>295.80474408593778</v>
      </c>
      <c r="R11" s="4">
        <f t="shared" si="12"/>
        <v>-8.3799999999999137</v>
      </c>
      <c r="S11" s="145" t="str">
        <f t="shared" si="3"/>
        <v>D</v>
      </c>
      <c r="T11" s="4">
        <f t="shared" si="4"/>
        <v>294.37636758713273</v>
      </c>
      <c r="U11" s="47">
        <f t="shared" si="5"/>
        <v>-8.3799999999999137</v>
      </c>
      <c r="AB11" s="107" t="str">
        <f t="shared" si="13"/>
        <v>D</v>
      </c>
      <c r="AC11" s="223">
        <v>1</v>
      </c>
      <c r="AD11" s="224">
        <f t="shared" si="6"/>
        <v>588.75273517426547</v>
      </c>
      <c r="AE11" s="4">
        <f t="shared" ref="AE11:AE21" si="16">1200*LOG(AD11/(AD10*3/2),2)/$AF$6</f>
        <v>-2.0001128443970777</v>
      </c>
      <c r="AF11" s="228">
        <f t="shared" ref="AF11:AF21" si="17">AE11</f>
        <v>-2.0001128443970777</v>
      </c>
    </row>
    <row r="12" spans="2:32" x14ac:dyDescent="0.2">
      <c r="B12" s="107" t="s">
        <v>7</v>
      </c>
      <c r="C12" s="75">
        <f t="shared" si="14"/>
        <v>886.41268287531261</v>
      </c>
      <c r="D12" s="156">
        <v>-12.57</v>
      </c>
      <c r="E12" s="4">
        <f t="shared" si="7"/>
        <v>880.00000000000023</v>
      </c>
      <c r="F12" s="4">
        <f t="shared" si="8"/>
        <v>695.8100000000004</v>
      </c>
      <c r="G12" s="97">
        <v>1</v>
      </c>
      <c r="H12" s="148">
        <f t="shared" si="0"/>
        <v>440.00000000000011</v>
      </c>
      <c r="J12" s="85" t="s">
        <v>76</v>
      </c>
      <c r="K12" s="4">
        <f t="shared" si="1"/>
        <v>315.67795685959885</v>
      </c>
      <c r="L12" s="4">
        <f t="shared" si="2"/>
        <v>312.56999999999994</v>
      </c>
      <c r="M12" s="4">
        <f t="shared" si="9"/>
        <v>120.94999999999975</v>
      </c>
      <c r="N12" s="47">
        <f t="shared" si="10"/>
        <v>3005.3268584588768</v>
      </c>
      <c r="P12" s="123" t="str">
        <f t="shared" si="11"/>
        <v>D#</v>
      </c>
      <c r="Q12" s="4">
        <f t="shared" si="15"/>
        <v>313.39420949544711</v>
      </c>
      <c r="R12" s="4">
        <f t="shared" si="12"/>
        <v>12.569999999999583</v>
      </c>
      <c r="S12" s="145" t="str">
        <f t="shared" si="3"/>
        <v>A</v>
      </c>
      <c r="T12" s="4">
        <f t="shared" si="4"/>
        <v>440.00000000000011</v>
      </c>
      <c r="U12" s="47">
        <f t="shared" si="5"/>
        <v>-12.570000000000066</v>
      </c>
      <c r="AB12" s="107" t="str">
        <f t="shared" si="13"/>
        <v>A</v>
      </c>
      <c r="AC12" s="223">
        <v>1</v>
      </c>
      <c r="AD12" s="224">
        <f t="shared" si="6"/>
        <v>880.00000000000023</v>
      </c>
      <c r="AE12" s="4">
        <f t="shared" si="16"/>
        <v>-2.0001128443968894</v>
      </c>
      <c r="AF12" s="228">
        <f t="shared" si="17"/>
        <v>-2.0001128443968894</v>
      </c>
    </row>
    <row r="13" spans="2:32" x14ac:dyDescent="0.2">
      <c r="B13" s="107" t="s">
        <v>4</v>
      </c>
      <c r="C13" s="75">
        <f t="shared" si="14"/>
        <v>1328.1183957853266</v>
      </c>
      <c r="D13" s="156">
        <v>-16.760000000000002</v>
      </c>
      <c r="E13" s="4">
        <f t="shared" si="7"/>
        <v>1315.3229764117953</v>
      </c>
      <c r="F13" s="4">
        <f t="shared" si="8"/>
        <v>695.81000000000017</v>
      </c>
      <c r="G13" s="97">
        <v>2</v>
      </c>
      <c r="H13" s="148">
        <f t="shared" si="0"/>
        <v>328.83074410294881</v>
      </c>
      <c r="J13" s="85" t="s">
        <v>4</v>
      </c>
      <c r="K13" s="4">
        <f t="shared" si="1"/>
        <v>328.83074410294881</v>
      </c>
      <c r="L13" s="4">
        <f t="shared" si="2"/>
        <v>383.24000000000069</v>
      </c>
      <c r="M13" s="4">
        <f t="shared" si="9"/>
        <v>70.670000000000812</v>
      </c>
      <c r="N13" s="47">
        <f t="shared" si="10"/>
        <v>2885.1178285098417</v>
      </c>
      <c r="P13" s="123" t="str">
        <f t="shared" si="11"/>
        <v>E</v>
      </c>
      <c r="Q13" s="4">
        <f t="shared" si="15"/>
        <v>332.02959894633165</v>
      </c>
      <c r="R13" s="4">
        <f t="shared" si="12"/>
        <v>-16.75999999999965</v>
      </c>
      <c r="S13" s="145" t="str">
        <f t="shared" si="3"/>
        <v>E</v>
      </c>
      <c r="T13" s="4">
        <f t="shared" si="4"/>
        <v>328.83074410294881</v>
      </c>
      <c r="U13" s="47">
        <f t="shared" si="5"/>
        <v>-16.75999999999965</v>
      </c>
      <c r="AB13" s="107" t="str">
        <f t="shared" si="13"/>
        <v>E</v>
      </c>
      <c r="AC13" s="223">
        <v>2</v>
      </c>
      <c r="AD13" s="224">
        <f t="shared" si="6"/>
        <v>1315.3229764117953</v>
      </c>
      <c r="AE13" s="4">
        <f t="shared" si="16"/>
        <v>-2.0001128443970777</v>
      </c>
      <c r="AF13" s="228">
        <f t="shared" si="17"/>
        <v>-2.0001128443970777</v>
      </c>
    </row>
    <row r="14" spans="2:32" x14ac:dyDescent="0.2">
      <c r="B14" s="107" t="s">
        <v>8</v>
      </c>
      <c r="C14" s="75">
        <f t="shared" si="14"/>
        <v>1989.9291913352602</v>
      </c>
      <c r="D14" s="156">
        <v>-20.95</v>
      </c>
      <c r="E14" s="4">
        <f t="shared" si="7"/>
        <v>1965.9937866781629</v>
      </c>
      <c r="F14" s="4">
        <f t="shared" si="8"/>
        <v>695.81</v>
      </c>
      <c r="G14" s="97">
        <v>2</v>
      </c>
      <c r="H14" s="148">
        <f t="shared" si="0"/>
        <v>491.49844666954073</v>
      </c>
      <c r="J14" s="85" t="s">
        <v>5</v>
      </c>
      <c r="K14" s="4">
        <f t="shared" si="1"/>
        <v>352.62551237342518</v>
      </c>
      <c r="L14" s="4">
        <f t="shared" si="2"/>
        <v>504.18999999999994</v>
      </c>
      <c r="M14" s="4">
        <f t="shared" si="9"/>
        <v>120.94999999999904</v>
      </c>
      <c r="N14" s="47">
        <f t="shared" si="10"/>
        <v>2690.4333608423076</v>
      </c>
      <c r="P14" s="123" t="str">
        <f t="shared" si="11"/>
        <v>F</v>
      </c>
      <c r="Q14" s="4">
        <f t="shared" si="15"/>
        <v>351.77310631855636</v>
      </c>
      <c r="R14" s="4">
        <f t="shared" si="12"/>
        <v>4.1899999999994915</v>
      </c>
      <c r="S14" s="145" t="str">
        <f t="shared" si="3"/>
        <v>B</v>
      </c>
      <c r="T14" s="4">
        <f t="shared" si="4"/>
        <v>491.49844666954073</v>
      </c>
      <c r="U14" s="47">
        <f t="shared" si="5"/>
        <v>-20.950000000000252</v>
      </c>
      <c r="AB14" s="107" t="str">
        <f t="shared" si="13"/>
        <v>B</v>
      </c>
      <c r="AC14" s="223">
        <v>2</v>
      </c>
      <c r="AD14" s="224">
        <f t="shared" si="6"/>
        <v>1965.9937866781629</v>
      </c>
      <c r="AE14" s="4">
        <f t="shared" si="16"/>
        <v>-2.0001128443971403</v>
      </c>
      <c r="AF14" s="228">
        <f t="shared" si="17"/>
        <v>-2.0001128443971403</v>
      </c>
    </row>
    <row r="15" spans="2:32" x14ac:dyDescent="0.2">
      <c r="B15" s="107" t="s">
        <v>70</v>
      </c>
      <c r="C15" s="75">
        <f t="shared" si="14"/>
        <v>2981.5249898611123</v>
      </c>
      <c r="D15" s="156">
        <v>-25.14</v>
      </c>
      <c r="E15" s="4">
        <f t="shared" si="7"/>
        <v>2938.5418171597917</v>
      </c>
      <c r="F15" s="4">
        <f t="shared" si="8"/>
        <v>695.81000000000017</v>
      </c>
      <c r="G15" s="97">
        <v>3</v>
      </c>
      <c r="H15" s="148">
        <f t="shared" si="0"/>
        <v>367.31772714497396</v>
      </c>
      <c r="J15" s="85" t="s">
        <v>70</v>
      </c>
      <c r="K15" s="4">
        <f t="shared" si="1"/>
        <v>367.31772714497396</v>
      </c>
      <c r="L15" s="4">
        <f t="shared" si="2"/>
        <v>574.86000000000081</v>
      </c>
      <c r="M15" s="4">
        <f t="shared" si="9"/>
        <v>70.670000000000812</v>
      </c>
      <c r="N15" s="47">
        <f t="shared" si="10"/>
        <v>2582.8196470330809</v>
      </c>
      <c r="P15" s="123" t="str">
        <f t="shared" si="11"/>
        <v>F#</v>
      </c>
      <c r="Q15" s="4">
        <f t="shared" si="15"/>
        <v>372.6906237326391</v>
      </c>
      <c r="R15" s="4">
        <f t="shared" si="12"/>
        <v>-25.139999999999706</v>
      </c>
      <c r="S15" s="145" t="str">
        <f t="shared" si="3"/>
        <v>F#</v>
      </c>
      <c r="T15" s="4">
        <f t="shared" si="4"/>
        <v>367.31772714497396</v>
      </c>
      <c r="U15" s="47">
        <f t="shared" si="5"/>
        <v>-25.139999999999706</v>
      </c>
      <c r="AB15" s="107" t="str">
        <f t="shared" si="13"/>
        <v>F#</v>
      </c>
      <c r="AC15" s="223">
        <v>3</v>
      </c>
      <c r="AD15" s="224">
        <f t="shared" si="6"/>
        <v>2938.5418171597917</v>
      </c>
      <c r="AE15" s="4">
        <f t="shared" si="16"/>
        <v>-2.0001128443970146</v>
      </c>
      <c r="AF15" s="228">
        <f t="shared" si="17"/>
        <v>-2.0001128443970146</v>
      </c>
    </row>
    <row r="16" spans="2:32" x14ac:dyDescent="0.2">
      <c r="B16" s="107" t="s">
        <v>74</v>
      </c>
      <c r="C16" s="75">
        <f t="shared" si="14"/>
        <v>4467.2399921935803</v>
      </c>
      <c r="D16" s="156">
        <v>-29.33</v>
      </c>
      <c r="E16" s="4">
        <f t="shared" si="7"/>
        <v>4392.1949650649331</v>
      </c>
      <c r="F16" s="4">
        <f t="shared" si="8"/>
        <v>695.81</v>
      </c>
      <c r="G16" s="97">
        <v>4</v>
      </c>
      <c r="H16" s="148">
        <f t="shared" si="0"/>
        <v>274.51218531655832</v>
      </c>
      <c r="J16" s="85" t="s">
        <v>6</v>
      </c>
      <c r="K16" s="4">
        <f t="shared" si="1"/>
        <v>393.89748088088493</v>
      </c>
      <c r="L16" s="4">
        <f t="shared" si="2"/>
        <v>695.81000000000017</v>
      </c>
      <c r="M16" s="4">
        <f t="shared" si="9"/>
        <v>120.94999999999941</v>
      </c>
      <c r="N16" s="47">
        <f t="shared" si="10"/>
        <v>2408.5339166219946</v>
      </c>
      <c r="P16" s="123" t="str">
        <f t="shared" si="11"/>
        <v>G</v>
      </c>
      <c r="Q16" s="4">
        <f t="shared" si="15"/>
        <v>394.85196145847766</v>
      </c>
      <c r="R16" s="4">
        <f t="shared" si="12"/>
        <v>-4.1900000000005519</v>
      </c>
      <c r="S16" s="145" t="str">
        <f t="shared" si="3"/>
        <v>C#</v>
      </c>
      <c r="T16" s="4">
        <f t="shared" si="4"/>
        <v>274.51218531655832</v>
      </c>
      <c r="U16" s="47">
        <f t="shared" si="5"/>
        <v>-29.329999999999462</v>
      </c>
      <c r="AB16" s="107" t="str">
        <f t="shared" si="13"/>
        <v>C#</v>
      </c>
      <c r="AC16" s="223">
        <v>4</v>
      </c>
      <c r="AD16" s="224">
        <f t="shared" si="6"/>
        <v>4392.1949650649331</v>
      </c>
      <c r="AE16" s="4">
        <f t="shared" si="16"/>
        <v>-2.0001128443970777</v>
      </c>
      <c r="AF16" s="228">
        <f t="shared" si="17"/>
        <v>-2.0001128443970777</v>
      </c>
    </row>
    <row r="17" spans="2:32" x14ac:dyDescent="0.2">
      <c r="B17" s="107" t="s">
        <v>72</v>
      </c>
      <c r="C17" s="75">
        <f t="shared" si="14"/>
        <v>6693.297294410173</v>
      </c>
      <c r="D17" s="156">
        <v>16.760000000000002</v>
      </c>
      <c r="E17" s="4">
        <f t="shared" si="7"/>
        <v>6758.4094740113669</v>
      </c>
      <c r="F17" s="4">
        <f t="shared" si="8"/>
        <v>746.08999999999935</v>
      </c>
      <c r="G17" s="97">
        <v>4</v>
      </c>
      <c r="H17" s="148">
        <f t="shared" si="0"/>
        <v>422.40059212571043</v>
      </c>
      <c r="J17" s="85" t="s">
        <v>72</v>
      </c>
      <c r="K17" s="4">
        <f t="shared" si="1"/>
        <v>422.40059212571043</v>
      </c>
      <c r="L17" s="4">
        <f t="shared" si="2"/>
        <v>816.7600000000001</v>
      </c>
      <c r="M17" s="4">
        <f t="shared" si="9"/>
        <v>120.94999999999975</v>
      </c>
      <c r="N17" s="47">
        <f t="shared" si="10"/>
        <v>2246.0087889536585</v>
      </c>
      <c r="P17" s="123" t="str">
        <f t="shared" si="11"/>
        <v>G#</v>
      </c>
      <c r="Q17" s="4">
        <f t="shared" si="15"/>
        <v>418.33108090063592</v>
      </c>
      <c r="R17" s="4">
        <f t="shared" si="12"/>
        <v>16.759999999999277</v>
      </c>
      <c r="S17" s="145" t="str">
        <f t="shared" si="3"/>
        <v>G#</v>
      </c>
      <c r="T17" s="4">
        <f t="shared" si="4"/>
        <v>422.40059212571043</v>
      </c>
      <c r="U17" s="47">
        <f t="shared" si="5"/>
        <v>16.759999999999277</v>
      </c>
      <c r="AB17" s="107" t="str">
        <f t="shared" si="13"/>
        <v>G#</v>
      </c>
      <c r="AC17" s="223">
        <v>4</v>
      </c>
      <c r="AD17" s="224">
        <f t="shared" si="6"/>
        <v>6758.4094740113669</v>
      </c>
      <c r="AE17" s="4">
        <f t="shared" si="16"/>
        <v>14.365332176568298</v>
      </c>
      <c r="AF17" s="228">
        <f t="shared" si="17"/>
        <v>14.365332176568298</v>
      </c>
    </row>
    <row r="18" spans="2:32" x14ac:dyDescent="0.2">
      <c r="B18" s="107" t="s">
        <v>76</v>
      </c>
      <c r="C18" s="75">
        <f t="shared" si="14"/>
        <v>10028.614703854308</v>
      </c>
      <c r="D18" s="156">
        <v>12.57</v>
      </c>
      <c r="E18" s="4">
        <f t="shared" si="7"/>
        <v>10101.694619507163</v>
      </c>
      <c r="F18" s="4">
        <f t="shared" si="8"/>
        <v>695.81000000000017</v>
      </c>
      <c r="G18" s="97">
        <v>5</v>
      </c>
      <c r="H18" s="148">
        <f t="shared" si="0"/>
        <v>315.67795685959885</v>
      </c>
      <c r="J18" s="85" t="s">
        <v>7</v>
      </c>
      <c r="K18" s="4">
        <f t="shared" si="1"/>
        <v>440.00000000000011</v>
      </c>
      <c r="L18" s="4">
        <f t="shared" si="2"/>
        <v>887.43000000000075</v>
      </c>
      <c r="M18" s="4">
        <f t="shared" si="9"/>
        <v>70.670000000000812</v>
      </c>
      <c r="N18" s="47">
        <f t="shared" si="10"/>
        <v>2156.1714599399429</v>
      </c>
      <c r="P18" s="123" t="str">
        <f t="shared" si="11"/>
        <v>A</v>
      </c>
      <c r="Q18" s="4">
        <f t="shared" si="15"/>
        <v>443.20634143765642</v>
      </c>
      <c r="R18" s="4">
        <f t="shared" si="12"/>
        <v>-12.570000000000066</v>
      </c>
      <c r="S18" s="145" t="str">
        <f t="shared" si="3"/>
        <v>D#</v>
      </c>
      <c r="T18" s="4">
        <f t="shared" si="4"/>
        <v>315.67795685959885</v>
      </c>
      <c r="U18" s="47">
        <f t="shared" si="5"/>
        <v>12.569999999999583</v>
      </c>
      <c r="AB18" s="107" t="str">
        <f t="shared" si="13"/>
        <v>D#</v>
      </c>
      <c r="AC18" s="223">
        <v>5</v>
      </c>
      <c r="AD18" s="224">
        <f t="shared" si="6"/>
        <v>10101.694619507163</v>
      </c>
      <c r="AE18" s="4">
        <f t="shared" si="16"/>
        <v>-2.0001128443970777</v>
      </c>
      <c r="AF18" s="228">
        <f t="shared" si="17"/>
        <v>-2.0001128443970777</v>
      </c>
    </row>
    <row r="19" spans="2:32" x14ac:dyDescent="0.2">
      <c r="B19" s="107" t="s">
        <v>73</v>
      </c>
      <c r="C19" s="75">
        <f t="shared" si="14"/>
        <v>15025.944382054455</v>
      </c>
      <c r="D19" s="156">
        <v>8.3800000000000008</v>
      </c>
      <c r="E19" s="4">
        <f t="shared" si="7"/>
        <v>15098.853447424064</v>
      </c>
      <c r="F19" s="4">
        <f t="shared" si="8"/>
        <v>695.81000000000017</v>
      </c>
      <c r="G19" s="97">
        <v>5</v>
      </c>
      <c r="H19" s="148">
        <f t="shared" si="0"/>
        <v>471.839170232002</v>
      </c>
      <c r="J19" s="85" t="s">
        <v>73</v>
      </c>
      <c r="K19" s="4">
        <f t="shared" si="1"/>
        <v>471.839170232002</v>
      </c>
      <c r="L19" s="4">
        <f t="shared" si="2"/>
        <v>1008.3800000000002</v>
      </c>
      <c r="M19" s="4">
        <f t="shared" si="9"/>
        <v>120.94999999999975</v>
      </c>
      <c r="N19" s="47">
        <f t="shared" si="10"/>
        <v>2010.6754636481205</v>
      </c>
      <c r="P19" s="123" t="str">
        <f t="shared" si="11"/>
        <v>A#</v>
      </c>
      <c r="Q19" s="4">
        <f t="shared" si="15"/>
        <v>469.56076193920183</v>
      </c>
      <c r="R19" s="4">
        <f t="shared" si="12"/>
        <v>8.3799999999995176</v>
      </c>
      <c r="S19" s="145" t="str">
        <f t="shared" si="3"/>
        <v>A#</v>
      </c>
      <c r="T19" s="4">
        <f t="shared" si="4"/>
        <v>471.839170232002</v>
      </c>
      <c r="U19" s="47">
        <f t="shared" si="5"/>
        <v>8.3799999999995176</v>
      </c>
      <c r="AB19" s="107" t="str">
        <f t="shared" si="13"/>
        <v>A#</v>
      </c>
      <c r="AC19" s="223">
        <v>5</v>
      </c>
      <c r="AD19" s="224">
        <f t="shared" si="6"/>
        <v>15098.853447424064</v>
      </c>
      <c r="AE19" s="4">
        <f t="shared" si="16"/>
        <v>-2.000112844396952</v>
      </c>
      <c r="AF19" s="228">
        <f t="shared" si="17"/>
        <v>-2.000112844396952</v>
      </c>
    </row>
    <row r="20" spans="2:32" x14ac:dyDescent="0.2">
      <c r="B20" s="107" t="s">
        <v>5</v>
      </c>
      <c r="C20" s="75">
        <f t="shared" si="14"/>
        <v>22513.478804387603</v>
      </c>
      <c r="D20" s="156">
        <v>4.1900000000000004</v>
      </c>
      <c r="E20" s="4">
        <f t="shared" si="7"/>
        <v>22568.032791899212</v>
      </c>
      <c r="F20" s="4">
        <f t="shared" si="8"/>
        <v>695.81</v>
      </c>
      <c r="G20" s="97">
        <v>6</v>
      </c>
      <c r="H20" s="148">
        <f t="shared" si="0"/>
        <v>352.62551237342518</v>
      </c>
      <c r="J20" s="85" t="s">
        <v>8</v>
      </c>
      <c r="K20" s="4">
        <f t="shared" si="1"/>
        <v>491.49844666954073</v>
      </c>
      <c r="L20" s="4">
        <f t="shared" si="2"/>
        <v>1079.0500000000006</v>
      </c>
      <c r="M20" s="4">
        <f t="shared" si="9"/>
        <v>70.670000000000456</v>
      </c>
      <c r="N20" s="47">
        <f t="shared" si="10"/>
        <v>1930.2511509490985</v>
      </c>
      <c r="P20" s="123" t="str">
        <f t="shared" si="11"/>
        <v>B</v>
      </c>
      <c r="Q20" s="4">
        <f t="shared" si="15"/>
        <v>497.48229783381521</v>
      </c>
      <c r="R20" s="4">
        <f t="shared" si="12"/>
        <v>-20.950000000000252</v>
      </c>
      <c r="S20" s="145" t="str">
        <f t="shared" si="3"/>
        <v>F</v>
      </c>
      <c r="T20" s="4">
        <f t="shared" si="4"/>
        <v>352.62551237342518</v>
      </c>
      <c r="U20" s="47">
        <f t="shared" si="5"/>
        <v>4.1899999999994915</v>
      </c>
      <c r="AB20" s="107" t="str">
        <f t="shared" si="13"/>
        <v>F</v>
      </c>
      <c r="AC20" s="223">
        <v>6</v>
      </c>
      <c r="AD20" s="224">
        <f t="shared" si="6"/>
        <v>22568.032791899212</v>
      </c>
      <c r="AE20" s="4">
        <f t="shared" si="16"/>
        <v>-2.0001128443970777</v>
      </c>
      <c r="AF20" s="228">
        <f t="shared" si="17"/>
        <v>-2.0001128443970777</v>
      </c>
    </row>
    <row r="21" spans="2:32" x14ac:dyDescent="0.2">
      <c r="B21" s="108" t="s">
        <v>78</v>
      </c>
      <c r="C21" s="88">
        <f t="shared" si="14"/>
        <v>33732.10461772712</v>
      </c>
      <c r="D21" s="157">
        <v>-7.6882236091558047E-13</v>
      </c>
      <c r="E21" s="53">
        <f t="shared" si="7"/>
        <v>33732.104617727106</v>
      </c>
      <c r="F21" s="53">
        <f t="shared" si="8"/>
        <v>695.8099999999996</v>
      </c>
      <c r="G21" s="98">
        <v>6</v>
      </c>
      <c r="H21" s="48">
        <f t="shared" si="0"/>
        <v>527.06413465198602</v>
      </c>
      <c r="J21" s="87" t="s">
        <v>78</v>
      </c>
      <c r="K21" s="53">
        <f t="shared" si="1"/>
        <v>527.06413465198602</v>
      </c>
      <c r="L21" s="53">
        <f t="shared" si="2"/>
        <v>1199.9999999999995</v>
      </c>
      <c r="M21" s="53">
        <f t="shared" si="9"/>
        <v>120.94999999999904</v>
      </c>
      <c r="N21" s="48">
        <f t="shared" si="10"/>
        <v>1800.0000000000005</v>
      </c>
      <c r="P21" s="108" t="str">
        <f t="shared" si="11"/>
        <v>c oct.</v>
      </c>
      <c r="Q21" s="53">
        <f t="shared" si="15"/>
        <v>527.06413465198636</v>
      </c>
      <c r="R21" s="53">
        <f t="shared" si="12"/>
        <v>-1.1532335413733707E-12</v>
      </c>
      <c r="S21" s="50" t="str">
        <f t="shared" si="3"/>
        <v>c oct.</v>
      </c>
      <c r="T21" s="53">
        <f t="shared" si="4"/>
        <v>527.06413465198602</v>
      </c>
      <c r="U21" s="48">
        <f t="shared" si="5"/>
        <v>-1.1532335413733707E-12</v>
      </c>
      <c r="AB21" s="108" t="str">
        <f t="shared" si="13"/>
        <v>c oct.</v>
      </c>
      <c r="AC21" s="226">
        <v>6</v>
      </c>
      <c r="AD21" s="227">
        <f t="shared" si="6"/>
        <v>33732.104617727106</v>
      </c>
      <c r="AE21" s="53">
        <f t="shared" si="16"/>
        <v>-2.0001128443971403</v>
      </c>
      <c r="AF21" s="229">
        <f t="shared" si="17"/>
        <v>-2.0001128443971403</v>
      </c>
    </row>
    <row r="22" spans="2:32" x14ac:dyDescent="0.2">
      <c r="B22" s="18"/>
      <c r="J22" s="86"/>
      <c r="P22" s="18"/>
      <c r="S22" s="18"/>
    </row>
    <row r="23" spans="2:32" x14ac:dyDescent="0.2">
      <c r="B23" s="18"/>
      <c r="J23" s="86"/>
      <c r="P23" s="18"/>
      <c r="S23" s="18"/>
    </row>
    <row r="24" spans="2:32" ht="18" x14ac:dyDescent="0.2">
      <c r="B24" s="18"/>
      <c r="J24" s="86"/>
      <c r="Q24" s="18"/>
      <c r="T24" s="18"/>
      <c r="X24" s="310" t="s">
        <v>522</v>
      </c>
      <c r="Y24" s="311"/>
      <c r="Z24" s="312"/>
    </row>
    <row r="25" spans="2:32" ht="18" x14ac:dyDescent="0.2">
      <c r="B25" s="310" t="s">
        <v>135</v>
      </c>
      <c r="C25" s="311"/>
      <c r="D25" s="311"/>
      <c r="E25" s="129">
        <f>1200*LOG(5/4,2)</f>
        <v>386.31371386483482</v>
      </c>
      <c r="F25" s="82" t="s">
        <v>16</v>
      </c>
      <c r="G25" s="130"/>
      <c r="H25" s="133"/>
      <c r="I25" s="310" t="s">
        <v>133</v>
      </c>
      <c r="J25" s="311"/>
      <c r="K25" s="311"/>
      <c r="L25" s="311"/>
      <c r="M25" s="311"/>
      <c r="N25" s="311"/>
      <c r="O25" s="312"/>
      <c r="Q25" s="310" t="s">
        <v>134</v>
      </c>
      <c r="R25" s="311"/>
      <c r="S25" s="311"/>
      <c r="T25" s="311"/>
      <c r="U25" s="311"/>
      <c r="V25" s="312"/>
      <c r="X25" s="51"/>
      <c r="Y25" s="89" t="s">
        <v>96</v>
      </c>
      <c r="Z25" s="159">
        <v>1</v>
      </c>
    </row>
    <row r="26" spans="2:32" s="84" customFormat="1" ht="64" customHeight="1" x14ac:dyDescent="0.2">
      <c r="B26" s="83" t="s">
        <v>130</v>
      </c>
      <c r="C26" s="84" t="s">
        <v>131</v>
      </c>
      <c r="D26" s="84" t="s">
        <v>132</v>
      </c>
      <c r="E26" s="84" t="str" cm="1">
        <f t="array" aca="1" ref="E26" ca="1">_xlfn.CONCAT(_xlfn.TEXTAFTER(CELL("filename",A2),"]")," Interval in cents")</f>
        <v>Template from ET Fifths Order Interval in cents</v>
      </c>
      <c r="F26" s="84" t="s">
        <v>18</v>
      </c>
      <c r="G26" s="52" t="str">
        <f>_xlfn.CONCAT("diff ",$F$2)</f>
        <v>diff 1/1 Cents</v>
      </c>
      <c r="I26" s="123" t="s">
        <v>130</v>
      </c>
      <c r="J26" s="84" t="s">
        <v>521</v>
      </c>
      <c r="K26" s="84" t="s">
        <v>132</v>
      </c>
      <c r="L26" s="146" t="s">
        <v>19</v>
      </c>
      <c r="M26" s="84" t="s">
        <v>130</v>
      </c>
      <c r="N26" s="84" t="s">
        <v>131</v>
      </c>
      <c r="O26" s="52" t="s">
        <v>20</v>
      </c>
      <c r="Q26" s="85" t="s">
        <v>21</v>
      </c>
      <c r="R26" s="84" t="s">
        <v>1</v>
      </c>
      <c r="S26" s="84" t="s">
        <v>12</v>
      </c>
      <c r="T26" s="84" t="s">
        <v>22</v>
      </c>
      <c r="U26" s="84" t="s">
        <v>23</v>
      </c>
      <c r="V26" s="52" t="s">
        <v>49</v>
      </c>
      <c r="X26" s="83" t="s">
        <v>0</v>
      </c>
      <c r="Y26" s="84" t="s">
        <v>93</v>
      </c>
      <c r="Z26" s="52" t="s">
        <v>92</v>
      </c>
    </row>
    <row r="27" spans="2:32" x14ac:dyDescent="0.2">
      <c r="B27" s="123" t="s">
        <v>2</v>
      </c>
      <c r="C27" s="145" t="s">
        <v>4</v>
      </c>
      <c r="D27" s="97">
        <v>1</v>
      </c>
      <c r="E27" s="4">
        <f t="shared" ref="E27:E38" si="18">LOG(D27*VLOOKUP(C27,Master_Frequencies,2,FALSE)/VLOOKUP(B27,Master_Frequencies,2,FALSE),2)*1200</f>
        <v>383.24000000000069</v>
      </c>
      <c r="F27" s="4">
        <f t="shared" ref="F27:F38" si="19">VLOOKUP(B27,Master_Frequencies,2,FALSE)*5/4</f>
        <v>329.41508415749132</v>
      </c>
      <c r="G27" s="47">
        <f t="shared" ref="G27:G38" si="20">IF($D$2="Cents",LOG(VLOOKUP(C27,Master_Frequencies,2,FALSE)/F27,2)*1200*$F$3,LOG(D27*VLOOKUP(C27,Master_Frequencies,2,FALSE)/F27,$F$3))</f>
        <v>-3.0719389307549338</v>
      </c>
      <c r="I27" s="123" t="s">
        <v>2</v>
      </c>
      <c r="J27" s="145" t="s">
        <v>6</v>
      </c>
      <c r="K27" s="97">
        <v>1</v>
      </c>
      <c r="L27" s="191">
        <f t="shared" ref="L27:L38" si="21">K27*VLOOKUP(J27,Master_Frequencies,2,FALSE)/VLOOKUP(I27,Master_Frequencies,2,FALSE)</f>
        <v>1.4946852004679487</v>
      </c>
      <c r="M27" s="145" t="s">
        <v>2</v>
      </c>
      <c r="N27" s="145" t="s">
        <v>4</v>
      </c>
      <c r="O27" s="191">
        <f t="shared" ref="O27:O38" si="22">D27*VLOOKUP(N27,Master_Frequencies,2,FALSE)/VLOOKUP(M27,Master_Frequencies,2,FALSE)</f>
        <v>1.2477826605298106</v>
      </c>
      <c r="Q27" s="99">
        <v>1</v>
      </c>
      <c r="R27" s="18">
        <f>$E$9*Q27</f>
        <v>263.53206732599307</v>
      </c>
      <c r="S27" s="97">
        <v>0</v>
      </c>
      <c r="T27" s="4">
        <f>R27/POWER(2,S27)</f>
        <v>263.53206732599307</v>
      </c>
      <c r="U27" s="18" t="str" cm="1">
        <f t="array" ref="U27">_xlfn.XLOOKUP(0,ABS($C$44:$C$56-T27),$B$44:$B$56,,1)</f>
        <v>C</v>
      </c>
      <c r="V27" s="47">
        <f t="shared" ref="V27:V39" si="23">LOG(T27/VLOOKUP(U27,Master_Frequencies,2,FALSE),2)*1200</f>
        <v>0</v>
      </c>
      <c r="X27" s="85" t="s">
        <v>2</v>
      </c>
      <c r="Y27" s="4">
        <f t="shared" ref="Y27:Y39" si="24">VLOOKUP(X27,Master_Frequencies,2,FALSE)/POWER(2,$Z$25)</f>
        <v>131.76603366299653</v>
      </c>
      <c r="Z27" s="47">
        <f t="shared" ref="Z27:Z39" si="25">VLOOKUP(X27,Master_Frequencies,2,FALSE)*POWER(2,$Z$25)</f>
        <v>527.06413465198614</v>
      </c>
    </row>
    <row r="28" spans="2:32" x14ac:dyDescent="0.2">
      <c r="B28" s="123" t="s">
        <v>74</v>
      </c>
      <c r="C28" s="145" t="s">
        <v>5</v>
      </c>
      <c r="D28" s="97">
        <v>1</v>
      </c>
      <c r="E28" s="4">
        <f t="shared" si="18"/>
        <v>433.51999999999936</v>
      </c>
      <c r="F28" s="4">
        <f t="shared" si="19"/>
        <v>343.1402316456979</v>
      </c>
      <c r="G28" s="47">
        <f t="shared" si="20"/>
        <v>47.179026588671825</v>
      </c>
      <c r="I28" s="123" t="s">
        <v>74</v>
      </c>
      <c r="J28" s="145" t="s">
        <v>72</v>
      </c>
      <c r="K28" s="97">
        <v>1</v>
      </c>
      <c r="L28" s="191">
        <f t="shared" si="21"/>
        <v>1.5387316655492438</v>
      </c>
      <c r="M28" s="145" t="s">
        <v>74</v>
      </c>
      <c r="N28" s="145" t="s">
        <v>5</v>
      </c>
      <c r="O28" s="191">
        <f t="shared" si="22"/>
        <v>1.2845532228989733</v>
      </c>
      <c r="Q28" s="99">
        <v>2</v>
      </c>
      <c r="R28" s="18">
        <f t="shared" ref="R28:R39" si="26">$E$9*Q28</f>
        <v>527.06413465198614</v>
      </c>
      <c r="S28" s="97">
        <v>0</v>
      </c>
      <c r="T28" s="4">
        <f t="shared" ref="T28:T39" si="27">R28/POWER(2,S28)</f>
        <v>527.06413465198614</v>
      </c>
      <c r="U28" s="18" t="str" cm="1">
        <f t="array" ref="U28">_xlfn.XLOOKUP(0,ABS($C$44:$C$56-T28),$B$44:$B$56,,1)</f>
        <v>c oct.</v>
      </c>
      <c r="V28" s="47">
        <f t="shared" si="23"/>
        <v>3.8441118045779013E-13</v>
      </c>
      <c r="X28" s="85" t="s">
        <v>74</v>
      </c>
      <c r="Y28" s="4">
        <f t="shared" si="24"/>
        <v>137.25609265827916</v>
      </c>
      <c r="Z28" s="47">
        <f t="shared" si="25"/>
        <v>549.02437063311663</v>
      </c>
    </row>
    <row r="29" spans="2:32" x14ac:dyDescent="0.2">
      <c r="B29" s="123" t="s">
        <v>3</v>
      </c>
      <c r="C29" s="145" t="s">
        <v>70</v>
      </c>
      <c r="D29" s="97">
        <v>1</v>
      </c>
      <c r="E29" s="4">
        <f t="shared" si="18"/>
        <v>383.24000000000069</v>
      </c>
      <c r="F29" s="4">
        <f t="shared" si="19"/>
        <v>367.97045948391593</v>
      </c>
      <c r="G29" s="47">
        <f t="shared" si="20"/>
        <v>-3.0719389307553189</v>
      </c>
      <c r="I29" s="123" t="s">
        <v>3</v>
      </c>
      <c r="J29" s="145" t="s">
        <v>7</v>
      </c>
      <c r="K29" s="97">
        <v>1</v>
      </c>
      <c r="L29" s="191">
        <f t="shared" si="21"/>
        <v>1.4946852004679489</v>
      </c>
      <c r="M29" s="145" t="s">
        <v>3</v>
      </c>
      <c r="N29" s="145" t="s">
        <v>70</v>
      </c>
      <c r="O29" s="191">
        <f t="shared" si="22"/>
        <v>1.2477826605298106</v>
      </c>
      <c r="Q29" s="99">
        <v>3</v>
      </c>
      <c r="R29" s="18">
        <f t="shared" si="26"/>
        <v>790.59620197797926</v>
      </c>
      <c r="S29" s="97">
        <v>1</v>
      </c>
      <c r="T29" s="4">
        <f t="shared" si="27"/>
        <v>395.29810098898963</v>
      </c>
      <c r="U29" s="18" t="str" cm="1">
        <f t="array" ref="U29">_xlfn.XLOOKUP(0,ABS($C$44:$C$56-T29),$B$44:$B$56,,1)</f>
        <v>G</v>
      </c>
      <c r="V29" s="47">
        <f t="shared" si="23"/>
        <v>6.1450008653873898</v>
      </c>
      <c r="X29" s="85" t="s">
        <v>3</v>
      </c>
      <c r="Y29" s="4">
        <f t="shared" si="24"/>
        <v>147.18818379356637</v>
      </c>
      <c r="Z29" s="47">
        <f t="shared" si="25"/>
        <v>588.75273517426547</v>
      </c>
    </row>
    <row r="30" spans="2:32" x14ac:dyDescent="0.2">
      <c r="B30" s="123" t="s">
        <v>76</v>
      </c>
      <c r="C30" s="145" t="s">
        <v>6</v>
      </c>
      <c r="D30" s="97">
        <v>1</v>
      </c>
      <c r="E30" s="4">
        <f t="shared" si="18"/>
        <v>383.24000000000035</v>
      </c>
      <c r="F30" s="4">
        <f t="shared" si="19"/>
        <v>394.59744607449858</v>
      </c>
      <c r="G30" s="47">
        <f t="shared" si="20"/>
        <v>-3.0719389307557035</v>
      </c>
      <c r="I30" s="123" t="s">
        <v>76</v>
      </c>
      <c r="J30" s="145" t="s">
        <v>73</v>
      </c>
      <c r="K30" s="97">
        <v>1</v>
      </c>
      <c r="L30" s="191">
        <f t="shared" si="21"/>
        <v>1.4946852004679487</v>
      </c>
      <c r="M30" s="145" t="s">
        <v>76</v>
      </c>
      <c r="N30" s="145" t="s">
        <v>6</v>
      </c>
      <c r="O30" s="191">
        <f t="shared" si="22"/>
        <v>1.2477826605298104</v>
      </c>
      <c r="Q30" s="99">
        <v>4</v>
      </c>
      <c r="R30" s="18">
        <f t="shared" si="26"/>
        <v>1054.1282693039723</v>
      </c>
      <c r="S30" s="97">
        <v>1</v>
      </c>
      <c r="T30" s="4">
        <f t="shared" si="27"/>
        <v>527.06413465198614</v>
      </c>
      <c r="U30" s="18" t="str" cm="1">
        <f t="array" ref="U30">_xlfn.XLOOKUP(0,ABS($C$44:$C$56-T30),$B$44:$B$56,,1)</f>
        <v>c oct.</v>
      </c>
      <c r="V30" s="47">
        <f t="shared" si="23"/>
        <v>3.8441118045779013E-13</v>
      </c>
      <c r="X30" s="85" t="s">
        <v>76</v>
      </c>
      <c r="Y30" s="4">
        <f t="shared" si="24"/>
        <v>157.83897842979943</v>
      </c>
      <c r="Z30" s="47">
        <f t="shared" si="25"/>
        <v>631.3559137191977</v>
      </c>
    </row>
    <row r="31" spans="2:32" x14ac:dyDescent="0.2">
      <c r="B31" s="123" t="s">
        <v>4</v>
      </c>
      <c r="C31" s="145" t="s">
        <v>72</v>
      </c>
      <c r="D31" s="97">
        <v>1</v>
      </c>
      <c r="E31" s="4">
        <f t="shared" si="18"/>
        <v>433.51999999999936</v>
      </c>
      <c r="F31" s="4">
        <f t="shared" si="19"/>
        <v>411.038430128686</v>
      </c>
      <c r="G31" s="47">
        <f t="shared" si="20"/>
        <v>47.179026588672187</v>
      </c>
      <c r="I31" s="123" t="s">
        <v>4</v>
      </c>
      <c r="J31" s="145" t="s">
        <v>8</v>
      </c>
      <c r="K31" s="97">
        <v>1</v>
      </c>
      <c r="L31" s="191">
        <f t="shared" si="21"/>
        <v>1.4946852004679485</v>
      </c>
      <c r="M31" s="145" t="s">
        <v>4</v>
      </c>
      <c r="N31" s="145" t="s">
        <v>72</v>
      </c>
      <c r="O31" s="191">
        <f t="shared" si="22"/>
        <v>1.2845532228989733</v>
      </c>
      <c r="Q31" s="99">
        <v>5</v>
      </c>
      <c r="R31" s="18">
        <f t="shared" si="26"/>
        <v>1317.6603366299653</v>
      </c>
      <c r="S31" s="97">
        <v>2</v>
      </c>
      <c r="T31" s="4">
        <f t="shared" si="27"/>
        <v>329.41508415749132</v>
      </c>
      <c r="U31" s="18" t="str" cm="1">
        <f t="array" ref="U31">_xlfn.XLOOKUP(0,ABS($C$44:$C$56-T31),$B$44:$B$56,,1)</f>
        <v>E</v>
      </c>
      <c r="V31" s="47">
        <f t="shared" si="23"/>
        <v>3.0737138648340117</v>
      </c>
      <c r="X31" s="85" t="s">
        <v>4</v>
      </c>
      <c r="Y31" s="4">
        <f t="shared" si="24"/>
        <v>164.41537205147441</v>
      </c>
      <c r="Z31" s="47">
        <f t="shared" si="25"/>
        <v>657.66148820589763</v>
      </c>
    </row>
    <row r="32" spans="2:32" x14ac:dyDescent="0.2">
      <c r="B32" s="123" t="s">
        <v>5</v>
      </c>
      <c r="C32" s="145" t="s">
        <v>7</v>
      </c>
      <c r="D32" s="97">
        <v>1</v>
      </c>
      <c r="E32" s="4">
        <f t="shared" si="18"/>
        <v>383.24000000000069</v>
      </c>
      <c r="F32" s="4">
        <f t="shared" si="19"/>
        <v>440.78189046678148</v>
      </c>
      <c r="G32" s="47">
        <f t="shared" si="20"/>
        <v>-3.0719389307551261</v>
      </c>
      <c r="I32" s="123" t="s">
        <v>5</v>
      </c>
      <c r="J32" s="145" t="s">
        <v>78</v>
      </c>
      <c r="K32" s="97">
        <v>1</v>
      </c>
      <c r="L32" s="191">
        <f t="shared" si="21"/>
        <v>1.4946852004679483</v>
      </c>
      <c r="M32" s="145" t="s">
        <v>5</v>
      </c>
      <c r="N32" s="145" t="s">
        <v>7</v>
      </c>
      <c r="O32" s="191">
        <f t="shared" si="22"/>
        <v>1.2477826605298106</v>
      </c>
      <c r="Q32" s="99">
        <v>6</v>
      </c>
      <c r="R32" s="18">
        <f t="shared" si="26"/>
        <v>1581.1924039559585</v>
      </c>
      <c r="S32" s="97">
        <v>2</v>
      </c>
      <c r="T32" s="4">
        <f t="shared" si="27"/>
        <v>395.29810098898963</v>
      </c>
      <c r="U32" s="18" t="str" cm="1">
        <f t="array" ref="U32">_xlfn.XLOOKUP(0,ABS($C$44:$C$56-T32),$B$44:$B$56,,1)</f>
        <v>G</v>
      </c>
      <c r="V32" s="47">
        <f t="shared" si="23"/>
        <v>6.1450008653873898</v>
      </c>
      <c r="X32" s="85" t="s">
        <v>5</v>
      </c>
      <c r="Y32" s="4">
        <f t="shared" si="24"/>
        <v>176.31275618671259</v>
      </c>
      <c r="Z32" s="47">
        <f t="shared" si="25"/>
        <v>705.25102474685036</v>
      </c>
    </row>
    <row r="33" spans="2:26" x14ac:dyDescent="0.2">
      <c r="B33" s="123" t="s">
        <v>70</v>
      </c>
      <c r="C33" s="145" t="s">
        <v>73</v>
      </c>
      <c r="D33" s="97">
        <v>1</v>
      </c>
      <c r="E33" s="4">
        <f t="shared" si="18"/>
        <v>433.51999999999936</v>
      </c>
      <c r="F33" s="4">
        <f t="shared" si="19"/>
        <v>459.14715893121746</v>
      </c>
      <c r="G33" s="47">
        <f t="shared" si="20"/>
        <v>47.179026588672187</v>
      </c>
      <c r="I33" s="123" t="s">
        <v>70</v>
      </c>
      <c r="J33" s="145" t="s">
        <v>74</v>
      </c>
      <c r="K33" s="97">
        <v>2</v>
      </c>
      <c r="L33" s="191">
        <f t="shared" si="21"/>
        <v>1.4946852004679485</v>
      </c>
      <c r="M33" s="145" t="s">
        <v>70</v>
      </c>
      <c r="N33" s="145" t="s">
        <v>73</v>
      </c>
      <c r="O33" s="191">
        <f t="shared" si="22"/>
        <v>1.2845532228989733</v>
      </c>
      <c r="Q33" s="99">
        <v>7</v>
      </c>
      <c r="R33" s="18">
        <f t="shared" si="26"/>
        <v>1844.7244712819515</v>
      </c>
      <c r="S33" s="97">
        <v>2</v>
      </c>
      <c r="T33" s="4">
        <f t="shared" si="27"/>
        <v>461.18111782048788</v>
      </c>
      <c r="U33" s="18" t="str" cm="1">
        <f t="array" ref="U33">_xlfn.XLOOKUP(0,ABS($C$44:$C$56-T33),$B$44:$B$56,,1)</f>
        <v>A#</v>
      </c>
      <c r="V33" s="47">
        <f t="shared" si="23"/>
        <v>-39.554093530875122</v>
      </c>
      <c r="X33" s="85" t="s">
        <v>70</v>
      </c>
      <c r="Y33" s="4">
        <f t="shared" si="24"/>
        <v>183.65886357248698</v>
      </c>
      <c r="Z33" s="47">
        <f t="shared" si="25"/>
        <v>734.63545428994792</v>
      </c>
    </row>
    <row r="34" spans="2:26" x14ac:dyDescent="0.2">
      <c r="B34" s="123" t="s">
        <v>6</v>
      </c>
      <c r="C34" s="145" t="s">
        <v>8</v>
      </c>
      <c r="D34" s="97">
        <v>1</v>
      </c>
      <c r="E34" s="4">
        <f t="shared" si="18"/>
        <v>383.24000000000035</v>
      </c>
      <c r="F34" s="4">
        <f t="shared" si="19"/>
        <v>492.37185110110613</v>
      </c>
      <c r="G34" s="47">
        <f t="shared" si="20"/>
        <v>-3.0719389307553189</v>
      </c>
      <c r="I34" s="123" t="s">
        <v>6</v>
      </c>
      <c r="J34" s="145" t="s">
        <v>3</v>
      </c>
      <c r="K34" s="97">
        <v>2</v>
      </c>
      <c r="L34" s="191">
        <f t="shared" si="21"/>
        <v>1.4946852004679487</v>
      </c>
      <c r="M34" s="145" t="s">
        <v>6</v>
      </c>
      <c r="N34" s="145" t="s">
        <v>8</v>
      </c>
      <c r="O34" s="191">
        <f t="shared" si="22"/>
        <v>1.2477826605298104</v>
      </c>
      <c r="Q34" s="99">
        <v>8</v>
      </c>
      <c r="R34" s="18">
        <f t="shared" si="26"/>
        <v>2108.2565386079445</v>
      </c>
      <c r="S34" s="97">
        <v>3</v>
      </c>
      <c r="T34" s="4">
        <f t="shared" si="27"/>
        <v>263.53206732599307</v>
      </c>
      <c r="U34" s="18" t="str" cm="1">
        <f t="array" ref="U34">_xlfn.XLOOKUP(0,ABS($C$44:$C$56-T34),$B$44:$B$56,,1)</f>
        <v>C</v>
      </c>
      <c r="V34" s="47">
        <f t="shared" si="23"/>
        <v>0</v>
      </c>
      <c r="X34" s="85" t="s">
        <v>6</v>
      </c>
      <c r="Y34" s="4">
        <f t="shared" si="24"/>
        <v>196.94874044044246</v>
      </c>
      <c r="Z34" s="47">
        <f t="shared" si="25"/>
        <v>787.79496176176986</v>
      </c>
    </row>
    <row r="35" spans="2:26" x14ac:dyDescent="0.2">
      <c r="B35" s="123" t="s">
        <v>72</v>
      </c>
      <c r="C35" s="145" t="s">
        <v>78</v>
      </c>
      <c r="D35" s="97">
        <v>1</v>
      </c>
      <c r="E35" s="4">
        <f t="shared" si="18"/>
        <v>383.23999999999967</v>
      </c>
      <c r="F35" s="4">
        <f t="shared" si="19"/>
        <v>528.00074015713801</v>
      </c>
      <c r="G35" s="47">
        <f t="shared" si="20"/>
        <v>-3.0719389307560885</v>
      </c>
      <c r="I35" s="123" t="s">
        <v>72</v>
      </c>
      <c r="J35" s="145" t="s">
        <v>76</v>
      </c>
      <c r="K35" s="97">
        <v>2</v>
      </c>
      <c r="L35" s="191">
        <f t="shared" si="21"/>
        <v>1.4946852004679487</v>
      </c>
      <c r="M35" s="145" t="s">
        <v>72</v>
      </c>
      <c r="N35" s="145" t="s">
        <v>78</v>
      </c>
      <c r="O35" s="191">
        <f t="shared" si="22"/>
        <v>1.2477826605298099</v>
      </c>
      <c r="Q35" s="99">
        <v>9</v>
      </c>
      <c r="R35" s="18">
        <f t="shared" si="26"/>
        <v>2371.7886059339376</v>
      </c>
      <c r="S35" s="97">
        <v>3</v>
      </c>
      <c r="T35" s="4">
        <f t="shared" si="27"/>
        <v>296.4735757417422</v>
      </c>
      <c r="U35" s="18" t="str" cm="1">
        <f t="array" ref="U35">_xlfn.XLOOKUP(0,ABS($C$44:$C$56-T35),$B$44:$B$56,,1)</f>
        <v>D</v>
      </c>
      <c r="V35" s="47">
        <f t="shared" si="23"/>
        <v>12.290001730774589</v>
      </c>
      <c r="X35" s="85" t="s">
        <v>72</v>
      </c>
      <c r="Y35" s="4">
        <f t="shared" si="24"/>
        <v>211.20029606285522</v>
      </c>
      <c r="Z35" s="47">
        <f t="shared" si="25"/>
        <v>844.80118425142086</v>
      </c>
    </row>
    <row r="36" spans="2:26" x14ac:dyDescent="0.2">
      <c r="B36" s="123" t="s">
        <v>7</v>
      </c>
      <c r="C36" s="145" t="s">
        <v>74</v>
      </c>
      <c r="D36" s="97">
        <v>2</v>
      </c>
      <c r="E36" s="4">
        <f t="shared" si="18"/>
        <v>383.24</v>
      </c>
      <c r="F36" s="4">
        <f t="shared" si="19"/>
        <v>550.00000000000011</v>
      </c>
      <c r="G36" s="47">
        <f t="shared" si="20"/>
        <v>-1202.3789919004125</v>
      </c>
      <c r="I36" s="123" t="s">
        <v>7</v>
      </c>
      <c r="J36" s="145" t="s">
        <v>4</v>
      </c>
      <c r="K36" s="97">
        <v>2</v>
      </c>
      <c r="L36" s="191">
        <f t="shared" si="21"/>
        <v>1.4946852004679487</v>
      </c>
      <c r="M36" s="145" t="s">
        <v>7</v>
      </c>
      <c r="N36" s="145" t="s">
        <v>74</v>
      </c>
      <c r="O36" s="191">
        <f t="shared" si="22"/>
        <v>1.2477826605298101</v>
      </c>
      <c r="Q36" s="99">
        <v>10</v>
      </c>
      <c r="R36" s="18">
        <f t="shared" si="26"/>
        <v>2635.3206732599306</v>
      </c>
      <c r="S36" s="97">
        <v>3</v>
      </c>
      <c r="T36" s="4">
        <f t="shared" si="27"/>
        <v>329.41508415749132</v>
      </c>
      <c r="U36" s="18" t="str" cm="1">
        <f t="array" ref="U36">_xlfn.XLOOKUP(0,ABS($C$44:$C$56-T36),$B$44:$B$56,,1)</f>
        <v>E</v>
      </c>
      <c r="V36" s="47">
        <f t="shared" si="23"/>
        <v>3.0737138648340117</v>
      </c>
      <c r="X36" s="85" t="s">
        <v>7</v>
      </c>
      <c r="Y36" s="4">
        <f t="shared" si="24"/>
        <v>220.00000000000006</v>
      </c>
      <c r="Z36" s="47">
        <f t="shared" si="25"/>
        <v>880.00000000000023</v>
      </c>
    </row>
    <row r="37" spans="2:26" x14ac:dyDescent="0.2">
      <c r="B37" s="123" t="s">
        <v>73</v>
      </c>
      <c r="C37" s="145" t="s">
        <v>3</v>
      </c>
      <c r="D37" s="97">
        <v>2</v>
      </c>
      <c r="E37" s="4">
        <f t="shared" si="18"/>
        <v>383.24</v>
      </c>
      <c r="F37" s="4">
        <f t="shared" si="19"/>
        <v>589.79896279000252</v>
      </c>
      <c r="G37" s="47">
        <f t="shared" si="20"/>
        <v>-1202.3789919004125</v>
      </c>
      <c r="I37" s="123" t="s">
        <v>73</v>
      </c>
      <c r="J37" s="145" t="s">
        <v>5</v>
      </c>
      <c r="K37" s="97">
        <v>2</v>
      </c>
      <c r="L37" s="191">
        <f t="shared" si="21"/>
        <v>1.4946852004679485</v>
      </c>
      <c r="M37" s="145" t="s">
        <v>73</v>
      </c>
      <c r="N37" s="145" t="s">
        <v>3</v>
      </c>
      <c r="O37" s="191">
        <f t="shared" si="22"/>
        <v>1.2477826605298101</v>
      </c>
      <c r="Q37" s="99">
        <v>11</v>
      </c>
      <c r="R37" s="18">
        <f t="shared" si="26"/>
        <v>2898.8527405859236</v>
      </c>
      <c r="S37" s="97">
        <v>3</v>
      </c>
      <c r="T37" s="4">
        <f t="shared" si="27"/>
        <v>362.35659257324045</v>
      </c>
      <c r="U37" s="18" t="str" cm="1">
        <f t="array" ref="U37">_xlfn.XLOOKUP(0,ABS($C$44:$C$56-T37),$B$44:$B$56,,1)</f>
        <v>F#</v>
      </c>
      <c r="V37" s="47">
        <f t="shared" si="23"/>
        <v>-23.542057635244191</v>
      </c>
      <c r="X37" s="85" t="s">
        <v>73</v>
      </c>
      <c r="Y37" s="4">
        <f t="shared" si="24"/>
        <v>235.919585116001</v>
      </c>
      <c r="Z37" s="47">
        <f t="shared" si="25"/>
        <v>943.67834046400401</v>
      </c>
    </row>
    <row r="38" spans="2:26" x14ac:dyDescent="0.2">
      <c r="B38" s="124" t="s">
        <v>8</v>
      </c>
      <c r="C38" s="153" t="s">
        <v>76</v>
      </c>
      <c r="D38" s="98">
        <v>2</v>
      </c>
      <c r="E38" s="53">
        <f t="shared" si="18"/>
        <v>433.51999999999936</v>
      </c>
      <c r="F38" s="53">
        <f t="shared" si="19"/>
        <v>614.37305833692585</v>
      </c>
      <c r="G38" s="48">
        <f t="shared" si="20"/>
        <v>-1152.1280263809847</v>
      </c>
      <c r="I38" s="124" t="s">
        <v>8</v>
      </c>
      <c r="J38" s="153" t="s">
        <v>70</v>
      </c>
      <c r="K38" s="98">
        <v>2</v>
      </c>
      <c r="L38" s="192">
        <f t="shared" si="21"/>
        <v>1.4946852004679487</v>
      </c>
      <c r="M38" s="153" t="s">
        <v>8</v>
      </c>
      <c r="N38" s="153" t="s">
        <v>76</v>
      </c>
      <c r="O38" s="192">
        <f t="shared" si="22"/>
        <v>1.2845532228989733</v>
      </c>
      <c r="Q38" s="99">
        <v>12</v>
      </c>
      <c r="R38" s="18">
        <f t="shared" si="26"/>
        <v>3162.3848079119171</v>
      </c>
      <c r="S38" s="97">
        <v>3</v>
      </c>
      <c r="T38" s="4">
        <f t="shared" si="27"/>
        <v>395.29810098898963</v>
      </c>
      <c r="U38" s="18" t="str" cm="1">
        <f t="array" ref="U38">_xlfn.XLOOKUP(0,ABS($C$44:$C$56-T38),$B$44:$B$56,,1)</f>
        <v>G</v>
      </c>
      <c r="V38" s="47">
        <f t="shared" si="23"/>
        <v>6.1450008653873898</v>
      </c>
      <c r="X38" s="85" t="s">
        <v>8</v>
      </c>
      <c r="Y38" s="4">
        <f t="shared" si="24"/>
        <v>245.74922333477036</v>
      </c>
      <c r="Z38" s="47">
        <f t="shared" si="25"/>
        <v>982.99689333908145</v>
      </c>
    </row>
    <row r="39" spans="2:26" x14ac:dyDescent="0.2">
      <c r="Q39" s="100">
        <v>13</v>
      </c>
      <c r="R39" s="50">
        <f t="shared" si="26"/>
        <v>3425.9168752379101</v>
      </c>
      <c r="S39" s="98">
        <v>3</v>
      </c>
      <c r="T39" s="53">
        <f t="shared" si="27"/>
        <v>428.23960940473876</v>
      </c>
      <c r="U39" s="50" t="str" cm="1">
        <f t="array" ref="U39">_xlfn.XLOOKUP(0,ABS($C$44:$C$56-T39),$B$44:$B$56,,1)</f>
        <v>G#</v>
      </c>
      <c r="V39" s="48">
        <f t="shared" si="23"/>
        <v>23.767661769310642</v>
      </c>
      <c r="X39" s="87" t="s">
        <v>78</v>
      </c>
      <c r="Y39" s="53">
        <f t="shared" si="24"/>
        <v>263.53206732599301</v>
      </c>
      <c r="Z39" s="48">
        <f t="shared" si="25"/>
        <v>1054.128269303972</v>
      </c>
    </row>
    <row r="40" spans="2:26" ht="16" x14ac:dyDescent="0.2">
      <c r="B40" s="80" t="s">
        <v>63</v>
      </c>
    </row>
    <row r="41" spans="2:26" ht="17" thickBot="1" x14ac:dyDescent="0.25">
      <c r="B41" s="80"/>
    </row>
    <row r="42" spans="2:26" ht="16" thickTop="1" x14ac:dyDescent="0.2">
      <c r="B42" s="308" t="s">
        <v>138</v>
      </c>
      <c r="C42" s="309"/>
    </row>
    <row r="43" spans="2:26" ht="32" x14ac:dyDescent="0.2">
      <c r="B43" s="90" t="s">
        <v>14</v>
      </c>
      <c r="C43" s="91" t="s">
        <v>15</v>
      </c>
    </row>
    <row r="44" spans="2:26" x14ac:dyDescent="0.2">
      <c r="B44" s="92" t="s">
        <v>2</v>
      </c>
      <c r="C44" s="93">
        <f>VLOOKUP(B44,$B$9:$H$21,7,FALSE)</f>
        <v>263.53206732599307</v>
      </c>
    </row>
    <row r="45" spans="2:26" x14ac:dyDescent="0.2">
      <c r="B45" s="92" t="s">
        <v>74</v>
      </c>
      <c r="C45" s="93">
        <f t="shared" ref="C45:C56" si="28">VLOOKUP(B45,$B$9:$H$21,7,FALSE)</f>
        <v>274.51218531655832</v>
      </c>
    </row>
    <row r="46" spans="2:26" x14ac:dyDescent="0.2">
      <c r="B46" s="92" t="s">
        <v>3</v>
      </c>
      <c r="C46" s="93">
        <f t="shared" si="28"/>
        <v>294.37636758713273</v>
      </c>
    </row>
    <row r="47" spans="2:26" x14ac:dyDescent="0.2">
      <c r="B47" s="92" t="s">
        <v>76</v>
      </c>
      <c r="C47" s="93">
        <f t="shared" si="28"/>
        <v>315.67795685959885</v>
      </c>
    </row>
    <row r="48" spans="2:26" x14ac:dyDescent="0.2">
      <c r="B48" s="92" t="s">
        <v>4</v>
      </c>
      <c r="C48" s="93">
        <f t="shared" si="28"/>
        <v>328.83074410294881</v>
      </c>
    </row>
    <row r="49" spans="2:3" x14ac:dyDescent="0.2">
      <c r="B49" s="92" t="s">
        <v>5</v>
      </c>
      <c r="C49" s="93">
        <f t="shared" si="28"/>
        <v>352.62551237342518</v>
      </c>
    </row>
    <row r="50" spans="2:3" x14ac:dyDescent="0.2">
      <c r="B50" s="92" t="s">
        <v>70</v>
      </c>
      <c r="C50" s="93">
        <f t="shared" si="28"/>
        <v>367.31772714497396</v>
      </c>
    </row>
    <row r="51" spans="2:3" x14ac:dyDescent="0.2">
      <c r="B51" s="92" t="s">
        <v>6</v>
      </c>
      <c r="C51" s="93">
        <f t="shared" si="28"/>
        <v>393.89748088088493</v>
      </c>
    </row>
    <row r="52" spans="2:3" x14ac:dyDescent="0.2">
      <c r="B52" s="92" t="s">
        <v>72</v>
      </c>
      <c r="C52" s="93">
        <f t="shared" si="28"/>
        <v>422.40059212571043</v>
      </c>
    </row>
    <row r="53" spans="2:3" x14ac:dyDescent="0.2">
      <c r="B53" s="92" t="s">
        <v>7</v>
      </c>
      <c r="C53" s="93">
        <f t="shared" si="28"/>
        <v>440.00000000000011</v>
      </c>
    </row>
    <row r="54" spans="2:3" x14ac:dyDescent="0.2">
      <c r="B54" s="92" t="s">
        <v>73</v>
      </c>
      <c r="C54" s="93">
        <f t="shared" si="28"/>
        <v>471.839170232002</v>
      </c>
    </row>
    <row r="55" spans="2:3" x14ac:dyDescent="0.2">
      <c r="B55" s="92" t="s">
        <v>8</v>
      </c>
      <c r="C55" s="93">
        <f t="shared" si="28"/>
        <v>491.49844666954073</v>
      </c>
    </row>
    <row r="56" spans="2:3" ht="16" thickBot="1" x14ac:dyDescent="0.25">
      <c r="B56" s="94" t="s">
        <v>78</v>
      </c>
      <c r="C56" s="95">
        <f t="shared" si="28"/>
        <v>527.06413465198602</v>
      </c>
    </row>
    <row r="57" spans="2:3" ht="16" thickTop="1" x14ac:dyDescent="0.2"/>
  </sheetData>
  <sheetProtection sheet="1" scenarios="1" formatCells="0"/>
  <mergeCells count="10">
    <mergeCell ref="AB7:AF7"/>
    <mergeCell ref="X24:Z24"/>
    <mergeCell ref="B1:H1"/>
    <mergeCell ref="B42:C42"/>
    <mergeCell ref="B7:H7"/>
    <mergeCell ref="J7:N7"/>
    <mergeCell ref="P7:U7"/>
    <mergeCell ref="B25:D25"/>
    <mergeCell ref="I25:O25"/>
    <mergeCell ref="Q25:V25"/>
  </mergeCells>
  <conditionalFormatting sqref="A1:XFD1048576">
    <cfRule type="expression" dxfId="3" priority="1">
      <formula>_xlfn.ISFORMULA(A1)</formula>
    </cfRule>
    <cfRule type="expression" dxfId="2" priority="2">
      <formula>CELL("protect",A1)=0</formula>
    </cfRule>
  </conditionalFormatting>
  <dataValidations count="1">
    <dataValidation type="list" showInputMessage="1" showErrorMessage="1" errorTitle="Choose from list" error="You must choose the units from the list:_x000a_Pythagoream Comma_x000a_Syntonic Comma_x000a_Cents" sqref="D2 AC2 AE5" xr:uid="{7666CD46-C007-B743-9A43-54A0204FBEAF}">
      <formula1>Units</formula1>
    </dataValidation>
  </dataValidations>
  <hyperlinks>
    <hyperlink ref="B40" location="Overview!A1" display="Back to Overview" xr:uid="{F88DEFCD-04FA-3C45-9193-BA0277197496}"/>
    <hyperlink ref="B4" location="Overview!A1" display="Back to Overview" xr:uid="{BBF8131A-A706-3147-9CCF-11F254EFE8B3}"/>
  </hyperlinks>
  <pageMargins left="0.7" right="0.7" top="0.75" bottom="0.75" header="0.3" footer="0.3"/>
  <drawing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4D82-3F70-EB4D-871C-273A4A243923}">
  <sheetPr codeName="Sheet44">
    <tabColor rgb="FFFFFF00"/>
  </sheetPr>
  <dimension ref="B1:AF57"/>
  <sheetViews>
    <sheetView zoomScaleNormal="100" workbookViewId="0"/>
  </sheetViews>
  <sheetFormatPr baseColWidth="10" defaultColWidth="12" defaultRowHeight="15" x14ac:dyDescent="0.2"/>
  <cols>
    <col min="1" max="1" width="2.83203125" style="4" customWidth="1"/>
    <col min="2" max="3" width="12" style="4"/>
    <col min="4" max="4" width="14.33203125" style="4" customWidth="1"/>
    <col min="5" max="7" width="12" style="4"/>
    <col min="8" max="8" width="11.1640625" style="4" customWidth="1"/>
    <col min="9" max="9" width="6.5" style="4" customWidth="1"/>
    <col min="10" max="18" width="12" style="4"/>
    <col min="19" max="19" width="8.6640625" style="4" customWidth="1"/>
    <col min="20" max="20" width="10.5" style="4" customWidth="1"/>
    <col min="21" max="21" width="7.5" style="4" customWidth="1"/>
    <col min="22" max="22" width="9.5" style="4" customWidth="1"/>
    <col min="23" max="23" width="6.33203125" style="4" customWidth="1"/>
    <col min="24" max="24" width="7.83203125" style="4" customWidth="1"/>
    <col min="25" max="25" width="12" style="4"/>
    <col min="26" max="26" width="9.6640625" style="4" customWidth="1"/>
    <col min="27" max="27" width="4.33203125" style="4" customWidth="1"/>
    <col min="28" max="28" width="12.1640625" style="4" customWidth="1"/>
    <col min="29" max="16384" width="12" style="4"/>
  </cols>
  <sheetData>
    <row r="1" spans="2:32" ht="18" x14ac:dyDescent="0.2">
      <c r="B1" s="289" t="s">
        <v>475</v>
      </c>
      <c r="C1" s="289"/>
      <c r="D1" s="289"/>
      <c r="E1" s="289"/>
      <c r="F1" s="289"/>
      <c r="G1" s="289"/>
      <c r="H1" s="289"/>
      <c r="P1" s="4" t="s">
        <v>480</v>
      </c>
      <c r="Z1" s="70"/>
      <c r="AA1" s="70"/>
    </row>
    <row r="2" spans="2:32" ht="16" x14ac:dyDescent="0.2">
      <c r="C2" s="70"/>
      <c r="D2" s="154" t="s">
        <v>16</v>
      </c>
      <c r="E2" s="72" t="str">
        <f>D2</f>
        <v>Cents</v>
      </c>
      <c r="F2" s="72" t="str">
        <f>_xlfn.CONCAT("1/",D3," ",D2)</f>
        <v>1/1 Cents</v>
      </c>
      <c r="G2" s="73"/>
      <c r="H2" s="74" t="s">
        <v>143</v>
      </c>
      <c r="I2" s="156">
        <v>440</v>
      </c>
      <c r="J2" s="74" t="str">
        <f>_xlfn.CONCAT("C for A=", I2,":")</f>
        <v>C for A=440:</v>
      </c>
      <c r="K2" s="4">
        <f>(I2/POWER(2,9/12))*POWER(2,-D18/1200)</f>
        <v>263.40423257498202</v>
      </c>
      <c r="L2" s="74"/>
      <c r="O2" s="74"/>
      <c r="X2" s="76"/>
      <c r="Y2" s="103"/>
      <c r="Z2" s="70"/>
      <c r="AA2" s="70"/>
      <c r="AB2" s="72"/>
      <c r="AC2" s="70"/>
      <c r="AD2" s="70"/>
      <c r="AE2" s="74"/>
      <c r="AF2" s="74"/>
    </row>
    <row r="3" spans="2:32" ht="16" x14ac:dyDescent="0.2">
      <c r="C3" s="74" t="s">
        <v>125</v>
      </c>
      <c r="D3" s="155">
        <v>1</v>
      </c>
      <c r="E3" s="4">
        <f>IF(D2="Pythagorean Comma",524288/531441,IF(D2="Syntonic Comma",80/81,IF(D2="Cents",1/POWER(2,1/1200),"Not in List")))</f>
        <v>0.99942254414138076</v>
      </c>
      <c r="F3" s="78">
        <f>POWER(E3,1/D3)</f>
        <v>0.99942254414138076</v>
      </c>
      <c r="L3" s="74"/>
      <c r="X3" s="76"/>
      <c r="Z3" s="70"/>
      <c r="AA3" s="70"/>
      <c r="AB3" s="1"/>
    </row>
    <row r="4" spans="2:32" x14ac:dyDescent="0.2">
      <c r="C4" s="79"/>
      <c r="D4" s="79"/>
      <c r="Y4" s="74"/>
      <c r="Z4" s="70"/>
      <c r="AA4" s="70"/>
    </row>
    <row r="5" spans="2:32" ht="16" x14ac:dyDescent="0.2">
      <c r="B5" s="80" t="s">
        <v>63</v>
      </c>
      <c r="J5" s="328"/>
      <c r="K5" s="328"/>
    </row>
    <row r="6" spans="2:32" ht="48" x14ac:dyDescent="0.2">
      <c r="J6" s="81"/>
      <c r="K6" s="81"/>
      <c r="AB6" s="175"/>
      <c r="AC6" s="231"/>
      <c r="AD6" s="232"/>
      <c r="AE6" s="233" t="s">
        <v>48</v>
      </c>
      <c r="AF6" s="234" t="str">
        <f>_xlfn.CONCAT("1/",AE7," ",AE6," in cents")</f>
        <v>1/7 Syntonic Comma in cents</v>
      </c>
    </row>
    <row r="7" spans="2:32" ht="18" x14ac:dyDescent="0.2">
      <c r="B7" s="310" t="s">
        <v>139</v>
      </c>
      <c r="C7" s="311"/>
      <c r="D7" s="311"/>
      <c r="E7" s="311"/>
      <c r="F7" s="312"/>
      <c r="G7" s="69"/>
      <c r="H7" s="310" t="s">
        <v>43</v>
      </c>
      <c r="I7" s="311"/>
      <c r="J7" s="311"/>
      <c r="K7" s="311"/>
      <c r="L7" s="311"/>
      <c r="M7" s="312"/>
      <c r="N7" s="133"/>
      <c r="O7" s="310" t="s">
        <v>129</v>
      </c>
      <c r="P7" s="311"/>
      <c r="Q7" s="311"/>
      <c r="R7" s="311"/>
      <c r="S7" s="311"/>
      <c r="T7" s="312"/>
      <c r="AB7" s="235"/>
      <c r="AC7" s="236"/>
      <c r="AD7" s="240" t="s">
        <v>576</v>
      </c>
      <c r="AE7" s="221">
        <v>7</v>
      </c>
      <c r="AF7" s="238">
        <f>IF(AE6="Pythagorean Comma",1200*LOG(531441/524288,2),IF(AE6="Syntonic Comma",1200*LOG(81/80,2),IF(AE6="Cents",1,"Not in List")))*1/AE7</f>
        <v>3.0723270852449684</v>
      </c>
    </row>
    <row r="8" spans="2:32" s="84" customFormat="1" ht="49" x14ac:dyDescent="0.25">
      <c r="B8" s="83" t="s">
        <v>14</v>
      </c>
      <c r="C8" s="84" t="s">
        <v>136</v>
      </c>
      <c r="D8" s="84" t="str">
        <f>_xlfn.CONCAT("Difference to ET Scale in Cents ",F2)</f>
        <v>Difference to ET Scale in Cents 1/1 Cents</v>
      </c>
      <c r="E8" s="84" t="s">
        <v>137</v>
      </c>
      <c r="F8" s="52" t="s">
        <v>50</v>
      </c>
      <c r="H8" s="83" t="s">
        <v>127</v>
      </c>
      <c r="I8" s="84" t="s">
        <v>128</v>
      </c>
      <c r="J8" s="84" t="s">
        <v>1</v>
      </c>
      <c r="K8" s="84" t="str">
        <f>_xlfn.CONCAT("Relative ",F2)</f>
        <v>Relative 1/1 Cents</v>
      </c>
      <c r="L8" s="84" t="str">
        <f>_xlfn.CONCAT("Cumulative ",F2)</f>
        <v>Cumulative 1/1 Cents</v>
      </c>
      <c r="M8" s="52" t="s">
        <v>16</v>
      </c>
      <c r="O8" s="83" t="s">
        <v>89</v>
      </c>
      <c r="P8" s="84" t="s">
        <v>136</v>
      </c>
      <c r="Q8" s="84" t="s">
        <v>90</v>
      </c>
      <c r="R8" s="84" t="s">
        <v>88</v>
      </c>
      <c r="S8" s="84" t="s">
        <v>32</v>
      </c>
      <c r="T8" s="52" t="s">
        <v>91</v>
      </c>
      <c r="Y8" s="4"/>
      <c r="AB8" s="329" t="str">
        <f>_xlfn.CONCAT("Fractions of ",AE6," from Just")</f>
        <v>Fractions of Syntonic Comma from Just</v>
      </c>
      <c r="AC8" s="330"/>
      <c r="AD8" s="330"/>
      <c r="AE8" s="330"/>
      <c r="AF8" s="331"/>
    </row>
    <row r="9" spans="2:32" ht="48" customHeight="1" x14ac:dyDescent="0.2">
      <c r="B9" s="85" t="s">
        <v>2</v>
      </c>
      <c r="C9" s="4">
        <f>K2</f>
        <v>263.40423257498202</v>
      </c>
      <c r="D9" s="156">
        <v>0</v>
      </c>
      <c r="E9" s="4">
        <f>C9*POWER(2,D9/1200)</f>
        <v>263.40423257498202</v>
      </c>
      <c r="F9" s="158">
        <v>3600</v>
      </c>
      <c r="G9" s="86"/>
      <c r="H9" s="107" t="s">
        <v>2</v>
      </c>
      <c r="I9" s="97">
        <v>0</v>
      </c>
      <c r="J9" s="4">
        <f t="shared" ref="J9:J21" si="0">VLOOKUP(H9,Master_Frequencies,2,FALSE)*POWER(2,I9)</f>
        <v>263.40423257498202</v>
      </c>
      <c r="K9" s="4">
        <v>0</v>
      </c>
      <c r="L9" s="4">
        <f>K9</f>
        <v>0</v>
      </c>
      <c r="M9" s="47"/>
      <c r="O9" s="107" t="str">
        <f>B9</f>
        <v>C</v>
      </c>
      <c r="P9" s="4">
        <f>C9</f>
        <v>263.40423257498202</v>
      </c>
      <c r="Q9" s="4">
        <f t="shared" ref="Q9:Q21" si="1">LOG(E9/P9,2)*1200</f>
        <v>0</v>
      </c>
      <c r="R9" s="81" t="str">
        <f t="shared" ref="R9:R21" si="2">H9</f>
        <v>C</v>
      </c>
      <c r="S9" s="4">
        <f t="shared" ref="S9:S21" si="3">VLOOKUP(R9,$O$9:$P$21,2,FALSE)</f>
        <v>263.40423257498202</v>
      </c>
      <c r="T9" s="47">
        <f t="shared" ref="T9:T21" si="4">VLOOKUP(R9,$O$9:$Q$21,3,FALSE)</f>
        <v>0</v>
      </c>
      <c r="Y9" s="84"/>
      <c r="AB9" s="83" t="s">
        <v>43</v>
      </c>
      <c r="AC9" s="84" t="s">
        <v>128</v>
      </c>
      <c r="AD9" s="84" t="s">
        <v>1</v>
      </c>
      <c r="AE9" s="84" t="str">
        <f>_xlfn.CONCAT("1/",AE7," ",AE6)</f>
        <v>1/7 Syntonic Comma</v>
      </c>
      <c r="AF9" s="230" t="s">
        <v>577</v>
      </c>
    </row>
    <row r="10" spans="2:32" x14ac:dyDescent="0.2">
      <c r="B10" s="85" t="s">
        <v>74</v>
      </c>
      <c r="C10" s="4">
        <f>C9*POWER($C$9*2/$C$9,1/12)</f>
        <v>279.06706331122592</v>
      </c>
      <c r="D10" s="156">
        <v>-9.7750043269369336</v>
      </c>
      <c r="E10" s="4">
        <f>C10*POWER(1/$F$3,D10)</f>
        <v>277.49581703372598</v>
      </c>
      <c r="F10" s="47">
        <f>F$9*C$9/E10</f>
        <v>3417.1874999999991</v>
      </c>
      <c r="G10" s="86"/>
      <c r="H10" s="107" t="s">
        <v>6</v>
      </c>
      <c r="I10" s="97">
        <v>0</v>
      </c>
      <c r="J10" s="4">
        <f t="shared" si="0"/>
        <v>393.77008877325886</v>
      </c>
      <c r="K10" s="75">
        <f>LOG(J10/(J9*3/2),$F$3)</f>
        <v>5.8650025961622303</v>
      </c>
      <c r="L10" s="4">
        <f>L9+K10</f>
        <v>5.8650025961622303</v>
      </c>
      <c r="M10" s="47">
        <f t="shared" ref="M10:M21" si="5">LOG(J10/J9,2)*1200</f>
        <v>696.08999826922525</v>
      </c>
      <c r="O10" s="107" t="str">
        <f t="shared" ref="O10:O21" si="6">B10</f>
        <v>C#</v>
      </c>
      <c r="P10" s="4">
        <f t="shared" ref="P10:P21" si="7">P9*POWER($P$9*2/$P$9,1/12)</f>
        <v>279.06706331122592</v>
      </c>
      <c r="Q10" s="4">
        <f t="shared" si="1"/>
        <v>-9.7750043269365463</v>
      </c>
      <c r="R10" s="81" t="str">
        <f t="shared" si="2"/>
        <v>G</v>
      </c>
      <c r="S10" s="4">
        <f t="shared" si="3"/>
        <v>394.66042574636697</v>
      </c>
      <c r="T10" s="47">
        <f t="shared" si="4"/>
        <v>-3.910001730775059</v>
      </c>
      <c r="AB10" s="107" t="str">
        <f t="shared" ref="AB10:AB22" si="8">R9</f>
        <v>C</v>
      </c>
      <c r="AC10" s="223">
        <v>0</v>
      </c>
      <c r="AD10" s="224">
        <f t="shared" ref="AD10:AD22" si="9">VLOOKUP(AB10,Master_Frequencies,2,FALSE)*POWER(2,AC10)</f>
        <v>263.40423257498202</v>
      </c>
      <c r="AF10" s="47"/>
    </row>
    <row r="11" spans="2:32" x14ac:dyDescent="0.2">
      <c r="B11" s="85" t="s">
        <v>3</v>
      </c>
      <c r="C11" s="4">
        <f t="shared" ref="C11:C21" si="10">C10*POWER($C$9*2/$C$9,1/12)</f>
        <v>295.66125442947276</v>
      </c>
      <c r="D11" s="156">
        <v>-7.820003461549498</v>
      </c>
      <c r="E11" s="4">
        <f>C11*POWER(1/$F$3,D11)</f>
        <v>294.32876096317364</v>
      </c>
      <c r="F11" s="47">
        <f t="shared" ref="F11:F21" si="11">F$9*C$9/E11</f>
        <v>3221.7552717812068</v>
      </c>
      <c r="G11" s="86"/>
      <c r="H11" s="107" t="s">
        <v>3</v>
      </c>
      <c r="I11" s="97">
        <v>1</v>
      </c>
      <c r="J11" s="4">
        <f t="shared" si="0"/>
        <v>588.65752192634727</v>
      </c>
      <c r="K11" s="75">
        <f t="shared" ref="K11:K21" si="12">LOG(J11/(J10*3/2),$F$3)</f>
        <v>5.8650025961622303</v>
      </c>
      <c r="L11" s="4">
        <f t="shared" ref="L11:L21" si="13">L10+K11</f>
        <v>11.730005192324461</v>
      </c>
      <c r="M11" s="47">
        <f t="shared" si="5"/>
        <v>696.08999826922525</v>
      </c>
      <c r="O11" s="107" t="str">
        <f t="shared" si="6"/>
        <v>D</v>
      </c>
      <c r="P11" s="4">
        <f t="shared" si="7"/>
        <v>295.66125442947276</v>
      </c>
      <c r="Q11" s="4">
        <f t="shared" si="1"/>
        <v>-7.8200034615493044</v>
      </c>
      <c r="R11" s="81" t="str">
        <f t="shared" si="2"/>
        <v>D</v>
      </c>
      <c r="S11" s="4">
        <f t="shared" si="3"/>
        <v>295.66125442947276</v>
      </c>
      <c r="T11" s="47">
        <f t="shared" si="4"/>
        <v>-7.8200034615493044</v>
      </c>
      <c r="AB11" s="107" t="str">
        <f t="shared" si="8"/>
        <v>G</v>
      </c>
      <c r="AC11" s="223">
        <v>0</v>
      </c>
      <c r="AD11" s="224">
        <f t="shared" si="9"/>
        <v>393.77008877325886</v>
      </c>
      <c r="AE11" s="4">
        <f t="shared" ref="AE11:AE22" si="14">1200*LOG(AD11/(AD10*3/2),2)/$AF$7</f>
        <v>-1.9089772779497014</v>
      </c>
      <c r="AF11" s="228">
        <f>AE11</f>
        <v>-1.9089772779497014</v>
      </c>
    </row>
    <row r="12" spans="2:32" x14ac:dyDescent="0.2">
      <c r="B12" s="85" t="s">
        <v>76</v>
      </c>
      <c r="C12" s="4">
        <f t="shared" si="10"/>
        <v>313.24218750000011</v>
      </c>
      <c r="D12" s="156">
        <v>-5.8650025961620802</v>
      </c>
      <c r="E12" s="4">
        <f>C12*POWER(1/$F$3,D12)</f>
        <v>312.18279416294172</v>
      </c>
      <c r="F12" s="47">
        <f t="shared" si="11"/>
        <v>3037.4999999999995</v>
      </c>
      <c r="G12" s="86"/>
      <c r="H12" s="107" t="s">
        <v>7</v>
      </c>
      <c r="I12" s="97">
        <v>1</v>
      </c>
      <c r="J12" s="4">
        <f t="shared" si="0"/>
        <v>880.00000000000023</v>
      </c>
      <c r="K12" s="75">
        <f t="shared" si="12"/>
        <v>5.8650025961630021</v>
      </c>
      <c r="L12" s="4">
        <f t="shared" si="13"/>
        <v>17.595007788487464</v>
      </c>
      <c r="M12" s="47">
        <f t="shared" si="5"/>
        <v>696.08999826922457</v>
      </c>
      <c r="O12" s="107" t="str">
        <f t="shared" si="6"/>
        <v>D#</v>
      </c>
      <c r="P12" s="4">
        <f t="shared" si="7"/>
        <v>313.24218750000011</v>
      </c>
      <c r="Q12" s="4">
        <f t="shared" si="1"/>
        <v>-5.8650025961618883</v>
      </c>
      <c r="R12" s="81" t="str">
        <f t="shared" si="2"/>
        <v>A</v>
      </c>
      <c r="S12" s="4">
        <f t="shared" si="3"/>
        <v>442.99134986991629</v>
      </c>
      <c r="T12" s="47">
        <f t="shared" si="4"/>
        <v>-11.730005192325208</v>
      </c>
      <c r="AB12" s="107" t="str">
        <f t="shared" si="8"/>
        <v>D</v>
      </c>
      <c r="AC12" s="223">
        <v>1</v>
      </c>
      <c r="AD12" s="224">
        <f t="shared" si="9"/>
        <v>588.65752192634727</v>
      </c>
      <c r="AE12" s="4">
        <f t="shared" si="14"/>
        <v>-1.9089772779497014</v>
      </c>
      <c r="AF12" s="228">
        <f t="shared" ref="AF12:AF22" si="15">AE12</f>
        <v>-1.9089772779497014</v>
      </c>
    </row>
    <row r="13" spans="2:32" x14ac:dyDescent="0.2">
      <c r="B13" s="85" t="s">
        <v>4</v>
      </c>
      <c r="C13" s="4">
        <f t="shared" si="10"/>
        <v>331.86853725262472</v>
      </c>
      <c r="D13" s="156">
        <v>-9.7750043269373208</v>
      </c>
      <c r="E13" s="4">
        <f t="shared" ref="E13:E21" si="16">C13*POWER(1/$F$3,D13)</f>
        <v>330.00000000000017</v>
      </c>
      <c r="F13" s="47">
        <f t="shared" si="11"/>
        <v>2873.5007189998023</v>
      </c>
      <c r="G13" s="86"/>
      <c r="H13" s="107" t="s">
        <v>4</v>
      </c>
      <c r="I13" s="97">
        <v>2</v>
      </c>
      <c r="J13" s="4">
        <f t="shared" si="0"/>
        <v>1320.0000000000007</v>
      </c>
      <c r="K13" s="75">
        <f t="shared" si="12"/>
        <v>-3.8441118045779993E-13</v>
      </c>
      <c r="L13" s="4">
        <f t="shared" si="13"/>
        <v>17.595007788487081</v>
      </c>
      <c r="M13" s="47">
        <f t="shared" si="5"/>
        <v>701.955000865388</v>
      </c>
      <c r="O13" s="107" t="str">
        <f t="shared" si="6"/>
        <v>E</v>
      </c>
      <c r="P13" s="4">
        <f t="shared" si="7"/>
        <v>331.86853725262472</v>
      </c>
      <c r="Q13" s="4">
        <f t="shared" si="1"/>
        <v>-9.7750043269369336</v>
      </c>
      <c r="R13" s="81" t="str">
        <f t="shared" si="2"/>
        <v>E</v>
      </c>
      <c r="S13" s="4">
        <f t="shared" si="3"/>
        <v>331.86853725262472</v>
      </c>
      <c r="T13" s="47">
        <f t="shared" si="4"/>
        <v>-9.7750043269369336</v>
      </c>
      <c r="AB13" s="107" t="str">
        <f t="shared" si="8"/>
        <v>A</v>
      </c>
      <c r="AC13" s="223">
        <v>1</v>
      </c>
      <c r="AD13" s="224">
        <f t="shared" si="9"/>
        <v>880.00000000000023</v>
      </c>
      <c r="AE13" s="4">
        <f t="shared" si="14"/>
        <v>-1.9089772779499528</v>
      </c>
      <c r="AF13" s="228">
        <f t="shared" si="15"/>
        <v>-1.9089772779499528</v>
      </c>
    </row>
    <row r="14" spans="2:32" x14ac:dyDescent="0.2">
      <c r="B14" s="85" t="s">
        <v>5</v>
      </c>
      <c r="C14" s="4">
        <f t="shared" si="10"/>
        <v>351.60246739815886</v>
      </c>
      <c r="D14" s="156">
        <v>-1.955000865387585</v>
      </c>
      <c r="E14" s="4">
        <f t="shared" si="16"/>
        <v>351.20564343330938</v>
      </c>
      <c r="F14" s="47">
        <f t="shared" si="11"/>
        <v>2700</v>
      </c>
      <c r="G14" s="86"/>
      <c r="H14" s="107" t="s">
        <v>8</v>
      </c>
      <c r="I14" s="97">
        <v>2</v>
      </c>
      <c r="J14" s="4">
        <f t="shared" si="0"/>
        <v>1980.0000000000011</v>
      </c>
      <c r="K14" s="75">
        <f t="shared" si="12"/>
        <v>-3.8441118045779993E-13</v>
      </c>
      <c r="L14" s="4">
        <f t="shared" si="13"/>
        <v>17.595007788486697</v>
      </c>
      <c r="M14" s="47">
        <f t="shared" si="5"/>
        <v>701.95500086538743</v>
      </c>
      <c r="O14" s="107" t="str">
        <f t="shared" si="6"/>
        <v>F</v>
      </c>
      <c r="P14" s="4">
        <f t="shared" si="7"/>
        <v>351.60246739815886</v>
      </c>
      <c r="Q14" s="4">
        <f t="shared" si="1"/>
        <v>-1.955000865387585</v>
      </c>
      <c r="R14" s="81" t="str">
        <f t="shared" si="2"/>
        <v>B</v>
      </c>
      <c r="S14" s="4">
        <f t="shared" si="3"/>
        <v>497.24097795832034</v>
      </c>
      <c r="T14" s="47">
        <f t="shared" si="4"/>
        <v>-7.8200034615498835</v>
      </c>
      <c r="AB14" s="107" t="str">
        <f t="shared" si="8"/>
        <v>E</v>
      </c>
      <c r="AC14" s="223">
        <v>2</v>
      </c>
      <c r="AD14" s="224">
        <f t="shared" si="9"/>
        <v>1320.0000000000007</v>
      </c>
      <c r="AE14" s="4">
        <f t="shared" si="14"/>
        <v>1.2512052583982592E-13</v>
      </c>
      <c r="AF14" s="228">
        <f t="shared" si="15"/>
        <v>1.2512052583982592E-13</v>
      </c>
    </row>
    <row r="15" spans="2:32" x14ac:dyDescent="0.2">
      <c r="B15" s="85" t="s">
        <v>70</v>
      </c>
      <c r="C15" s="4">
        <f t="shared" si="10"/>
        <v>372.50983809401663</v>
      </c>
      <c r="D15" s="156">
        <v>-11.730005192324629</v>
      </c>
      <c r="E15" s="4">
        <f t="shared" si="16"/>
        <v>369.99442271163463</v>
      </c>
      <c r="F15" s="47">
        <f t="shared" si="11"/>
        <v>2562.8906249999995</v>
      </c>
      <c r="G15" s="86"/>
      <c r="H15" s="107" t="s">
        <v>70</v>
      </c>
      <c r="I15" s="97">
        <v>3</v>
      </c>
      <c r="J15" s="4">
        <f t="shared" si="0"/>
        <v>2959.955381693077</v>
      </c>
      <c r="K15" s="75">
        <f t="shared" si="12"/>
        <v>5.865002596162423</v>
      </c>
      <c r="L15" s="4">
        <f t="shared" si="13"/>
        <v>23.46001038464912</v>
      </c>
      <c r="M15" s="47">
        <f t="shared" si="5"/>
        <v>696.08999826922525</v>
      </c>
      <c r="O15" s="107" t="str">
        <f t="shared" si="6"/>
        <v>F#</v>
      </c>
      <c r="P15" s="4">
        <f t="shared" si="7"/>
        <v>372.50983809401663</v>
      </c>
      <c r="Q15" s="4">
        <f t="shared" si="1"/>
        <v>-11.730005192324436</v>
      </c>
      <c r="R15" s="81" t="str">
        <f t="shared" si="2"/>
        <v>F#</v>
      </c>
      <c r="S15" s="4">
        <f t="shared" si="3"/>
        <v>372.50983809401663</v>
      </c>
      <c r="T15" s="47">
        <f t="shared" si="4"/>
        <v>-11.730005192324436</v>
      </c>
      <c r="AB15" s="107" t="str">
        <f t="shared" si="8"/>
        <v>B</v>
      </c>
      <c r="AC15" s="223">
        <v>2</v>
      </c>
      <c r="AD15" s="224">
        <f t="shared" si="9"/>
        <v>1980.0000000000011</v>
      </c>
      <c r="AE15" s="4">
        <f t="shared" si="14"/>
        <v>1.2512052583982592E-13</v>
      </c>
      <c r="AF15" s="228">
        <f t="shared" si="15"/>
        <v>1.2512052583982592E-13</v>
      </c>
    </row>
    <row r="16" spans="2:32" x14ac:dyDescent="0.2">
      <c r="B16" s="85" t="s">
        <v>6</v>
      </c>
      <c r="C16" s="4">
        <f t="shared" si="10"/>
        <v>394.66042574636697</v>
      </c>
      <c r="D16" s="156">
        <v>-3.9100017307752508</v>
      </c>
      <c r="E16" s="4">
        <f t="shared" si="16"/>
        <v>393.77008877325886</v>
      </c>
      <c r="F16" s="47">
        <f t="shared" si="11"/>
        <v>2408.1444078805098</v>
      </c>
      <c r="G16" s="86"/>
      <c r="H16" s="107" t="s">
        <v>74</v>
      </c>
      <c r="I16" s="97">
        <v>4</v>
      </c>
      <c r="J16" s="4">
        <f t="shared" si="0"/>
        <v>4439.9330725396158</v>
      </c>
      <c r="K16" s="75">
        <f t="shared" si="12"/>
        <v>0</v>
      </c>
      <c r="L16" s="4">
        <f t="shared" si="13"/>
        <v>23.46001038464912</v>
      </c>
      <c r="M16" s="47">
        <f t="shared" si="5"/>
        <v>701.95500086538743</v>
      </c>
      <c r="O16" s="107" t="str">
        <f t="shared" si="6"/>
        <v>G</v>
      </c>
      <c r="P16" s="4">
        <f t="shared" si="7"/>
        <v>394.66042574636697</v>
      </c>
      <c r="Q16" s="4">
        <f t="shared" si="1"/>
        <v>-3.910001730775059</v>
      </c>
      <c r="R16" s="81" t="str">
        <f t="shared" si="2"/>
        <v>C#</v>
      </c>
      <c r="S16" s="4">
        <f t="shared" si="3"/>
        <v>279.06706331122592</v>
      </c>
      <c r="T16" s="47">
        <f t="shared" si="4"/>
        <v>-9.7750043269365463</v>
      </c>
      <c r="AB16" s="107" t="str">
        <f t="shared" si="8"/>
        <v>F#</v>
      </c>
      <c r="AC16" s="223">
        <v>3</v>
      </c>
      <c r="AD16" s="224">
        <f t="shared" si="9"/>
        <v>2959.955381693077</v>
      </c>
      <c r="AE16" s="4">
        <f t="shared" si="14"/>
        <v>-1.9089772779497642</v>
      </c>
      <c r="AF16" s="228">
        <f t="shared" si="15"/>
        <v>-1.9089772779497642</v>
      </c>
    </row>
    <row r="17" spans="2:32" x14ac:dyDescent="0.2">
      <c r="B17" s="85" t="s">
        <v>72</v>
      </c>
      <c r="C17" s="4">
        <f t="shared" si="10"/>
        <v>418.12815588240284</v>
      </c>
      <c r="D17" s="156">
        <v>-7.8200034615500771</v>
      </c>
      <c r="E17" s="4">
        <f t="shared" si="16"/>
        <v>416.24372555058892</v>
      </c>
      <c r="F17" s="47">
        <f t="shared" si="11"/>
        <v>2278.125</v>
      </c>
      <c r="G17" s="86"/>
      <c r="H17" s="107" t="s">
        <v>72</v>
      </c>
      <c r="I17" s="97">
        <v>4</v>
      </c>
      <c r="J17" s="4">
        <f t="shared" si="0"/>
        <v>6659.8996088094227</v>
      </c>
      <c r="K17" s="75">
        <f t="shared" si="12"/>
        <v>1.9220559022889996E-13</v>
      </c>
      <c r="L17" s="4">
        <f t="shared" si="13"/>
        <v>23.460010384649312</v>
      </c>
      <c r="M17" s="47">
        <f t="shared" si="5"/>
        <v>701.95500086538721</v>
      </c>
      <c r="O17" s="107" t="str">
        <f t="shared" si="6"/>
        <v>G#</v>
      </c>
      <c r="P17" s="4">
        <f t="shared" si="7"/>
        <v>418.12815588240284</v>
      </c>
      <c r="Q17" s="4">
        <f t="shared" si="1"/>
        <v>-7.8200034615498835</v>
      </c>
      <c r="R17" s="81" t="str">
        <f t="shared" si="2"/>
        <v>G#</v>
      </c>
      <c r="S17" s="4">
        <f t="shared" si="3"/>
        <v>418.12815588240284</v>
      </c>
      <c r="T17" s="47">
        <f t="shared" si="4"/>
        <v>-7.8200034615498835</v>
      </c>
      <c r="AB17" s="107" t="str">
        <f t="shared" si="8"/>
        <v>C#</v>
      </c>
      <c r="AC17" s="223">
        <v>4</v>
      </c>
      <c r="AD17" s="224">
        <f t="shared" si="9"/>
        <v>4439.9330725396158</v>
      </c>
      <c r="AE17" s="4">
        <f t="shared" si="14"/>
        <v>0</v>
      </c>
      <c r="AF17" s="228">
        <f t="shared" si="15"/>
        <v>0</v>
      </c>
    </row>
    <row r="18" spans="2:32" x14ac:dyDescent="0.2">
      <c r="B18" s="85" t="s">
        <v>7</v>
      </c>
      <c r="C18" s="4">
        <f t="shared" si="10"/>
        <v>442.99134986991629</v>
      </c>
      <c r="D18" s="156">
        <v>-11.730005192325208</v>
      </c>
      <c r="E18" s="4">
        <f t="shared" si="16"/>
        <v>440.00000000000011</v>
      </c>
      <c r="F18" s="47">
        <f t="shared" si="11"/>
        <v>2155.1255392498524</v>
      </c>
      <c r="G18" s="86"/>
      <c r="H18" s="107" t="s">
        <v>76</v>
      </c>
      <c r="I18" s="97">
        <v>5</v>
      </c>
      <c r="J18" s="4">
        <f t="shared" si="0"/>
        <v>9989.849413214135</v>
      </c>
      <c r="K18" s="75">
        <f t="shared" si="12"/>
        <v>0</v>
      </c>
      <c r="L18" s="4">
        <f t="shared" si="13"/>
        <v>23.460010384649312</v>
      </c>
      <c r="M18" s="47">
        <f t="shared" si="5"/>
        <v>701.95500086538766</v>
      </c>
      <c r="O18" s="107" t="str">
        <f t="shared" si="6"/>
        <v>A</v>
      </c>
      <c r="P18" s="4">
        <f t="shared" si="7"/>
        <v>442.99134986991629</v>
      </c>
      <c r="Q18" s="4">
        <f t="shared" si="1"/>
        <v>-11.730005192325208</v>
      </c>
      <c r="R18" s="81" t="str">
        <f t="shared" si="2"/>
        <v>D#</v>
      </c>
      <c r="S18" s="4">
        <f t="shared" si="3"/>
        <v>313.24218750000011</v>
      </c>
      <c r="T18" s="47">
        <f t="shared" si="4"/>
        <v>-5.8650025961618883</v>
      </c>
      <c r="AB18" s="107" t="str">
        <f t="shared" si="8"/>
        <v>G#</v>
      </c>
      <c r="AC18" s="223">
        <v>4</v>
      </c>
      <c r="AD18" s="224">
        <f t="shared" si="9"/>
        <v>6659.8996088094227</v>
      </c>
      <c r="AE18" s="4">
        <f t="shared" si="14"/>
        <v>-6.2560262919912958E-14</v>
      </c>
      <c r="AF18" s="228">
        <f t="shared" si="15"/>
        <v>-6.2560262919912958E-14</v>
      </c>
    </row>
    <row r="19" spans="2:32" x14ac:dyDescent="0.2">
      <c r="B19" s="85" t="s">
        <v>73</v>
      </c>
      <c r="C19" s="4">
        <f t="shared" si="10"/>
        <v>469.3329863075827</v>
      </c>
      <c r="D19" s="156">
        <v>-3.910001730775444</v>
      </c>
      <c r="E19" s="4">
        <f t="shared" si="16"/>
        <v>468.27419124441246</v>
      </c>
      <c r="F19" s="47">
        <f t="shared" si="11"/>
        <v>2025.0000000000002</v>
      </c>
      <c r="G19" s="86"/>
      <c r="H19" s="107" t="s">
        <v>73</v>
      </c>
      <c r="I19" s="97">
        <v>5</v>
      </c>
      <c r="J19" s="4">
        <f t="shared" si="0"/>
        <v>14984.774119821199</v>
      </c>
      <c r="K19" s="75">
        <f t="shared" si="12"/>
        <v>3.8441118045780003E-13</v>
      </c>
      <c r="L19" s="4">
        <f t="shared" si="13"/>
        <v>23.460010384649696</v>
      </c>
      <c r="M19" s="47">
        <f t="shared" si="5"/>
        <v>701.95500086538698</v>
      </c>
      <c r="O19" s="107" t="str">
        <f t="shared" si="6"/>
        <v>A#</v>
      </c>
      <c r="P19" s="4">
        <f t="shared" si="7"/>
        <v>469.3329863075827</v>
      </c>
      <c r="Q19" s="4">
        <f t="shared" si="1"/>
        <v>-3.910001730775444</v>
      </c>
      <c r="R19" s="81" t="str">
        <f t="shared" si="2"/>
        <v>A#</v>
      </c>
      <c r="S19" s="4">
        <f t="shared" si="3"/>
        <v>469.3329863075827</v>
      </c>
      <c r="T19" s="47">
        <f t="shared" si="4"/>
        <v>-3.910001730775444</v>
      </c>
      <c r="AB19" s="107" t="str">
        <f t="shared" si="8"/>
        <v>D#</v>
      </c>
      <c r="AC19" s="223">
        <v>5</v>
      </c>
      <c r="AD19" s="224">
        <f t="shared" si="9"/>
        <v>9989.849413214135</v>
      </c>
      <c r="AE19" s="4">
        <f t="shared" si="14"/>
        <v>0</v>
      </c>
      <c r="AF19" s="228">
        <f t="shared" si="15"/>
        <v>0</v>
      </c>
    </row>
    <row r="20" spans="2:32" x14ac:dyDescent="0.2">
      <c r="B20" s="85" t="s">
        <v>8</v>
      </c>
      <c r="C20" s="4">
        <f t="shared" si="10"/>
        <v>497.24097795832034</v>
      </c>
      <c r="D20" s="156">
        <v>-7.8200034615502698</v>
      </c>
      <c r="E20" s="4">
        <f t="shared" si="16"/>
        <v>495.00000000000028</v>
      </c>
      <c r="F20" s="47">
        <f t="shared" si="11"/>
        <v>1915.6671459998681</v>
      </c>
      <c r="G20" s="86"/>
      <c r="H20" s="107" t="s">
        <v>5</v>
      </c>
      <c r="I20" s="97">
        <v>6</v>
      </c>
      <c r="J20" s="4">
        <f t="shared" si="0"/>
        <v>22477.1611797318</v>
      </c>
      <c r="K20" s="75">
        <f t="shared" si="12"/>
        <v>-3.8441118045779993E-13</v>
      </c>
      <c r="L20" s="4">
        <f t="shared" si="13"/>
        <v>23.460010384649312</v>
      </c>
      <c r="M20" s="47">
        <f t="shared" si="5"/>
        <v>701.95500086538766</v>
      </c>
      <c r="O20" s="107" t="str">
        <f t="shared" si="6"/>
        <v>B</v>
      </c>
      <c r="P20" s="4">
        <f t="shared" si="7"/>
        <v>497.24097795832034</v>
      </c>
      <c r="Q20" s="4">
        <f t="shared" si="1"/>
        <v>-7.8200034615498835</v>
      </c>
      <c r="R20" s="81" t="str">
        <f t="shared" si="2"/>
        <v>F</v>
      </c>
      <c r="S20" s="4">
        <f t="shared" si="3"/>
        <v>351.60246739815886</v>
      </c>
      <c r="T20" s="47">
        <f t="shared" si="4"/>
        <v>-1.955000865387585</v>
      </c>
      <c r="AB20" s="107" t="str">
        <f t="shared" si="8"/>
        <v>A#</v>
      </c>
      <c r="AC20" s="223">
        <v>5</v>
      </c>
      <c r="AD20" s="224">
        <f t="shared" si="9"/>
        <v>14984.774119821199</v>
      </c>
      <c r="AE20" s="4">
        <f t="shared" si="14"/>
        <v>-1.2512052583982597E-13</v>
      </c>
      <c r="AF20" s="228">
        <f t="shared" si="15"/>
        <v>-1.2512052583982597E-13</v>
      </c>
    </row>
    <row r="21" spans="2:32" x14ac:dyDescent="0.2">
      <c r="B21" s="87" t="s">
        <v>78</v>
      </c>
      <c r="C21" s="53">
        <f t="shared" si="10"/>
        <v>526.80846514996426</v>
      </c>
      <c r="D21" s="157">
        <v>-7.6882236091558047E-13</v>
      </c>
      <c r="E21" s="53">
        <f t="shared" si="16"/>
        <v>526.80846514996404</v>
      </c>
      <c r="F21" s="48">
        <f t="shared" si="11"/>
        <v>1800</v>
      </c>
      <c r="G21" s="86"/>
      <c r="H21" s="108" t="s">
        <v>78</v>
      </c>
      <c r="I21" s="98">
        <v>6</v>
      </c>
      <c r="J21" s="53">
        <f t="shared" si="0"/>
        <v>33715.741769597698</v>
      </c>
      <c r="K21" s="88">
        <f t="shared" si="12"/>
        <v>0</v>
      </c>
      <c r="L21" s="53">
        <f t="shared" si="13"/>
        <v>23.460010384649312</v>
      </c>
      <c r="M21" s="48">
        <f t="shared" si="5"/>
        <v>701.95500086538743</v>
      </c>
      <c r="O21" s="108" t="str">
        <f t="shared" si="6"/>
        <v>c oct.</v>
      </c>
      <c r="P21" s="53">
        <f t="shared" si="7"/>
        <v>526.80846514996426</v>
      </c>
      <c r="Q21" s="53">
        <f t="shared" si="1"/>
        <v>-7.6882236091558047E-13</v>
      </c>
      <c r="R21" s="151" t="str">
        <f t="shared" si="2"/>
        <v>c oct.</v>
      </c>
      <c r="S21" s="53">
        <f t="shared" si="3"/>
        <v>526.80846514996426</v>
      </c>
      <c r="T21" s="48">
        <f t="shared" si="4"/>
        <v>-7.6882236091558047E-13</v>
      </c>
      <c r="AB21" s="107" t="str">
        <f t="shared" si="8"/>
        <v>F</v>
      </c>
      <c r="AC21" s="223">
        <v>6</v>
      </c>
      <c r="AD21" s="224">
        <f t="shared" si="9"/>
        <v>22477.1611797318</v>
      </c>
      <c r="AE21" s="4">
        <f t="shared" si="14"/>
        <v>1.2512052583982592E-13</v>
      </c>
      <c r="AF21" s="228">
        <f t="shared" si="15"/>
        <v>1.2512052583982592E-13</v>
      </c>
    </row>
    <row r="22" spans="2:32" x14ac:dyDescent="0.2">
      <c r="G22" s="86"/>
      <c r="M22" s="18"/>
      <c r="N22" s="18"/>
      <c r="U22" s="18"/>
      <c r="X22" s="18"/>
      <c r="AB22" s="108" t="str">
        <f t="shared" si="8"/>
        <v>c oct.</v>
      </c>
      <c r="AC22" s="226">
        <v>6</v>
      </c>
      <c r="AD22" s="227">
        <f t="shared" si="9"/>
        <v>33715.741769597698</v>
      </c>
      <c r="AE22" s="53">
        <f t="shared" si="14"/>
        <v>0</v>
      </c>
      <c r="AF22" s="229">
        <f t="shared" si="15"/>
        <v>0</v>
      </c>
    </row>
    <row r="23" spans="2:32" x14ac:dyDescent="0.2">
      <c r="G23" s="86"/>
      <c r="M23" s="18"/>
      <c r="N23" s="18"/>
      <c r="U23" s="18"/>
      <c r="X23" s="18"/>
    </row>
    <row r="24" spans="2:32" x14ac:dyDescent="0.2">
      <c r="G24" s="86"/>
      <c r="M24" s="18"/>
      <c r="N24" s="18"/>
      <c r="U24" s="18"/>
      <c r="X24" s="18"/>
    </row>
    <row r="25" spans="2:32" ht="18" x14ac:dyDescent="0.2">
      <c r="G25" s="86"/>
      <c r="N25" s="18"/>
      <c r="O25" s="18"/>
      <c r="V25" s="18"/>
      <c r="X25" s="310" t="s">
        <v>522</v>
      </c>
      <c r="Y25" s="311"/>
      <c r="Z25" s="312"/>
    </row>
    <row r="26" spans="2:32" ht="18" x14ac:dyDescent="0.2">
      <c r="B26" s="310" t="s">
        <v>135</v>
      </c>
      <c r="C26" s="311"/>
      <c r="D26" s="311"/>
      <c r="E26" s="129">
        <f>1200*LOG(5/4,2)</f>
        <v>386.31371386483482</v>
      </c>
      <c r="F26" s="82" t="s">
        <v>16</v>
      </c>
      <c r="G26" s="130"/>
      <c r="H26" s="69"/>
      <c r="I26" s="310" t="s">
        <v>133</v>
      </c>
      <c r="J26" s="311"/>
      <c r="K26" s="311"/>
      <c r="L26" s="311"/>
      <c r="M26" s="311"/>
      <c r="N26" s="311"/>
      <c r="O26" s="312"/>
      <c r="Q26" s="310" t="s">
        <v>134</v>
      </c>
      <c r="R26" s="311"/>
      <c r="S26" s="311"/>
      <c r="T26" s="311"/>
      <c r="U26" s="311"/>
      <c r="V26" s="312"/>
      <c r="X26" s="51"/>
      <c r="Y26" s="89" t="s">
        <v>96</v>
      </c>
      <c r="Z26" s="159">
        <v>1</v>
      </c>
    </row>
    <row r="27" spans="2:32" s="84" customFormat="1" ht="64" x14ac:dyDescent="0.2">
      <c r="B27" s="326" t="s">
        <v>130</v>
      </c>
      <c r="C27" s="327"/>
      <c r="D27" s="327"/>
      <c r="E27" s="220" t="str" cm="1">
        <f t="array" aca="1" ref="E27" ca="1">_xlfn.CONCAT(_xlfn.TEXTAFTER(CELL("filename",A2),"]")," Interval in cents")</f>
        <v>Template from ET Scale Order Interval in cents</v>
      </c>
      <c r="F27" s="84" t="s">
        <v>18</v>
      </c>
      <c r="G27" s="52" t="str">
        <f>_xlfn.CONCAT("diff ",$F$2)</f>
        <v>diff 1/1 Cents</v>
      </c>
      <c r="I27" s="149" t="s">
        <v>130</v>
      </c>
      <c r="J27" s="84" t="s">
        <v>521</v>
      </c>
      <c r="L27" s="86" t="s">
        <v>19</v>
      </c>
      <c r="M27" s="84" t="s">
        <v>130</v>
      </c>
      <c r="N27" s="84" t="s">
        <v>131</v>
      </c>
      <c r="O27" s="52" t="s">
        <v>20</v>
      </c>
      <c r="Q27" s="85" t="s">
        <v>21</v>
      </c>
      <c r="R27" s="84" t="s">
        <v>1</v>
      </c>
      <c r="S27" s="84" t="s">
        <v>12</v>
      </c>
      <c r="T27" s="84" t="s">
        <v>22</v>
      </c>
      <c r="U27" s="84" t="s">
        <v>23</v>
      </c>
      <c r="V27" s="52" t="s">
        <v>49</v>
      </c>
      <c r="X27" s="83" t="s">
        <v>0</v>
      </c>
      <c r="Y27" s="84" t="s">
        <v>93</v>
      </c>
      <c r="Z27" s="52" t="s">
        <v>92</v>
      </c>
    </row>
    <row r="28" spans="2:32" x14ac:dyDescent="0.2">
      <c r="B28" s="107" t="s">
        <v>2</v>
      </c>
      <c r="C28" s="81" t="s">
        <v>4</v>
      </c>
      <c r="D28" s="97">
        <v>1</v>
      </c>
      <c r="E28" s="4">
        <f t="shared" ref="E28:E39" si="17">LOG(D28*VLOOKUP(C28,Master_Frequencies,2,FALSE)/VLOOKUP(B28,Master_Frequencies,2,FALSE),2)*1200</f>
        <v>390.22499567306306</v>
      </c>
      <c r="F28" s="4">
        <f t="shared" ref="F28:F39" si="18">VLOOKUP(B28,Master_Frequencies,2,FALSE)*5/4</f>
        <v>329.25529071872751</v>
      </c>
      <c r="G28" s="47">
        <f t="shared" ref="G28:G39" si="19">IF($D$2="Cents",LOG(D28*VLOOKUP(C28,Master_Frequencies,2,FALSE)/F28,2)*1200*$D$3,LOG(D28*VLOOKUP(C29,Master_Frequencies,2,FALSE)/F28,$F$3))</f>
        <v>3.9112818082283036</v>
      </c>
      <c r="I28" s="107" t="s">
        <v>2</v>
      </c>
      <c r="J28" s="81" t="s">
        <v>6</v>
      </c>
      <c r="K28" s="97">
        <v>1</v>
      </c>
      <c r="L28" s="189">
        <f t="shared" ref="L28:L39" si="20">K28*VLOOKUP(J28,Master_Frequencies,2,FALSE)/VLOOKUP(I28,Master_Frequencies,2,FALSE)</f>
        <v>1.4949269604510482</v>
      </c>
      <c r="M28" s="81" t="s">
        <v>2</v>
      </c>
      <c r="N28" s="81" t="s">
        <v>4</v>
      </c>
      <c r="O28" s="191">
        <f t="shared" ref="O28:O39" si="21">D28*VLOOKUP(N28,Master_Frequencies,2,FALSE)/VLOOKUP(M28,Master_Frequencies,2,FALSE)</f>
        <v>1.2528272487271466</v>
      </c>
      <c r="Q28" s="99">
        <v>1</v>
      </c>
      <c r="R28" s="18">
        <f>$E$9*Q28</f>
        <v>263.40423257498202</v>
      </c>
      <c r="S28" s="97">
        <v>0</v>
      </c>
      <c r="T28" s="4">
        <f>R28/POWER(2,S28)</f>
        <v>263.40423257498202</v>
      </c>
      <c r="U28" s="18" t="str" cm="1">
        <f t="array" ref="U28">_xlfn.XLOOKUP(0,ABS($C$44:$C$56-T28),$B$44:$B$56,,1)</f>
        <v>C</v>
      </c>
      <c r="V28" s="47">
        <f t="shared" ref="V28:V40" si="22">LOG(T28/VLOOKUP(U28,Master_Frequencies,2,FALSE),2)*1200</f>
        <v>0</v>
      </c>
      <c r="X28" s="85" t="s">
        <v>2</v>
      </c>
      <c r="Y28" s="4">
        <f t="shared" ref="Y28:Y40" si="23">VLOOKUP(X28,Master_Frequencies,2,FALSE)/POWER(2,$Z$26)</f>
        <v>131.70211628749101</v>
      </c>
      <c r="Z28" s="47">
        <f t="shared" ref="Z28:Z40" si="24">VLOOKUP(X28,Master_Frequencies,2,FALSE)*POWER(2,$Z$26)</f>
        <v>526.80846514996404</v>
      </c>
    </row>
    <row r="29" spans="2:32" x14ac:dyDescent="0.2">
      <c r="B29" s="107" t="s">
        <v>74</v>
      </c>
      <c r="C29" s="81" t="s">
        <v>5</v>
      </c>
      <c r="D29" s="97">
        <v>1</v>
      </c>
      <c r="E29" s="4">
        <f t="shared" si="17"/>
        <v>407.82000346154945</v>
      </c>
      <c r="F29" s="4">
        <f t="shared" si="18"/>
        <v>346.86977129215745</v>
      </c>
      <c r="G29" s="47">
        <f t="shared" si="19"/>
        <v>21.50628959671478</v>
      </c>
      <c r="I29" s="107" t="s">
        <v>74</v>
      </c>
      <c r="J29" s="81" t="s">
        <v>72</v>
      </c>
      <c r="K29" s="97">
        <v>1</v>
      </c>
      <c r="L29" s="189">
        <f t="shared" si="20"/>
        <v>1.4999999999999998</v>
      </c>
      <c r="M29" s="81" t="s">
        <v>74</v>
      </c>
      <c r="N29" s="81" t="s">
        <v>5</v>
      </c>
      <c r="O29" s="191">
        <f t="shared" si="21"/>
        <v>1.2656249999999998</v>
      </c>
      <c r="Q29" s="99">
        <v>2</v>
      </c>
      <c r="R29" s="18">
        <f t="shared" ref="R29:R40" si="25">$E$9*Q29</f>
        <v>526.80846514996404</v>
      </c>
      <c r="S29" s="97">
        <v>0</v>
      </c>
      <c r="T29" s="4">
        <f t="shared" ref="T29:T40" si="26">R29/POWER(2,S29)</f>
        <v>526.80846514996404</v>
      </c>
      <c r="U29" s="18" t="str" cm="1">
        <f t="array" ref="U29">_xlfn.XLOOKUP(0,ABS($C$44:$C$56-T29),$B$44:$B$56,,1)</f>
        <v>c oct.</v>
      </c>
      <c r="V29" s="47">
        <f t="shared" si="22"/>
        <v>0</v>
      </c>
      <c r="X29" s="85" t="s">
        <v>74</v>
      </c>
      <c r="Y29" s="4">
        <f t="shared" si="23"/>
        <v>138.74790851686299</v>
      </c>
      <c r="Z29" s="47">
        <f t="shared" si="24"/>
        <v>554.99163406745197</v>
      </c>
    </row>
    <row r="30" spans="2:32" x14ac:dyDescent="0.2">
      <c r="B30" s="107" t="s">
        <v>3</v>
      </c>
      <c r="C30" s="81" t="s">
        <v>70</v>
      </c>
      <c r="D30" s="97">
        <v>1</v>
      </c>
      <c r="E30" s="4">
        <f t="shared" si="17"/>
        <v>396.08999826922536</v>
      </c>
      <c r="F30" s="4">
        <f t="shared" si="18"/>
        <v>367.91095120396704</v>
      </c>
      <c r="G30" s="47">
        <f t="shared" si="19"/>
        <v>9.7762844043904575</v>
      </c>
      <c r="I30" s="107" t="s">
        <v>3</v>
      </c>
      <c r="J30" s="81" t="s">
        <v>7</v>
      </c>
      <c r="K30" s="97">
        <v>1</v>
      </c>
      <c r="L30" s="189">
        <f t="shared" si="20"/>
        <v>1.4949269604510476</v>
      </c>
      <c r="M30" s="81" t="s">
        <v>3</v>
      </c>
      <c r="N30" s="81" t="s">
        <v>70</v>
      </c>
      <c r="O30" s="191">
        <f t="shared" si="21"/>
        <v>1.257078722109418</v>
      </c>
      <c r="Q30" s="99">
        <v>3</v>
      </c>
      <c r="R30" s="18">
        <f t="shared" si="25"/>
        <v>790.21269772494611</v>
      </c>
      <c r="S30" s="97">
        <v>1</v>
      </c>
      <c r="T30" s="4">
        <f t="shared" si="26"/>
        <v>395.10634886247306</v>
      </c>
      <c r="U30" s="18" t="str" cm="1">
        <f t="array" ref="U30">_xlfn.XLOOKUP(0,ABS($C$44:$C$56-T30),$B$44:$B$56,,1)</f>
        <v>G</v>
      </c>
      <c r="V30" s="47">
        <f t="shared" si="22"/>
        <v>5.8650025961623031</v>
      </c>
      <c r="X30" s="85" t="s">
        <v>3</v>
      </c>
      <c r="Y30" s="4">
        <f t="shared" si="23"/>
        <v>147.16438048158682</v>
      </c>
      <c r="Z30" s="47">
        <f t="shared" si="24"/>
        <v>588.65752192634727</v>
      </c>
    </row>
    <row r="31" spans="2:32" x14ac:dyDescent="0.2">
      <c r="B31" s="107" t="s">
        <v>76</v>
      </c>
      <c r="C31" s="81" t="s">
        <v>6</v>
      </c>
      <c r="D31" s="97">
        <v>1</v>
      </c>
      <c r="E31" s="4">
        <f t="shared" si="17"/>
        <v>401.95500086538743</v>
      </c>
      <c r="F31" s="4">
        <f t="shared" si="18"/>
        <v>390.22849270367715</v>
      </c>
      <c r="G31" s="47">
        <f t="shared" si="19"/>
        <v>15.641287000552362</v>
      </c>
      <c r="I31" s="107" t="s">
        <v>76</v>
      </c>
      <c r="J31" s="81" t="s">
        <v>73</v>
      </c>
      <c r="K31" s="97">
        <v>1</v>
      </c>
      <c r="L31" s="189">
        <f t="shared" si="20"/>
        <v>1.4999999999999996</v>
      </c>
      <c r="M31" s="81" t="s">
        <v>76</v>
      </c>
      <c r="N31" s="81" t="s">
        <v>6</v>
      </c>
      <c r="O31" s="191">
        <f t="shared" si="21"/>
        <v>1.2613446228805718</v>
      </c>
      <c r="Q31" s="99">
        <v>4</v>
      </c>
      <c r="R31" s="18">
        <f t="shared" si="25"/>
        <v>1053.6169302999281</v>
      </c>
      <c r="S31" s="97">
        <v>1</v>
      </c>
      <c r="T31" s="4">
        <f t="shared" si="26"/>
        <v>526.80846514996404</v>
      </c>
      <c r="U31" s="18" t="str" cm="1">
        <f t="array" ref="U31">_xlfn.XLOOKUP(0,ABS($C$44:$C$56-T31),$B$44:$B$56,,1)</f>
        <v>c oct.</v>
      </c>
      <c r="V31" s="47">
        <f t="shared" si="22"/>
        <v>0</v>
      </c>
      <c r="X31" s="85" t="s">
        <v>76</v>
      </c>
      <c r="Y31" s="4">
        <f t="shared" si="23"/>
        <v>156.09139708147086</v>
      </c>
      <c r="Z31" s="47">
        <f t="shared" si="24"/>
        <v>624.36558832588344</v>
      </c>
    </row>
    <row r="32" spans="2:32" x14ac:dyDescent="0.2">
      <c r="B32" s="107" t="s">
        <v>4</v>
      </c>
      <c r="C32" s="81" t="s">
        <v>72</v>
      </c>
      <c r="D32" s="97">
        <v>1</v>
      </c>
      <c r="E32" s="4">
        <f t="shared" si="17"/>
        <v>401.95500086538743</v>
      </c>
      <c r="F32" s="4">
        <f t="shared" si="18"/>
        <v>412.50000000000023</v>
      </c>
      <c r="G32" s="47">
        <f t="shared" si="19"/>
        <v>15.641287000552744</v>
      </c>
      <c r="I32" s="107" t="s">
        <v>4</v>
      </c>
      <c r="J32" s="81" t="s">
        <v>8</v>
      </c>
      <c r="K32" s="97">
        <v>1</v>
      </c>
      <c r="L32" s="189">
        <f t="shared" si="20"/>
        <v>1.5</v>
      </c>
      <c r="M32" s="81" t="s">
        <v>4</v>
      </c>
      <c r="N32" s="81" t="s">
        <v>72</v>
      </c>
      <c r="O32" s="191">
        <f t="shared" si="21"/>
        <v>1.2613446228805718</v>
      </c>
      <c r="Q32" s="99">
        <v>5</v>
      </c>
      <c r="R32" s="18">
        <f t="shared" si="25"/>
        <v>1317.02116287491</v>
      </c>
      <c r="S32" s="97">
        <v>2</v>
      </c>
      <c r="T32" s="4">
        <f t="shared" si="26"/>
        <v>329.25529071872751</v>
      </c>
      <c r="U32" s="18" t="str" cm="1">
        <f t="array" ref="U32">_xlfn.XLOOKUP(0,ABS($C$44:$C$56-T32),$B$44:$B$56,,1)</f>
        <v>E</v>
      </c>
      <c r="V32" s="47">
        <f t="shared" si="22"/>
        <v>-3.9112818082282779</v>
      </c>
      <c r="X32" s="85" t="s">
        <v>4</v>
      </c>
      <c r="Y32" s="4">
        <f t="shared" si="23"/>
        <v>165.00000000000009</v>
      </c>
      <c r="Z32" s="47">
        <f t="shared" si="24"/>
        <v>660.00000000000034</v>
      </c>
    </row>
    <row r="33" spans="2:26" x14ac:dyDescent="0.2">
      <c r="B33" s="107" t="s">
        <v>5</v>
      </c>
      <c r="C33" s="81" t="s">
        <v>7</v>
      </c>
      <c r="D33" s="97">
        <v>1</v>
      </c>
      <c r="E33" s="4">
        <f t="shared" si="17"/>
        <v>390.22499567306244</v>
      </c>
      <c r="F33" s="4">
        <f t="shared" si="18"/>
        <v>439.00705429163673</v>
      </c>
      <c r="G33" s="47">
        <f t="shared" si="19"/>
        <v>3.9112818082275358</v>
      </c>
      <c r="I33" s="107" t="s">
        <v>5</v>
      </c>
      <c r="J33" s="81" t="s">
        <v>78</v>
      </c>
      <c r="K33" s="97">
        <v>1</v>
      </c>
      <c r="L33" s="189">
        <f t="shared" si="20"/>
        <v>1.5</v>
      </c>
      <c r="M33" s="81" t="s">
        <v>5</v>
      </c>
      <c r="N33" s="81" t="s">
        <v>7</v>
      </c>
      <c r="O33" s="191">
        <f t="shared" si="21"/>
        <v>1.2528272487271461</v>
      </c>
      <c r="Q33" s="99">
        <v>6</v>
      </c>
      <c r="R33" s="18">
        <f t="shared" si="25"/>
        <v>1580.4253954498922</v>
      </c>
      <c r="S33" s="97">
        <v>2</v>
      </c>
      <c r="T33" s="4">
        <f t="shared" si="26"/>
        <v>395.10634886247306</v>
      </c>
      <c r="U33" s="18" t="str" cm="1">
        <f t="array" ref="U33">_xlfn.XLOOKUP(0,ABS($C$44:$C$56-T33),$B$44:$B$56,,1)</f>
        <v>G</v>
      </c>
      <c r="V33" s="47">
        <f t="shared" si="22"/>
        <v>5.8650025961623031</v>
      </c>
      <c r="X33" s="85" t="s">
        <v>5</v>
      </c>
      <c r="Y33" s="4">
        <f t="shared" si="23"/>
        <v>175.60282171665469</v>
      </c>
      <c r="Z33" s="47">
        <f t="shared" si="24"/>
        <v>702.41128686661875</v>
      </c>
    </row>
    <row r="34" spans="2:26" x14ac:dyDescent="0.2">
      <c r="B34" s="107" t="s">
        <v>70</v>
      </c>
      <c r="C34" s="81" t="s">
        <v>73</v>
      </c>
      <c r="D34" s="97">
        <v>1</v>
      </c>
      <c r="E34" s="4">
        <f t="shared" si="17"/>
        <v>407.82000346154945</v>
      </c>
      <c r="F34" s="4">
        <f t="shared" si="18"/>
        <v>462.49302838954327</v>
      </c>
      <c r="G34" s="47">
        <f t="shared" si="19"/>
        <v>21.506289596714399</v>
      </c>
      <c r="I34" s="107" t="s">
        <v>70</v>
      </c>
      <c r="J34" s="81" t="s">
        <v>74</v>
      </c>
      <c r="K34" s="97">
        <v>2</v>
      </c>
      <c r="L34" s="189">
        <f t="shared" si="20"/>
        <v>1.5</v>
      </c>
      <c r="M34" s="81" t="s">
        <v>70</v>
      </c>
      <c r="N34" s="81" t="s">
        <v>73</v>
      </c>
      <c r="O34" s="191">
        <f t="shared" si="21"/>
        <v>1.2656249999999998</v>
      </c>
      <c r="Q34" s="99">
        <v>7</v>
      </c>
      <c r="R34" s="18">
        <f t="shared" si="25"/>
        <v>1843.8296280248742</v>
      </c>
      <c r="S34" s="97">
        <v>2</v>
      </c>
      <c r="T34" s="4">
        <f t="shared" si="26"/>
        <v>460.95740700621855</v>
      </c>
      <c r="U34" s="18" t="str" cm="1">
        <f t="array" ref="U34">_xlfn.XLOOKUP(0,ABS($C$44:$C$56-T34),$B$44:$B$56,,1)</f>
        <v>A#</v>
      </c>
      <c r="V34" s="47">
        <f t="shared" si="22"/>
        <v>-27.264091800100044</v>
      </c>
      <c r="X34" s="85" t="s">
        <v>70</v>
      </c>
      <c r="Y34" s="4">
        <f t="shared" si="23"/>
        <v>184.99721135581731</v>
      </c>
      <c r="Z34" s="47">
        <f t="shared" si="24"/>
        <v>739.98884542326925</v>
      </c>
    </row>
    <row r="35" spans="2:26" x14ac:dyDescent="0.2">
      <c r="B35" s="107" t="s">
        <v>6</v>
      </c>
      <c r="C35" s="81" t="s">
        <v>8</v>
      </c>
      <c r="D35" s="97">
        <v>1</v>
      </c>
      <c r="E35" s="4">
        <f t="shared" si="17"/>
        <v>396.08999826922536</v>
      </c>
      <c r="F35" s="4">
        <f t="shared" si="18"/>
        <v>492.21261096657361</v>
      </c>
      <c r="G35" s="47">
        <f t="shared" si="19"/>
        <v>9.7762844043904575</v>
      </c>
      <c r="I35" s="107" t="s">
        <v>6</v>
      </c>
      <c r="J35" s="81" t="s">
        <v>3</v>
      </c>
      <c r="K35" s="97">
        <v>2</v>
      </c>
      <c r="L35" s="189">
        <f t="shared" si="20"/>
        <v>1.4949269604510482</v>
      </c>
      <c r="M35" s="81" t="s">
        <v>6</v>
      </c>
      <c r="N35" s="81" t="s">
        <v>8</v>
      </c>
      <c r="O35" s="191">
        <f t="shared" si="21"/>
        <v>1.257078722109418</v>
      </c>
      <c r="Q35" s="99">
        <v>8</v>
      </c>
      <c r="R35" s="18">
        <f t="shared" si="25"/>
        <v>2107.2338605998561</v>
      </c>
      <c r="S35" s="97">
        <v>3</v>
      </c>
      <c r="T35" s="4">
        <f t="shared" si="26"/>
        <v>263.40423257498202</v>
      </c>
      <c r="U35" s="18" t="str" cm="1">
        <f t="array" ref="U35">_xlfn.XLOOKUP(0,ABS($C$44:$C$56-T35),$B$44:$B$56,,1)</f>
        <v>C</v>
      </c>
      <c r="V35" s="47">
        <f t="shared" si="22"/>
        <v>0</v>
      </c>
      <c r="X35" s="85" t="s">
        <v>6</v>
      </c>
      <c r="Y35" s="4">
        <f t="shared" si="23"/>
        <v>196.88504438662943</v>
      </c>
      <c r="Z35" s="47">
        <f t="shared" si="24"/>
        <v>787.54017754651773</v>
      </c>
    </row>
    <row r="36" spans="2:26" x14ac:dyDescent="0.2">
      <c r="B36" s="107" t="s">
        <v>72</v>
      </c>
      <c r="C36" s="81" t="s">
        <v>78</v>
      </c>
      <c r="D36" s="97">
        <v>1</v>
      </c>
      <c r="E36" s="4">
        <f t="shared" si="17"/>
        <v>407.82000346154945</v>
      </c>
      <c r="F36" s="4">
        <f t="shared" si="18"/>
        <v>520.30465693823612</v>
      </c>
      <c r="G36" s="47">
        <f t="shared" si="19"/>
        <v>21.50628959671478</v>
      </c>
      <c r="I36" s="107" t="s">
        <v>72</v>
      </c>
      <c r="J36" s="81" t="s">
        <v>76</v>
      </c>
      <c r="K36" s="97">
        <v>2</v>
      </c>
      <c r="L36" s="189">
        <f t="shared" si="20"/>
        <v>1.5000000000000002</v>
      </c>
      <c r="M36" s="81" t="s">
        <v>72</v>
      </c>
      <c r="N36" s="81" t="s">
        <v>78</v>
      </c>
      <c r="O36" s="191">
        <f t="shared" si="21"/>
        <v>1.2656249999999998</v>
      </c>
      <c r="Q36" s="99">
        <v>9</v>
      </c>
      <c r="R36" s="18">
        <f t="shared" si="25"/>
        <v>2370.6380931748381</v>
      </c>
      <c r="S36" s="97">
        <v>3</v>
      </c>
      <c r="T36" s="4">
        <f t="shared" si="26"/>
        <v>296.32976164685476</v>
      </c>
      <c r="U36" s="18" t="str" cm="1">
        <f t="array" ref="U36">_xlfn.XLOOKUP(0,ABS($C$44:$C$56-T36),$B$44:$B$56,,1)</f>
        <v>D</v>
      </c>
      <c r="V36" s="47">
        <f t="shared" si="22"/>
        <v>11.730005192323979</v>
      </c>
      <c r="X36" s="85" t="s">
        <v>72</v>
      </c>
      <c r="Y36" s="4">
        <f t="shared" si="23"/>
        <v>208.12186277529446</v>
      </c>
      <c r="Z36" s="47">
        <f t="shared" si="24"/>
        <v>832.48745110117784</v>
      </c>
    </row>
    <row r="37" spans="2:26" x14ac:dyDescent="0.2">
      <c r="B37" s="107" t="s">
        <v>7</v>
      </c>
      <c r="C37" s="81" t="s">
        <v>74</v>
      </c>
      <c r="D37" s="97">
        <v>2</v>
      </c>
      <c r="E37" s="4">
        <f t="shared" si="17"/>
        <v>401.955000865388</v>
      </c>
      <c r="F37" s="4">
        <f t="shared" si="18"/>
        <v>550.00000000000011</v>
      </c>
      <c r="G37" s="47">
        <f t="shared" si="19"/>
        <v>15.641287000553508</v>
      </c>
      <c r="I37" s="107" t="s">
        <v>7</v>
      </c>
      <c r="J37" s="81" t="s">
        <v>4</v>
      </c>
      <c r="K37" s="97">
        <v>2</v>
      </c>
      <c r="L37" s="189">
        <f t="shared" si="20"/>
        <v>1.5000000000000004</v>
      </c>
      <c r="M37" s="81" t="s">
        <v>7</v>
      </c>
      <c r="N37" s="81" t="s">
        <v>74</v>
      </c>
      <c r="O37" s="191">
        <f t="shared" si="21"/>
        <v>1.2613446228805723</v>
      </c>
      <c r="Q37" s="99">
        <v>10</v>
      </c>
      <c r="R37" s="18">
        <f t="shared" si="25"/>
        <v>2634.0423257498201</v>
      </c>
      <c r="S37" s="97">
        <v>3</v>
      </c>
      <c r="T37" s="4">
        <f t="shared" si="26"/>
        <v>329.25529071872751</v>
      </c>
      <c r="U37" s="18" t="str" cm="1">
        <f t="array" ref="U37">_xlfn.XLOOKUP(0,ABS($C$44:$C$56-T37),$B$44:$B$56,,1)</f>
        <v>E</v>
      </c>
      <c r="V37" s="47">
        <f t="shared" si="22"/>
        <v>-3.9112818082282779</v>
      </c>
      <c r="X37" s="85" t="s">
        <v>7</v>
      </c>
      <c r="Y37" s="4">
        <f t="shared" si="23"/>
        <v>220.00000000000006</v>
      </c>
      <c r="Z37" s="47">
        <f t="shared" si="24"/>
        <v>880.00000000000023</v>
      </c>
    </row>
    <row r="38" spans="2:26" x14ac:dyDescent="0.2">
      <c r="B38" s="107" t="s">
        <v>73</v>
      </c>
      <c r="C38" s="81" t="s">
        <v>3</v>
      </c>
      <c r="D38" s="97">
        <v>2</v>
      </c>
      <c r="E38" s="4">
        <f t="shared" si="17"/>
        <v>396.0899982692257</v>
      </c>
      <c r="F38" s="4">
        <f t="shared" si="18"/>
        <v>585.34273905551561</v>
      </c>
      <c r="G38" s="47">
        <f t="shared" si="19"/>
        <v>9.7762844043904575</v>
      </c>
      <c r="I38" s="107" t="s">
        <v>73</v>
      </c>
      <c r="J38" s="81" t="s">
        <v>5</v>
      </c>
      <c r="K38" s="97">
        <v>2</v>
      </c>
      <c r="L38" s="189">
        <f t="shared" si="20"/>
        <v>1.5000000000000002</v>
      </c>
      <c r="M38" s="81" t="s">
        <v>73</v>
      </c>
      <c r="N38" s="81" t="s">
        <v>3</v>
      </c>
      <c r="O38" s="191">
        <f t="shared" si="21"/>
        <v>1.2570787221094182</v>
      </c>
      <c r="Q38" s="99">
        <v>11</v>
      </c>
      <c r="R38" s="18">
        <f t="shared" si="25"/>
        <v>2897.446558324802</v>
      </c>
      <c r="S38" s="97">
        <v>3</v>
      </c>
      <c r="T38" s="4">
        <f t="shared" si="26"/>
        <v>362.18081979060025</v>
      </c>
      <c r="U38" s="18" t="str" cm="1">
        <f t="array" ref="U38">_xlfn.XLOOKUP(0,ABS($C$44:$C$56-T38),$B$44:$B$56,,1)</f>
        <v>F#</v>
      </c>
      <c r="V38" s="47">
        <f t="shared" si="22"/>
        <v>-36.952052442919175</v>
      </c>
      <c r="X38" s="85" t="s">
        <v>73</v>
      </c>
      <c r="Y38" s="4">
        <f t="shared" si="23"/>
        <v>234.13709562220623</v>
      </c>
      <c r="Z38" s="47">
        <f t="shared" si="24"/>
        <v>936.54838248882493</v>
      </c>
    </row>
    <row r="39" spans="2:26" x14ac:dyDescent="0.2">
      <c r="B39" s="108" t="s">
        <v>8</v>
      </c>
      <c r="C39" s="151" t="s">
        <v>76</v>
      </c>
      <c r="D39" s="98">
        <v>2</v>
      </c>
      <c r="E39" s="53">
        <f t="shared" si="17"/>
        <v>401.95500086538743</v>
      </c>
      <c r="F39" s="53">
        <f t="shared" si="18"/>
        <v>618.75000000000034</v>
      </c>
      <c r="G39" s="48">
        <f t="shared" si="19"/>
        <v>15.641287000552744</v>
      </c>
      <c r="I39" s="108" t="s">
        <v>8</v>
      </c>
      <c r="J39" s="151" t="s">
        <v>70</v>
      </c>
      <c r="K39" s="98">
        <v>2</v>
      </c>
      <c r="L39" s="190">
        <f t="shared" si="20"/>
        <v>1.4949269604510482</v>
      </c>
      <c r="M39" s="151" t="s">
        <v>8</v>
      </c>
      <c r="N39" s="151" t="s">
        <v>76</v>
      </c>
      <c r="O39" s="192">
        <f t="shared" si="21"/>
        <v>1.2613446228805718</v>
      </c>
      <c r="Q39" s="99">
        <v>12</v>
      </c>
      <c r="R39" s="18">
        <f t="shared" si="25"/>
        <v>3160.8507908997844</v>
      </c>
      <c r="S39" s="97">
        <v>3</v>
      </c>
      <c r="T39" s="4">
        <f t="shared" si="26"/>
        <v>395.10634886247306</v>
      </c>
      <c r="U39" s="18" t="str" cm="1">
        <f t="array" ref="U39">_xlfn.XLOOKUP(0,ABS($C$44:$C$56-T39),$B$44:$B$56,,1)</f>
        <v>G</v>
      </c>
      <c r="V39" s="47">
        <f t="shared" si="22"/>
        <v>5.8650025961623031</v>
      </c>
      <c r="X39" s="85" t="s">
        <v>8</v>
      </c>
      <c r="Y39" s="4">
        <f t="shared" si="23"/>
        <v>247.50000000000014</v>
      </c>
      <c r="Z39" s="47">
        <f t="shared" si="24"/>
        <v>990.00000000000057</v>
      </c>
    </row>
    <row r="40" spans="2:26" x14ac:dyDescent="0.2">
      <c r="Q40" s="100">
        <v>13</v>
      </c>
      <c r="R40" s="50">
        <f t="shared" si="25"/>
        <v>3424.2550234747664</v>
      </c>
      <c r="S40" s="98">
        <v>3</v>
      </c>
      <c r="T40" s="53">
        <f t="shared" si="26"/>
        <v>428.0318779343458</v>
      </c>
      <c r="U40" s="50" t="str" cm="1">
        <f t="array" ref="U40">_xlfn.XLOOKUP(0,ABS($C$44:$C$56-T40),$B$44:$B$56,,1)</f>
        <v>G#</v>
      </c>
      <c r="V40" s="48">
        <f t="shared" si="22"/>
        <v>48.347665230860265</v>
      </c>
      <c r="X40" s="87" t="s">
        <v>78</v>
      </c>
      <c r="Y40" s="53">
        <f t="shared" si="23"/>
        <v>263.40423257498202</v>
      </c>
      <c r="Z40" s="48">
        <f t="shared" si="24"/>
        <v>1053.6169302999281</v>
      </c>
    </row>
    <row r="41" spans="2:26" ht="16" thickBot="1" x14ac:dyDescent="0.25"/>
    <row r="42" spans="2:26" ht="17" customHeight="1" thickTop="1" x14ac:dyDescent="0.2">
      <c r="B42" s="308" t="s">
        <v>138</v>
      </c>
      <c r="C42" s="309"/>
    </row>
    <row r="43" spans="2:26" ht="32" x14ac:dyDescent="0.2">
      <c r="B43" s="90" t="s">
        <v>14</v>
      </c>
      <c r="C43" s="91" t="s">
        <v>15</v>
      </c>
    </row>
    <row r="44" spans="2:26" ht="16" x14ac:dyDescent="0.2">
      <c r="B44" s="92" t="s">
        <v>2</v>
      </c>
      <c r="C44" s="93">
        <f>VLOOKUP(B44,$B$9:$F$21,4,FALSE)</f>
        <v>263.40423257498202</v>
      </c>
      <c r="G44" s="80"/>
    </row>
    <row r="45" spans="2:26" x14ac:dyDescent="0.2">
      <c r="B45" s="92" t="s">
        <v>74</v>
      </c>
      <c r="C45" s="93">
        <f t="shared" ref="C45:C56" si="27">VLOOKUP(B45,$B$9:$F$21,4,FALSE)</f>
        <v>277.49581703372598</v>
      </c>
    </row>
    <row r="46" spans="2:26" x14ac:dyDescent="0.2">
      <c r="B46" s="92" t="s">
        <v>3</v>
      </c>
      <c r="C46" s="93">
        <f t="shared" si="27"/>
        <v>294.32876096317364</v>
      </c>
    </row>
    <row r="47" spans="2:26" x14ac:dyDescent="0.2">
      <c r="B47" s="92" t="s">
        <v>76</v>
      </c>
      <c r="C47" s="93">
        <f t="shared" si="27"/>
        <v>312.18279416294172</v>
      </c>
    </row>
    <row r="48" spans="2:26" x14ac:dyDescent="0.2">
      <c r="B48" s="92" t="s">
        <v>4</v>
      </c>
      <c r="C48" s="93">
        <f t="shared" si="27"/>
        <v>330.00000000000017</v>
      </c>
    </row>
    <row r="49" spans="2:3" x14ac:dyDescent="0.2">
      <c r="B49" s="92" t="s">
        <v>5</v>
      </c>
      <c r="C49" s="93">
        <f t="shared" si="27"/>
        <v>351.20564343330938</v>
      </c>
    </row>
    <row r="50" spans="2:3" x14ac:dyDescent="0.2">
      <c r="B50" s="92" t="s">
        <v>70</v>
      </c>
      <c r="C50" s="93">
        <f t="shared" si="27"/>
        <v>369.99442271163463</v>
      </c>
    </row>
    <row r="51" spans="2:3" x14ac:dyDescent="0.2">
      <c r="B51" s="92" t="s">
        <v>6</v>
      </c>
      <c r="C51" s="93">
        <f t="shared" si="27"/>
        <v>393.77008877325886</v>
      </c>
    </row>
    <row r="52" spans="2:3" x14ac:dyDescent="0.2">
      <c r="B52" s="92" t="s">
        <v>72</v>
      </c>
      <c r="C52" s="93">
        <f t="shared" si="27"/>
        <v>416.24372555058892</v>
      </c>
    </row>
    <row r="53" spans="2:3" x14ac:dyDescent="0.2">
      <c r="B53" s="92" t="s">
        <v>7</v>
      </c>
      <c r="C53" s="93">
        <f t="shared" si="27"/>
        <v>440.00000000000011</v>
      </c>
    </row>
    <row r="54" spans="2:3" x14ac:dyDescent="0.2">
      <c r="B54" s="92" t="s">
        <v>73</v>
      </c>
      <c r="C54" s="93">
        <f t="shared" si="27"/>
        <v>468.27419124441246</v>
      </c>
    </row>
    <row r="55" spans="2:3" x14ac:dyDescent="0.2">
      <c r="B55" s="92" t="s">
        <v>8</v>
      </c>
      <c r="C55" s="93">
        <f t="shared" si="27"/>
        <v>495.00000000000028</v>
      </c>
    </row>
    <row r="56" spans="2:3" ht="16" thickBot="1" x14ac:dyDescent="0.25">
      <c r="B56" s="94" t="s">
        <v>78</v>
      </c>
      <c r="C56" s="95">
        <f t="shared" si="27"/>
        <v>526.80846514996404</v>
      </c>
    </row>
    <row r="57" spans="2:3" ht="16" thickTop="1" x14ac:dyDescent="0.2"/>
  </sheetData>
  <sheetProtection sheet="1" scenarios="1" formatCells="0"/>
  <mergeCells count="12">
    <mergeCell ref="B1:H1"/>
    <mergeCell ref="J5:K5"/>
    <mergeCell ref="B7:F7"/>
    <mergeCell ref="H7:M7"/>
    <mergeCell ref="AB8:AF8"/>
    <mergeCell ref="O7:T7"/>
    <mergeCell ref="X25:Z25"/>
    <mergeCell ref="B42:C42"/>
    <mergeCell ref="B27:D27"/>
    <mergeCell ref="B26:D26"/>
    <mergeCell ref="I26:O26"/>
    <mergeCell ref="Q26:V26"/>
  </mergeCells>
  <conditionalFormatting sqref="A1:XFD1048576">
    <cfRule type="expression" dxfId="1" priority="1">
      <formula>CELL("protect",A1)=0</formula>
    </cfRule>
    <cfRule type="expression" dxfId="0" priority="37">
      <formula>_xlfn.ISFORMULA(A1)</formula>
    </cfRule>
  </conditionalFormatting>
  <dataValidations count="1">
    <dataValidation type="list" showInputMessage="1" showErrorMessage="1" errorTitle="Choose from list" error="You must choose the units from the list:_x000a_Pythagoream Comma_x000a_Syntonic Comma_x000a_Cents" sqref="D2 AA2 AE6" xr:uid="{1797C168-A12B-0B45-B958-8756F475E033}">
      <formula1>Units</formula1>
    </dataValidation>
  </dataValidations>
  <hyperlinks>
    <hyperlink ref="B5" location="Overview!A1" display="Back to Overview" xr:uid="{736BDAFB-C915-6142-AF9F-A227C0938B49}"/>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4E7C-BD9B-4044-BC0E-1C62E9CBDD17}">
  <sheetPr codeName="Sheet5">
    <tabColor theme="3" tint="0.749992370372631"/>
  </sheetPr>
  <dimension ref="B1:AH336"/>
  <sheetViews>
    <sheetView workbookViewId="0">
      <pane xSplit="3" ySplit="7" topLeftCell="AC8" activePane="bottomRight" state="frozen"/>
      <selection activeCell="M3" sqref="M3:P3"/>
      <selection pane="topRight" activeCell="M3" sqref="M3:P3"/>
      <selection pane="bottomLeft" activeCell="M3" sqref="M3:P3"/>
      <selection pane="bottomRight"/>
    </sheetView>
  </sheetViews>
  <sheetFormatPr baseColWidth="10" defaultColWidth="12" defaultRowHeight="16" x14ac:dyDescent="0.2"/>
  <cols>
    <col min="1" max="1" width="2.83203125" style="60" customWidth="1"/>
    <col min="2" max="2" width="16.1640625" style="60" customWidth="1"/>
    <col min="3" max="3" width="45.33203125" style="60" customWidth="1"/>
    <col min="4" max="16384" width="12" style="60"/>
  </cols>
  <sheetData>
    <row r="1" spans="2:34" x14ac:dyDescent="0.2">
      <c r="C1" s="164" t="s">
        <v>574</v>
      </c>
      <c r="D1" s="285" t="s">
        <v>555</v>
      </c>
      <c r="E1" s="285"/>
      <c r="F1" s="285"/>
    </row>
    <row r="2" spans="2:34" x14ac:dyDescent="0.2">
      <c r="B2" s="60" t="s">
        <v>161</v>
      </c>
      <c r="C2" s="62" t="s">
        <v>162</v>
      </c>
      <c r="S2" s="60" t="s">
        <v>532</v>
      </c>
    </row>
    <row r="3" spans="2:34" x14ac:dyDescent="0.2">
      <c r="C3" s="60" t="s">
        <v>165</v>
      </c>
      <c r="D3" s="60" t="s">
        <v>166</v>
      </c>
      <c r="S3" s="65" t="e" cm="1">
        <f t="array" aca="1" ref="S3" ca="1">TRANSPOSE(INDIRECT("'"&amp;$C$1&amp;"'!ET_Scale_Fifths"))</f>
        <v>#REF!</v>
      </c>
      <c r="T3" s="65"/>
      <c r="U3" s="65"/>
      <c r="V3" s="65"/>
      <c r="W3" s="65"/>
      <c r="X3" s="65"/>
      <c r="Y3" s="65"/>
      <c r="Z3" s="65"/>
      <c r="AA3" s="65"/>
      <c r="AB3" s="65"/>
      <c r="AC3" s="65"/>
      <c r="AD3" s="65"/>
      <c r="AE3" s="65"/>
    </row>
    <row r="4" spans="2:34" x14ac:dyDescent="0.2">
      <c r="R4" s="60" t="s">
        <v>531</v>
      </c>
      <c r="S4" s="60" t="e" cm="1">
        <f t="array" aca="1" ref="S4" ca="1">TRANSPOSE(INDIRECT("'"&amp;$C$1&amp;"'!ET_Scale_Diff"))</f>
        <v>#REF!</v>
      </c>
    </row>
    <row r="5" spans="2:34" x14ac:dyDescent="0.2">
      <c r="B5" s="8" t="s">
        <v>63</v>
      </c>
      <c r="D5" s="284" t="s">
        <v>167</v>
      </c>
      <c r="E5" s="284"/>
      <c r="F5" s="284"/>
      <c r="G5" s="284"/>
      <c r="H5" s="284"/>
      <c r="I5" s="284"/>
      <c r="J5" s="284"/>
      <c r="K5" s="284"/>
      <c r="L5" s="284"/>
      <c r="M5" s="284"/>
      <c r="N5" s="284"/>
      <c r="O5" s="284"/>
      <c r="P5" s="284"/>
      <c r="R5" s="64"/>
      <c r="AG5" s="64" t="s">
        <v>169</v>
      </c>
      <c r="AH5" s="60">
        <f ca="1">MIN(AG8:AG336)</f>
        <v>0</v>
      </c>
    </row>
    <row r="6" spans="2:34" x14ac:dyDescent="0.2">
      <c r="R6" s="64"/>
      <c r="S6" s="284" t="str">
        <f>_xlfn.CONCAT("Differences between ",C1," and BDO")</f>
        <v>Differences between Matrix 4a 2 7 synt. Zarlino and BDO</v>
      </c>
      <c r="T6" s="284"/>
      <c r="U6" s="284"/>
      <c r="V6" s="284"/>
      <c r="W6" s="284"/>
      <c r="X6" s="284"/>
      <c r="Y6" s="284"/>
      <c r="Z6" s="284"/>
      <c r="AA6" s="284"/>
      <c r="AB6" s="284"/>
      <c r="AC6" s="284"/>
      <c r="AD6" s="284"/>
      <c r="AE6" s="284"/>
      <c r="AF6" s="64"/>
      <c r="AG6" s="64"/>
    </row>
    <row r="7" spans="2:34" s="65" customFormat="1" x14ac:dyDescent="0.2">
      <c r="D7" s="65" t="s">
        <v>2</v>
      </c>
      <c r="E7" s="65" t="s">
        <v>6</v>
      </c>
      <c r="F7" s="65" t="s">
        <v>3</v>
      </c>
      <c r="G7" s="65" t="s">
        <v>7</v>
      </c>
      <c r="H7" s="65" t="s">
        <v>4</v>
      </c>
      <c r="I7" s="65" t="s">
        <v>8</v>
      </c>
      <c r="J7" s="65" t="s">
        <v>70</v>
      </c>
      <c r="K7" s="65" t="s">
        <v>74</v>
      </c>
      <c r="L7" s="65" t="s">
        <v>72</v>
      </c>
      <c r="M7" s="65" t="s">
        <v>76</v>
      </c>
      <c r="N7" s="65" t="s">
        <v>73</v>
      </c>
      <c r="O7" s="65" t="s">
        <v>5</v>
      </c>
      <c r="P7" s="65" t="s">
        <v>78</v>
      </c>
      <c r="AG7" s="63" t="s">
        <v>173</v>
      </c>
    </row>
    <row r="8" spans="2:34" x14ac:dyDescent="0.2">
      <c r="C8" s="60" t="s">
        <v>174</v>
      </c>
      <c r="D8" s="60">
        <v>0</v>
      </c>
      <c r="E8" s="60">
        <v>-3</v>
      </c>
      <c r="F8" s="60">
        <v>-6</v>
      </c>
      <c r="G8" s="60">
        <v>-10</v>
      </c>
      <c r="H8" s="60">
        <v>-13</v>
      </c>
      <c r="I8" s="60">
        <v>-16</v>
      </c>
      <c r="J8" s="60">
        <v>-19</v>
      </c>
      <c r="K8" s="60">
        <v>-23</v>
      </c>
      <c r="L8" s="60">
        <v>-26</v>
      </c>
      <c r="M8" s="60">
        <v>10</v>
      </c>
      <c r="N8" s="60">
        <v>6</v>
      </c>
      <c r="O8" s="60">
        <v>3</v>
      </c>
      <c r="P8" s="60">
        <v>0</v>
      </c>
      <c r="S8" s="60" t="e">
        <f t="shared" ref="S8:S71" ca="1" si="0">S$4-D8</f>
        <v>#REF!</v>
      </c>
      <c r="T8" s="60">
        <f t="shared" ref="T8:T71" si="1">T$4-E8</f>
        <v>3</v>
      </c>
      <c r="U8" s="60">
        <f t="shared" ref="U8:U71" si="2">U$4-F8</f>
        <v>6</v>
      </c>
      <c r="V8" s="60">
        <f t="shared" ref="V8:V71" si="3">V$4-G8</f>
        <v>10</v>
      </c>
      <c r="W8" s="60">
        <f t="shared" ref="W8:W71" si="4">W$4-H8</f>
        <v>13</v>
      </c>
      <c r="X8" s="60">
        <f t="shared" ref="X8:X71" si="5">X$4-I8</f>
        <v>16</v>
      </c>
      <c r="Y8" s="60">
        <f t="shared" ref="Y8:Y71" si="6">Y$4-J8</f>
        <v>19</v>
      </c>
      <c r="Z8" s="60">
        <f t="shared" ref="Z8:Z71" si="7">Z$4-K8</f>
        <v>23</v>
      </c>
      <c r="AA8" s="60">
        <f t="shared" ref="AA8:AA71" si="8">AA$4-L8</f>
        <v>26</v>
      </c>
      <c r="AB8" s="60">
        <f t="shared" ref="AB8:AB71" si="9">AB$4-M8</f>
        <v>-10</v>
      </c>
      <c r="AC8" s="60">
        <f t="shared" ref="AC8:AC71" si="10">AC$4-N8</f>
        <v>-6</v>
      </c>
      <c r="AD8" s="60">
        <f t="shared" ref="AD8:AD71" si="11">AD$4-O8</f>
        <v>-3</v>
      </c>
      <c r="AE8" s="60">
        <f t="shared" ref="AE8:AE71" si="12">AE$4-P8</f>
        <v>0</v>
      </c>
      <c r="AG8" s="60" cm="1">
        <f t="array" aca="1" ref="AG8" ca="1">SQRT(SUMSQ(_xlfn._xlws.FILTER(S8:AE8,ISNUMBER(S8:AE8)))/COUNT(_xlfn._xlws.FILTER(S8:AE8,ISNUMBER(S8:AE8))))</f>
        <v>13.787071238422371</v>
      </c>
    </row>
    <row r="9" spans="2:34" x14ac:dyDescent="0.2">
      <c r="C9" s="60" t="s">
        <v>175</v>
      </c>
      <c r="D9" s="60">
        <v>0</v>
      </c>
      <c r="E9" s="60">
        <v>-3.226</v>
      </c>
      <c r="F9" s="60">
        <v>-6.452</v>
      </c>
      <c r="G9" s="60">
        <v>-9.6769999999999996</v>
      </c>
      <c r="H9" s="60">
        <v>-12.903</v>
      </c>
      <c r="I9" s="60">
        <v>-16.129000000000001</v>
      </c>
      <c r="J9" s="60">
        <v>-19.355</v>
      </c>
      <c r="K9" s="60">
        <v>-22.581</v>
      </c>
      <c r="L9" s="60">
        <v>-25.806000000000001</v>
      </c>
      <c r="M9" s="60">
        <v>9.6769999999999996</v>
      </c>
      <c r="N9" s="60">
        <v>6.452</v>
      </c>
      <c r="O9" s="60">
        <v>3.226</v>
      </c>
      <c r="P9" s="60">
        <v>0</v>
      </c>
      <c r="S9" s="60" t="e">
        <f t="shared" ca="1" si="0"/>
        <v>#REF!</v>
      </c>
      <c r="T9" s="60">
        <f t="shared" si="1"/>
        <v>3.226</v>
      </c>
      <c r="U9" s="60">
        <f t="shared" si="2"/>
        <v>6.452</v>
      </c>
      <c r="V9" s="60">
        <f t="shared" si="3"/>
        <v>9.6769999999999996</v>
      </c>
      <c r="W9" s="60">
        <f t="shared" si="4"/>
        <v>12.903</v>
      </c>
      <c r="X9" s="60">
        <f t="shared" si="5"/>
        <v>16.129000000000001</v>
      </c>
      <c r="Y9" s="60">
        <f t="shared" si="6"/>
        <v>19.355</v>
      </c>
      <c r="Z9" s="60">
        <f t="shared" si="7"/>
        <v>22.581</v>
      </c>
      <c r="AA9" s="60">
        <f t="shared" si="8"/>
        <v>25.806000000000001</v>
      </c>
      <c r="AB9" s="60">
        <f t="shared" si="9"/>
        <v>-9.6769999999999996</v>
      </c>
      <c r="AC9" s="60">
        <f t="shared" si="10"/>
        <v>-6.452</v>
      </c>
      <c r="AD9" s="60">
        <f t="shared" si="11"/>
        <v>-3.226</v>
      </c>
      <c r="AE9" s="60">
        <f t="shared" si="12"/>
        <v>0</v>
      </c>
      <c r="AG9" s="60" cm="1">
        <f t="array" aca="1" ref="AG9" ca="1">SQRT(SUMSQ(_xlfn._xlws.FILTER(S9:AE9,ISNUMBER(S9:AE9)))/COUNT(_xlfn._xlws.FILTER(S9:AE9,ISNUMBER(S9:AE9))))</f>
        <v>13.749117214085663</v>
      </c>
    </row>
    <row r="10" spans="2:34" x14ac:dyDescent="0.2">
      <c r="C10" s="60" t="s">
        <v>176</v>
      </c>
      <c r="D10" s="60">
        <v>0</v>
      </c>
      <c r="E10" s="60">
        <v>2</v>
      </c>
      <c r="F10" s="60">
        <v>4</v>
      </c>
      <c r="G10" s="60">
        <v>-17</v>
      </c>
      <c r="H10" s="60">
        <v>-15</v>
      </c>
      <c r="I10" s="60">
        <v>-13</v>
      </c>
      <c r="J10" s="60">
        <v>-11</v>
      </c>
      <c r="K10" s="60">
        <v>-32</v>
      </c>
      <c r="L10" s="60">
        <v>-30</v>
      </c>
      <c r="M10" s="60">
        <v>17</v>
      </c>
      <c r="N10" s="60">
        <v>19</v>
      </c>
      <c r="O10" s="60">
        <v>-2</v>
      </c>
      <c r="P10" s="60">
        <v>0</v>
      </c>
      <c r="S10" s="60" t="e">
        <f t="shared" ca="1" si="0"/>
        <v>#REF!</v>
      </c>
      <c r="T10" s="60">
        <f t="shared" si="1"/>
        <v>-2</v>
      </c>
      <c r="U10" s="60">
        <f t="shared" si="2"/>
        <v>-4</v>
      </c>
      <c r="V10" s="60">
        <f t="shared" si="3"/>
        <v>17</v>
      </c>
      <c r="W10" s="60">
        <f t="shared" si="4"/>
        <v>15</v>
      </c>
      <c r="X10" s="60">
        <f t="shared" si="5"/>
        <v>13</v>
      </c>
      <c r="Y10" s="60">
        <f t="shared" si="6"/>
        <v>11</v>
      </c>
      <c r="Z10" s="60">
        <f t="shared" si="7"/>
        <v>32</v>
      </c>
      <c r="AA10" s="60">
        <f t="shared" si="8"/>
        <v>30</v>
      </c>
      <c r="AB10" s="60">
        <f t="shared" si="9"/>
        <v>-17</v>
      </c>
      <c r="AC10" s="60">
        <f t="shared" si="10"/>
        <v>-19</v>
      </c>
      <c r="AD10" s="60">
        <f t="shared" si="11"/>
        <v>2</v>
      </c>
      <c r="AE10" s="60">
        <f t="shared" si="12"/>
        <v>0</v>
      </c>
      <c r="AG10" s="60" cm="1">
        <f t="array" aca="1" ref="AG10" ca="1">SQRT(SUMSQ(_xlfn._xlws.FILTER(S10:AE10,ISNUMBER(S10:AE10)))/COUNT(_xlfn._xlws.FILTER(S10:AE10,ISNUMBER(S10:AE10))))</f>
        <v>16.837458240482736</v>
      </c>
    </row>
    <row r="11" spans="2:34" x14ac:dyDescent="0.2">
      <c r="C11" s="60" t="s">
        <v>177</v>
      </c>
      <c r="D11" s="60">
        <v>0</v>
      </c>
      <c r="E11" s="60">
        <v>1.887</v>
      </c>
      <c r="F11" s="60">
        <v>3.774</v>
      </c>
      <c r="G11" s="60">
        <v>-16.981000000000002</v>
      </c>
      <c r="H11" s="60">
        <v>-15.093999999999999</v>
      </c>
      <c r="I11" s="60">
        <v>-13.208</v>
      </c>
      <c r="J11" s="60">
        <v>-11.321</v>
      </c>
      <c r="K11" s="60">
        <v>-32.075000000000003</v>
      </c>
      <c r="L11" s="60">
        <v>-30.119</v>
      </c>
      <c r="M11" s="60">
        <v>16.981000000000002</v>
      </c>
      <c r="N11" s="60">
        <v>18.867999999999999</v>
      </c>
      <c r="O11" s="60">
        <v>-1.887</v>
      </c>
      <c r="P11" s="60">
        <v>0</v>
      </c>
      <c r="S11" s="60" t="e">
        <f t="shared" ca="1" si="0"/>
        <v>#REF!</v>
      </c>
      <c r="T11" s="60">
        <f t="shared" si="1"/>
        <v>-1.887</v>
      </c>
      <c r="U11" s="60">
        <f t="shared" si="2"/>
        <v>-3.774</v>
      </c>
      <c r="V11" s="60">
        <f t="shared" si="3"/>
        <v>16.981000000000002</v>
      </c>
      <c r="W11" s="60">
        <f t="shared" si="4"/>
        <v>15.093999999999999</v>
      </c>
      <c r="X11" s="60">
        <f t="shared" si="5"/>
        <v>13.208</v>
      </c>
      <c r="Y11" s="60">
        <f t="shared" si="6"/>
        <v>11.321</v>
      </c>
      <c r="Z11" s="60">
        <f t="shared" si="7"/>
        <v>32.075000000000003</v>
      </c>
      <c r="AA11" s="60">
        <f t="shared" si="8"/>
        <v>30.119</v>
      </c>
      <c r="AB11" s="60">
        <f t="shared" si="9"/>
        <v>-16.981000000000002</v>
      </c>
      <c r="AC11" s="60">
        <f t="shared" si="10"/>
        <v>-18.867999999999999</v>
      </c>
      <c r="AD11" s="60">
        <f t="shared" si="11"/>
        <v>1.887</v>
      </c>
      <c r="AE11" s="60">
        <f t="shared" si="12"/>
        <v>0</v>
      </c>
      <c r="AG11" s="60" cm="1">
        <f t="array" aca="1" ref="AG11" ca="1">SQRT(SUMSQ(_xlfn._xlws.FILTER(S11:AE11,ISNUMBER(S11:AE11)))/COUNT(_xlfn._xlws.FILTER(S11:AE11,ISNUMBER(S11:AE11))))</f>
        <v>16.883126899856755</v>
      </c>
    </row>
    <row r="12" spans="2:34" x14ac:dyDescent="0.2">
      <c r="C12" s="60" t="s">
        <v>178</v>
      </c>
      <c r="D12" s="60">
        <v>0</v>
      </c>
      <c r="E12" s="60">
        <v>2</v>
      </c>
      <c r="F12" s="60">
        <v>4</v>
      </c>
      <c r="G12" s="60">
        <v>-17</v>
      </c>
      <c r="H12" s="60">
        <v>-15</v>
      </c>
      <c r="I12" s="60">
        <v>-13</v>
      </c>
      <c r="J12" s="60">
        <v>-11</v>
      </c>
      <c r="K12" s="60">
        <v>-9</v>
      </c>
      <c r="L12" s="60">
        <v>-8</v>
      </c>
      <c r="M12" s="60">
        <v>-6</v>
      </c>
      <c r="N12" s="60">
        <v>-4</v>
      </c>
      <c r="O12" s="60">
        <v>-2</v>
      </c>
      <c r="P12" s="60">
        <v>0</v>
      </c>
      <c r="S12" s="60" t="e">
        <f t="shared" ca="1" si="0"/>
        <v>#REF!</v>
      </c>
      <c r="T12" s="60">
        <f t="shared" si="1"/>
        <v>-2</v>
      </c>
      <c r="U12" s="60">
        <f t="shared" si="2"/>
        <v>-4</v>
      </c>
      <c r="V12" s="60">
        <f t="shared" si="3"/>
        <v>17</v>
      </c>
      <c r="W12" s="60">
        <f t="shared" si="4"/>
        <v>15</v>
      </c>
      <c r="X12" s="60">
        <f t="shared" si="5"/>
        <v>13</v>
      </c>
      <c r="Y12" s="60">
        <f t="shared" si="6"/>
        <v>11</v>
      </c>
      <c r="Z12" s="60">
        <f t="shared" si="7"/>
        <v>9</v>
      </c>
      <c r="AA12" s="60">
        <f t="shared" si="8"/>
        <v>8</v>
      </c>
      <c r="AB12" s="60">
        <f t="shared" si="9"/>
        <v>6</v>
      </c>
      <c r="AC12" s="60">
        <f t="shared" si="10"/>
        <v>4</v>
      </c>
      <c r="AD12" s="60">
        <f t="shared" si="11"/>
        <v>2</v>
      </c>
      <c r="AE12" s="60">
        <f t="shared" si="12"/>
        <v>0</v>
      </c>
      <c r="AG12" s="60" cm="1">
        <f t="array" aca="1" ref="AG12" ca="1">SQRT(SUMSQ(_xlfn._xlws.FILTER(S12:AE12,ISNUMBER(S12:AE12)))/COUNT(_xlfn._xlws.FILTER(S12:AE12,ISNUMBER(S12:AE12))))</f>
        <v>9.2421137553411814</v>
      </c>
    </row>
    <row r="13" spans="2:34" x14ac:dyDescent="0.2">
      <c r="C13" s="60" t="s">
        <v>179</v>
      </c>
      <c r="D13" s="60">
        <v>0</v>
      </c>
      <c r="E13" s="60">
        <v>1.887</v>
      </c>
      <c r="F13" s="60">
        <v>3.774</v>
      </c>
      <c r="G13" s="60">
        <v>-16.981000000000002</v>
      </c>
      <c r="H13" s="60">
        <v>-15.093999999999999</v>
      </c>
      <c r="I13" s="60">
        <v>-13.076000000000001</v>
      </c>
      <c r="J13" s="60">
        <v>-11.311999999999999</v>
      </c>
      <c r="K13" s="60">
        <v>-9.4339999999999993</v>
      </c>
      <c r="L13" s="60">
        <v>-7.5469999999999997</v>
      </c>
      <c r="M13" s="60">
        <v>-5.66</v>
      </c>
      <c r="N13" s="60">
        <v>-3.774</v>
      </c>
      <c r="O13" s="60">
        <v>-1.887</v>
      </c>
      <c r="P13" s="60">
        <v>0</v>
      </c>
      <c r="S13" s="60" t="e">
        <f t="shared" ca="1" si="0"/>
        <v>#REF!</v>
      </c>
      <c r="T13" s="60">
        <f t="shared" si="1"/>
        <v>-1.887</v>
      </c>
      <c r="U13" s="60">
        <f t="shared" si="2"/>
        <v>-3.774</v>
      </c>
      <c r="V13" s="60">
        <f t="shared" si="3"/>
        <v>16.981000000000002</v>
      </c>
      <c r="W13" s="60">
        <f t="shared" si="4"/>
        <v>15.093999999999999</v>
      </c>
      <c r="X13" s="60">
        <f t="shared" si="5"/>
        <v>13.076000000000001</v>
      </c>
      <c r="Y13" s="60">
        <f t="shared" si="6"/>
        <v>11.311999999999999</v>
      </c>
      <c r="Z13" s="60">
        <f t="shared" si="7"/>
        <v>9.4339999999999993</v>
      </c>
      <c r="AA13" s="60">
        <f t="shared" si="8"/>
        <v>7.5469999999999997</v>
      </c>
      <c r="AB13" s="60">
        <f t="shared" si="9"/>
        <v>5.66</v>
      </c>
      <c r="AC13" s="60">
        <f t="shared" si="10"/>
        <v>3.774</v>
      </c>
      <c r="AD13" s="60">
        <f t="shared" si="11"/>
        <v>1.887</v>
      </c>
      <c r="AE13" s="60">
        <f t="shared" si="12"/>
        <v>0</v>
      </c>
      <c r="AG13" s="60" cm="1">
        <f t="array" aca="1" ref="AG13" ca="1">SQRT(SUMSQ(_xlfn._xlws.FILTER(S13:AE13,ISNUMBER(S13:AE13)))/COUNT(_xlfn._xlws.FILTER(S13:AE13,ISNUMBER(S13:AE13))))</f>
        <v>9.2589018967333985</v>
      </c>
    </row>
    <row r="14" spans="2:34" x14ac:dyDescent="0.2">
      <c r="C14" s="60" t="s">
        <v>180</v>
      </c>
      <c r="D14" s="60">
        <v>0</v>
      </c>
      <c r="E14" s="60">
        <v>2</v>
      </c>
      <c r="F14" s="60">
        <v>4</v>
      </c>
      <c r="G14" s="60">
        <v>6</v>
      </c>
      <c r="H14" s="60">
        <v>8</v>
      </c>
      <c r="I14" s="60">
        <v>10</v>
      </c>
      <c r="J14" s="60">
        <v>-10</v>
      </c>
      <c r="K14" s="60">
        <v>-8</v>
      </c>
      <c r="L14" s="60">
        <v>-6</v>
      </c>
      <c r="M14" s="60">
        <v>-4</v>
      </c>
      <c r="N14" s="60">
        <v>-4</v>
      </c>
      <c r="O14" s="60">
        <v>-2</v>
      </c>
      <c r="P14" s="60">
        <v>0</v>
      </c>
      <c r="S14" s="60" t="e">
        <f t="shared" ca="1" si="0"/>
        <v>#REF!</v>
      </c>
      <c r="T14" s="60">
        <f t="shared" si="1"/>
        <v>-2</v>
      </c>
      <c r="U14" s="60">
        <f t="shared" si="2"/>
        <v>-4</v>
      </c>
      <c r="V14" s="60">
        <f t="shared" si="3"/>
        <v>-6</v>
      </c>
      <c r="W14" s="60">
        <f t="shared" si="4"/>
        <v>-8</v>
      </c>
      <c r="X14" s="60">
        <f t="shared" si="5"/>
        <v>-10</v>
      </c>
      <c r="Y14" s="60">
        <f t="shared" si="6"/>
        <v>10</v>
      </c>
      <c r="Z14" s="60">
        <f t="shared" si="7"/>
        <v>8</v>
      </c>
      <c r="AA14" s="60">
        <f t="shared" si="8"/>
        <v>6</v>
      </c>
      <c r="AB14" s="60">
        <f t="shared" si="9"/>
        <v>4</v>
      </c>
      <c r="AC14" s="60">
        <f t="shared" si="10"/>
        <v>4</v>
      </c>
      <c r="AD14" s="60">
        <f t="shared" si="11"/>
        <v>2</v>
      </c>
      <c r="AE14" s="60">
        <f t="shared" si="12"/>
        <v>0</v>
      </c>
      <c r="AG14" s="60" cm="1">
        <f t="array" aca="1" ref="AG14" ca="1">SQRT(SUMSQ(_xlfn._xlws.FILTER(S14:AE14,ISNUMBER(S14:AE14)))/COUNT(_xlfn._xlws.FILTER(S14:AE14,ISNUMBER(S14:AE14))))</f>
        <v>6.164414002968976</v>
      </c>
    </row>
    <row r="15" spans="2:34" x14ac:dyDescent="0.2">
      <c r="C15" s="60" t="s">
        <v>181</v>
      </c>
      <c r="D15" s="60">
        <v>0</v>
      </c>
      <c r="E15" s="60">
        <v>1.9550000000000001</v>
      </c>
      <c r="F15" s="60">
        <v>3.91</v>
      </c>
      <c r="G15" s="60">
        <v>5.8650000000000002</v>
      </c>
      <c r="H15" s="60">
        <v>7.82</v>
      </c>
      <c r="I15" s="60">
        <v>9.7750000000000004</v>
      </c>
      <c r="J15" s="60">
        <v>-9.7759999999999998</v>
      </c>
      <c r="K15" s="60">
        <v>-7.8209999999999997</v>
      </c>
      <c r="L15" s="60">
        <v>-5.8659999999999997</v>
      </c>
      <c r="M15" s="60">
        <v>-3.911</v>
      </c>
      <c r="N15" s="60">
        <v>-3.91</v>
      </c>
      <c r="O15" s="60">
        <v>-1.9550000000000001</v>
      </c>
      <c r="P15" s="60">
        <v>0</v>
      </c>
      <c r="S15" s="60" t="e">
        <f t="shared" ca="1" si="0"/>
        <v>#REF!</v>
      </c>
      <c r="T15" s="60">
        <f t="shared" si="1"/>
        <v>-1.9550000000000001</v>
      </c>
      <c r="U15" s="60">
        <f t="shared" si="2"/>
        <v>-3.91</v>
      </c>
      <c r="V15" s="60">
        <f t="shared" si="3"/>
        <v>-5.8650000000000002</v>
      </c>
      <c r="W15" s="60">
        <f t="shared" si="4"/>
        <v>-7.82</v>
      </c>
      <c r="X15" s="60">
        <f t="shared" si="5"/>
        <v>-9.7750000000000004</v>
      </c>
      <c r="Y15" s="60">
        <f t="shared" si="6"/>
        <v>9.7759999999999998</v>
      </c>
      <c r="Z15" s="60">
        <f t="shared" si="7"/>
        <v>7.8209999999999997</v>
      </c>
      <c r="AA15" s="60">
        <f t="shared" si="8"/>
        <v>5.8659999999999997</v>
      </c>
      <c r="AB15" s="60">
        <f t="shared" si="9"/>
        <v>3.911</v>
      </c>
      <c r="AC15" s="60">
        <f t="shared" si="10"/>
        <v>3.91</v>
      </c>
      <c r="AD15" s="60">
        <f t="shared" si="11"/>
        <v>1.9550000000000001</v>
      </c>
      <c r="AE15" s="60">
        <f t="shared" si="12"/>
        <v>0</v>
      </c>
      <c r="AG15" s="60" cm="1">
        <f t="array" aca="1" ref="AG15" ca="1">SQRT(SUMSQ(_xlfn._xlws.FILTER(S15:AE15,ISNUMBER(S15:AE15)))/COUNT(_xlfn._xlws.FILTER(S15:AE15,ISNUMBER(S15:AE15))))</f>
        <v>6.0260932203211066</v>
      </c>
    </row>
    <row r="16" spans="2:34" x14ac:dyDescent="0.2">
      <c r="C16" s="60" t="s">
        <v>182</v>
      </c>
      <c r="D16" s="60">
        <v>0</v>
      </c>
      <c r="E16" s="60">
        <v>-3</v>
      </c>
      <c r="F16" s="60">
        <v>-7</v>
      </c>
      <c r="G16" s="60">
        <v>-10</v>
      </c>
      <c r="H16" s="60">
        <v>-14</v>
      </c>
      <c r="I16" s="60">
        <v>-16</v>
      </c>
      <c r="J16" s="60">
        <v>-18</v>
      </c>
      <c r="K16" s="60">
        <v>-21</v>
      </c>
      <c r="L16" s="60">
        <v>-21</v>
      </c>
      <c r="M16" s="60">
        <v>-12</v>
      </c>
      <c r="N16" s="60">
        <v>-8</v>
      </c>
      <c r="O16" s="60">
        <v>-4</v>
      </c>
      <c r="P16" s="60">
        <v>0</v>
      </c>
      <c r="S16" s="60" t="e">
        <f t="shared" ca="1" si="0"/>
        <v>#REF!</v>
      </c>
      <c r="T16" s="60">
        <f t="shared" si="1"/>
        <v>3</v>
      </c>
      <c r="U16" s="60">
        <f t="shared" si="2"/>
        <v>7</v>
      </c>
      <c r="V16" s="60">
        <f t="shared" si="3"/>
        <v>10</v>
      </c>
      <c r="W16" s="60">
        <f t="shared" si="4"/>
        <v>14</v>
      </c>
      <c r="X16" s="60">
        <f t="shared" si="5"/>
        <v>16</v>
      </c>
      <c r="Y16" s="60">
        <f t="shared" si="6"/>
        <v>18</v>
      </c>
      <c r="Z16" s="60">
        <f t="shared" si="7"/>
        <v>21</v>
      </c>
      <c r="AA16" s="60">
        <f t="shared" si="8"/>
        <v>21</v>
      </c>
      <c r="AB16" s="60">
        <f t="shared" si="9"/>
        <v>12</v>
      </c>
      <c r="AC16" s="60">
        <f t="shared" si="10"/>
        <v>8</v>
      </c>
      <c r="AD16" s="60">
        <f t="shared" si="11"/>
        <v>4</v>
      </c>
      <c r="AE16" s="60">
        <f t="shared" si="12"/>
        <v>0</v>
      </c>
      <c r="AG16" s="60" cm="1">
        <f t="array" aca="1" ref="AG16" ca="1">SQRT(SUMSQ(_xlfn._xlws.FILTER(S16:AE16,ISNUMBER(S16:AE16)))/COUNT(_xlfn._xlws.FILTER(S16:AE16,ISNUMBER(S16:AE16))))</f>
        <v>13.038404810405298</v>
      </c>
    </row>
    <row r="17" spans="3:33" x14ac:dyDescent="0.2">
      <c r="C17" s="60" t="s">
        <v>183</v>
      </c>
      <c r="D17" s="60">
        <v>0</v>
      </c>
      <c r="E17" s="60">
        <v>-2</v>
      </c>
      <c r="F17" s="60">
        <v>-5</v>
      </c>
      <c r="G17" s="60">
        <v>-7</v>
      </c>
      <c r="H17" s="60">
        <v>-9</v>
      </c>
      <c r="I17" s="60">
        <v>-9</v>
      </c>
      <c r="J17" s="60">
        <v>-9</v>
      </c>
      <c r="K17" s="60">
        <v>-9</v>
      </c>
      <c r="L17" s="60">
        <v>-9</v>
      </c>
      <c r="M17" s="60">
        <v>-6</v>
      </c>
      <c r="N17" s="60">
        <v>-4</v>
      </c>
      <c r="O17" s="60">
        <v>-2</v>
      </c>
      <c r="P17" s="60">
        <v>0</v>
      </c>
      <c r="S17" s="60" t="e">
        <f t="shared" ca="1" si="0"/>
        <v>#REF!</v>
      </c>
      <c r="T17" s="60">
        <f t="shared" si="1"/>
        <v>2</v>
      </c>
      <c r="U17" s="60">
        <f t="shared" si="2"/>
        <v>5</v>
      </c>
      <c r="V17" s="60">
        <f t="shared" si="3"/>
        <v>7</v>
      </c>
      <c r="W17" s="60">
        <f t="shared" si="4"/>
        <v>9</v>
      </c>
      <c r="X17" s="60">
        <f t="shared" si="5"/>
        <v>9</v>
      </c>
      <c r="Y17" s="60">
        <f t="shared" si="6"/>
        <v>9</v>
      </c>
      <c r="Z17" s="60">
        <f t="shared" si="7"/>
        <v>9</v>
      </c>
      <c r="AA17" s="60">
        <f t="shared" si="8"/>
        <v>9</v>
      </c>
      <c r="AB17" s="60">
        <f t="shared" si="9"/>
        <v>6</v>
      </c>
      <c r="AC17" s="60">
        <f t="shared" si="10"/>
        <v>4</v>
      </c>
      <c r="AD17" s="60">
        <f t="shared" si="11"/>
        <v>2</v>
      </c>
      <c r="AE17" s="60">
        <f t="shared" si="12"/>
        <v>0</v>
      </c>
      <c r="AG17" s="60" cm="1">
        <f t="array" aca="1" ref="AG17" ca="1">SQRT(SUMSQ(_xlfn._xlws.FILTER(S17:AE17,ISNUMBER(S17:AE17)))/COUNT(_xlfn._xlws.FILTER(S17:AE17,ISNUMBER(S17:AE17))))</f>
        <v>6.7019897542943667</v>
      </c>
    </row>
    <row r="18" spans="3:33" x14ac:dyDescent="0.2">
      <c r="C18" s="60" t="s">
        <v>184</v>
      </c>
      <c r="D18" s="60">
        <v>0</v>
      </c>
      <c r="E18" s="60">
        <v>6</v>
      </c>
      <c r="F18" s="60">
        <v>3</v>
      </c>
      <c r="G18" s="60">
        <v>-1</v>
      </c>
      <c r="H18" s="60">
        <v>-4</v>
      </c>
      <c r="I18" s="60">
        <v>-7</v>
      </c>
      <c r="J18" s="60">
        <v>-10</v>
      </c>
      <c r="K18" s="60">
        <v>-13</v>
      </c>
      <c r="L18" s="60">
        <v>-16</v>
      </c>
      <c r="M18" s="60">
        <v>-19</v>
      </c>
      <c r="N18" s="60">
        <v>-12</v>
      </c>
      <c r="O18" s="60">
        <v>-6</v>
      </c>
      <c r="P18" s="60">
        <v>0</v>
      </c>
      <c r="S18" s="60" t="e">
        <f t="shared" ca="1" si="0"/>
        <v>#REF!</v>
      </c>
      <c r="T18" s="60">
        <f t="shared" si="1"/>
        <v>-6</v>
      </c>
      <c r="U18" s="60">
        <f t="shared" si="2"/>
        <v>-3</v>
      </c>
      <c r="V18" s="60">
        <f t="shared" si="3"/>
        <v>1</v>
      </c>
      <c r="W18" s="60">
        <f t="shared" si="4"/>
        <v>4</v>
      </c>
      <c r="X18" s="60">
        <f t="shared" si="5"/>
        <v>7</v>
      </c>
      <c r="Y18" s="60">
        <f t="shared" si="6"/>
        <v>10</v>
      </c>
      <c r="Z18" s="60">
        <f t="shared" si="7"/>
        <v>13</v>
      </c>
      <c r="AA18" s="60">
        <f t="shared" si="8"/>
        <v>16</v>
      </c>
      <c r="AB18" s="60">
        <f t="shared" si="9"/>
        <v>19</v>
      </c>
      <c r="AC18" s="60">
        <f t="shared" si="10"/>
        <v>12</v>
      </c>
      <c r="AD18" s="60">
        <f t="shared" si="11"/>
        <v>6</v>
      </c>
      <c r="AE18" s="60">
        <f t="shared" si="12"/>
        <v>0</v>
      </c>
      <c r="AG18" s="60" cm="1">
        <f t="array" aca="1" ref="AG18" ca="1">SQRT(SUMSQ(_xlfn._xlws.FILTER(S18:AE18,ISNUMBER(S18:AE18)))/COUNT(_xlfn._xlws.FILTER(S18:AE18,ISNUMBER(S18:AE18))))</f>
        <v>9.903703011163719</v>
      </c>
    </row>
    <row r="19" spans="3:33" x14ac:dyDescent="0.2">
      <c r="C19" s="60" t="s">
        <v>185</v>
      </c>
      <c r="D19" s="60">
        <v>0</v>
      </c>
      <c r="E19" s="60">
        <v>2</v>
      </c>
      <c r="F19" s="60">
        <v>-2</v>
      </c>
      <c r="G19" s="60">
        <v>-6</v>
      </c>
      <c r="H19" s="60">
        <v>-4</v>
      </c>
      <c r="I19" s="60">
        <v>-2</v>
      </c>
      <c r="J19" s="60">
        <v>-6</v>
      </c>
      <c r="K19" s="60">
        <v>-10</v>
      </c>
      <c r="L19" s="60">
        <v>-8</v>
      </c>
      <c r="M19" s="60">
        <v>0</v>
      </c>
      <c r="N19" s="60">
        <v>2</v>
      </c>
      <c r="O19" s="60">
        <v>-2</v>
      </c>
      <c r="P19" s="60">
        <v>0</v>
      </c>
      <c r="S19" s="60" t="e">
        <f t="shared" ca="1" si="0"/>
        <v>#REF!</v>
      </c>
      <c r="T19" s="60">
        <f t="shared" si="1"/>
        <v>-2</v>
      </c>
      <c r="U19" s="60">
        <f t="shared" si="2"/>
        <v>2</v>
      </c>
      <c r="V19" s="60">
        <f t="shared" si="3"/>
        <v>6</v>
      </c>
      <c r="W19" s="60">
        <f t="shared" si="4"/>
        <v>4</v>
      </c>
      <c r="X19" s="60">
        <f t="shared" si="5"/>
        <v>2</v>
      </c>
      <c r="Y19" s="60">
        <f t="shared" si="6"/>
        <v>6</v>
      </c>
      <c r="Z19" s="60">
        <f t="shared" si="7"/>
        <v>10</v>
      </c>
      <c r="AA19" s="60">
        <f t="shared" si="8"/>
        <v>8</v>
      </c>
      <c r="AB19" s="60">
        <f t="shared" si="9"/>
        <v>0</v>
      </c>
      <c r="AC19" s="60">
        <f t="shared" si="10"/>
        <v>-2</v>
      </c>
      <c r="AD19" s="60">
        <f t="shared" si="11"/>
        <v>2</v>
      </c>
      <c r="AE19" s="60">
        <f t="shared" si="12"/>
        <v>0</v>
      </c>
      <c r="AG19" s="60" cm="1">
        <f t="array" aca="1" ref="AG19" ca="1">SQRT(SUMSQ(_xlfn._xlws.FILTER(S19:AE19,ISNUMBER(S19:AE19)))/COUNT(_xlfn._xlws.FILTER(S19:AE19,ISNUMBER(S19:AE19))))</f>
        <v>4.7609522856952333</v>
      </c>
    </row>
    <row r="20" spans="3:33" x14ac:dyDescent="0.2">
      <c r="C20" s="60" t="s">
        <v>186</v>
      </c>
      <c r="D20" s="60">
        <v>0</v>
      </c>
      <c r="E20" s="60">
        <v>1.9550000000000001</v>
      </c>
      <c r="F20" s="60">
        <v>-2.09</v>
      </c>
      <c r="G20" s="60">
        <v>-6.1349999999999998</v>
      </c>
      <c r="H20" s="60">
        <v>-4.18</v>
      </c>
      <c r="I20" s="60">
        <v>-2.2250000000000001</v>
      </c>
      <c r="J20" s="60">
        <v>-6.27</v>
      </c>
      <c r="K20" s="60">
        <v>-10.315</v>
      </c>
      <c r="L20" s="60">
        <v>-8.36</v>
      </c>
      <c r="M20" s="60">
        <v>0.13500000000000001</v>
      </c>
      <c r="N20" s="60">
        <v>2.09</v>
      </c>
      <c r="O20" s="60">
        <v>-1.9550000000000001</v>
      </c>
      <c r="P20" s="60">
        <v>0</v>
      </c>
      <c r="S20" s="60" t="e">
        <f t="shared" ca="1" si="0"/>
        <v>#REF!</v>
      </c>
      <c r="T20" s="60">
        <f t="shared" si="1"/>
        <v>-1.9550000000000001</v>
      </c>
      <c r="U20" s="60">
        <f t="shared" si="2"/>
        <v>2.09</v>
      </c>
      <c r="V20" s="60">
        <f t="shared" si="3"/>
        <v>6.1349999999999998</v>
      </c>
      <c r="W20" s="60">
        <f t="shared" si="4"/>
        <v>4.18</v>
      </c>
      <c r="X20" s="60">
        <f t="shared" si="5"/>
        <v>2.2250000000000001</v>
      </c>
      <c r="Y20" s="60">
        <f t="shared" si="6"/>
        <v>6.27</v>
      </c>
      <c r="Z20" s="60">
        <f t="shared" si="7"/>
        <v>10.315</v>
      </c>
      <c r="AA20" s="60">
        <f t="shared" si="8"/>
        <v>8.36</v>
      </c>
      <c r="AB20" s="60">
        <f t="shared" si="9"/>
        <v>-0.13500000000000001</v>
      </c>
      <c r="AC20" s="60">
        <f t="shared" si="10"/>
        <v>-2.09</v>
      </c>
      <c r="AD20" s="60">
        <f t="shared" si="11"/>
        <v>1.9550000000000001</v>
      </c>
      <c r="AE20" s="60">
        <f t="shared" si="12"/>
        <v>0</v>
      </c>
      <c r="AG20" s="60" cm="1">
        <f t="array" aca="1" ref="AG20" ca="1">SQRT(SUMSQ(_xlfn._xlws.FILTER(S20:AE20,ISNUMBER(S20:AE20)))/COUNT(_xlfn._xlws.FILTER(S20:AE20,ISNUMBER(S20:AE20))))</f>
        <v>4.9334018857849662</v>
      </c>
    </row>
    <row r="21" spans="3:33" x14ac:dyDescent="0.2">
      <c r="C21" s="60" t="s">
        <v>187</v>
      </c>
      <c r="D21" s="60">
        <v>0</v>
      </c>
      <c r="E21" s="60">
        <v>2</v>
      </c>
      <c r="F21" s="60">
        <v>-2</v>
      </c>
      <c r="G21" s="60">
        <v>-6</v>
      </c>
      <c r="H21" s="60">
        <v>-8</v>
      </c>
      <c r="I21" s="60">
        <v>-8</v>
      </c>
      <c r="J21" s="60">
        <v>-10</v>
      </c>
      <c r="K21" s="60">
        <v>-14</v>
      </c>
      <c r="L21" s="60">
        <v>-16</v>
      </c>
      <c r="M21" s="60">
        <v>3</v>
      </c>
      <c r="N21" s="60">
        <v>-1</v>
      </c>
      <c r="O21" s="60">
        <v>-2</v>
      </c>
      <c r="P21" s="60">
        <v>0</v>
      </c>
      <c r="S21" s="60" t="e">
        <f t="shared" ca="1" si="0"/>
        <v>#REF!</v>
      </c>
      <c r="T21" s="60">
        <f t="shared" si="1"/>
        <v>-2</v>
      </c>
      <c r="U21" s="60">
        <f t="shared" si="2"/>
        <v>2</v>
      </c>
      <c r="V21" s="60">
        <f t="shared" si="3"/>
        <v>6</v>
      </c>
      <c r="W21" s="60">
        <f t="shared" si="4"/>
        <v>8</v>
      </c>
      <c r="X21" s="60">
        <f t="shared" si="5"/>
        <v>8</v>
      </c>
      <c r="Y21" s="60">
        <f t="shared" si="6"/>
        <v>10</v>
      </c>
      <c r="Z21" s="60">
        <f t="shared" si="7"/>
        <v>14</v>
      </c>
      <c r="AA21" s="60">
        <f t="shared" si="8"/>
        <v>16</v>
      </c>
      <c r="AB21" s="60">
        <f t="shared" si="9"/>
        <v>-3</v>
      </c>
      <c r="AC21" s="60">
        <f t="shared" si="10"/>
        <v>1</v>
      </c>
      <c r="AD21" s="60">
        <f t="shared" si="11"/>
        <v>2</v>
      </c>
      <c r="AE21" s="60">
        <f t="shared" si="12"/>
        <v>0</v>
      </c>
      <c r="AG21" s="60" cm="1">
        <f t="array" aca="1" ref="AG21" ca="1">SQRT(SUMSQ(_xlfn._xlws.FILTER(S21:AE21,ISNUMBER(S21:AE21)))/COUNT(_xlfn._xlws.FILTER(S21:AE21,ISNUMBER(S21:AE21))))</f>
        <v>7.8421935706790613</v>
      </c>
    </row>
    <row r="22" spans="3:33" x14ac:dyDescent="0.2">
      <c r="C22" s="60" t="s">
        <v>188</v>
      </c>
      <c r="D22" s="60">
        <v>0</v>
      </c>
      <c r="E22" s="60">
        <v>1.9550000000000001</v>
      </c>
      <c r="F22" s="60">
        <v>-2.09</v>
      </c>
      <c r="G22" s="60">
        <v>-6.1349999999999998</v>
      </c>
      <c r="H22" s="60">
        <v>-8.18</v>
      </c>
      <c r="I22" s="60">
        <v>-8.2249999999999996</v>
      </c>
      <c r="J22" s="60">
        <v>-10.27</v>
      </c>
      <c r="K22" s="60">
        <v>-14.315</v>
      </c>
      <c r="L22" s="60">
        <v>-16.36</v>
      </c>
      <c r="M22" s="60">
        <v>3.1349999999999998</v>
      </c>
      <c r="N22" s="60">
        <v>-0.91</v>
      </c>
      <c r="O22" s="60">
        <v>-1.9550000000000001</v>
      </c>
      <c r="P22" s="60">
        <v>0</v>
      </c>
      <c r="S22" s="60" t="e">
        <f t="shared" ca="1" si="0"/>
        <v>#REF!</v>
      </c>
      <c r="T22" s="60">
        <f t="shared" si="1"/>
        <v>-1.9550000000000001</v>
      </c>
      <c r="U22" s="60">
        <f t="shared" si="2"/>
        <v>2.09</v>
      </c>
      <c r="V22" s="60">
        <f t="shared" si="3"/>
        <v>6.1349999999999998</v>
      </c>
      <c r="W22" s="60">
        <f t="shared" si="4"/>
        <v>8.18</v>
      </c>
      <c r="X22" s="60">
        <f t="shared" si="5"/>
        <v>8.2249999999999996</v>
      </c>
      <c r="Y22" s="60">
        <f t="shared" si="6"/>
        <v>10.27</v>
      </c>
      <c r="Z22" s="60">
        <f t="shared" si="7"/>
        <v>14.315</v>
      </c>
      <c r="AA22" s="60">
        <f t="shared" si="8"/>
        <v>16.36</v>
      </c>
      <c r="AB22" s="60">
        <f t="shared" si="9"/>
        <v>-3.1349999999999998</v>
      </c>
      <c r="AC22" s="60">
        <f t="shared" si="10"/>
        <v>0.91</v>
      </c>
      <c r="AD22" s="60">
        <f t="shared" si="11"/>
        <v>1.9550000000000001</v>
      </c>
      <c r="AE22" s="60">
        <f t="shared" si="12"/>
        <v>0</v>
      </c>
      <c r="AG22" s="60" cm="1">
        <f t="array" aca="1" ref="AG22" ca="1">SQRT(SUMSQ(_xlfn._xlws.FILTER(S22:AE22,ISNUMBER(S22:AE22)))/COUNT(_xlfn._xlws.FILTER(S22:AE22,ISNUMBER(S22:AE22))))</f>
        <v>8.0255397014780261</v>
      </c>
    </row>
    <row r="23" spans="3:33" x14ac:dyDescent="0.2">
      <c r="C23" s="60" t="s">
        <v>518</v>
      </c>
      <c r="D23" s="60">
        <v>0</v>
      </c>
      <c r="E23" s="60">
        <v>-3</v>
      </c>
      <c r="F23" s="60">
        <v>-7</v>
      </c>
      <c r="G23" s="60">
        <v>-10</v>
      </c>
      <c r="H23" s="60">
        <v>-14</v>
      </c>
      <c r="I23" s="60">
        <v>-17</v>
      </c>
      <c r="J23" s="60">
        <v>-20</v>
      </c>
      <c r="K23" s="60">
        <v>-24</v>
      </c>
      <c r="L23" s="60">
        <v>-17</v>
      </c>
      <c r="M23" s="60">
        <v>-6</v>
      </c>
      <c r="N23" s="60">
        <v>1</v>
      </c>
      <c r="O23" s="60">
        <v>3</v>
      </c>
      <c r="P23" s="60">
        <v>0</v>
      </c>
      <c r="S23" s="60" t="e">
        <f t="shared" ca="1" si="0"/>
        <v>#REF!</v>
      </c>
      <c r="T23" s="60">
        <f t="shared" si="1"/>
        <v>3</v>
      </c>
      <c r="U23" s="60">
        <f t="shared" si="2"/>
        <v>7</v>
      </c>
      <c r="V23" s="60">
        <f t="shared" si="3"/>
        <v>10</v>
      </c>
      <c r="W23" s="60">
        <f t="shared" si="4"/>
        <v>14</v>
      </c>
      <c r="X23" s="60">
        <f t="shared" si="5"/>
        <v>17</v>
      </c>
      <c r="Y23" s="60">
        <f t="shared" si="6"/>
        <v>20</v>
      </c>
      <c r="Z23" s="60">
        <f t="shared" si="7"/>
        <v>24</v>
      </c>
      <c r="AA23" s="60">
        <f t="shared" si="8"/>
        <v>17</v>
      </c>
      <c r="AB23" s="60">
        <f t="shared" si="9"/>
        <v>6</v>
      </c>
      <c r="AC23" s="60">
        <f t="shared" si="10"/>
        <v>-1</v>
      </c>
      <c r="AD23" s="60">
        <f t="shared" si="11"/>
        <v>-3</v>
      </c>
      <c r="AE23" s="60">
        <f t="shared" si="12"/>
        <v>0</v>
      </c>
      <c r="AG23" s="60" cm="1">
        <f t="array" aca="1" ref="AG23" ca="1">SQRT(SUMSQ(_xlfn._xlws.FILTER(S23:AE23,ISNUMBER(S23:AE23)))/COUNT(_xlfn._xlws.FILTER(S23:AE23,ISNUMBER(S23:AE23))))</f>
        <v>12.760616495033982</v>
      </c>
    </row>
    <row r="24" spans="3:33" x14ac:dyDescent="0.2">
      <c r="C24" s="60" t="s">
        <v>189</v>
      </c>
      <c r="D24" s="60">
        <v>0</v>
      </c>
      <c r="E24" s="60">
        <v>0</v>
      </c>
      <c r="F24" s="60">
        <v>0</v>
      </c>
      <c r="G24" s="60">
        <v>0</v>
      </c>
      <c r="H24" s="60">
        <v>0</v>
      </c>
      <c r="I24" s="60">
        <v>0</v>
      </c>
      <c r="J24" s="60">
        <v>0</v>
      </c>
      <c r="K24" s="60">
        <v>0</v>
      </c>
      <c r="L24" s="60">
        <v>0</v>
      </c>
      <c r="M24" s="60">
        <v>0</v>
      </c>
      <c r="N24" s="60">
        <v>0</v>
      </c>
      <c r="O24" s="60">
        <v>0</v>
      </c>
      <c r="P24" s="60">
        <v>0</v>
      </c>
      <c r="S24" s="60" t="e">
        <f t="shared" ca="1" si="0"/>
        <v>#REF!</v>
      </c>
      <c r="T24" s="60">
        <f t="shared" si="1"/>
        <v>0</v>
      </c>
      <c r="U24" s="60">
        <f t="shared" si="2"/>
        <v>0</v>
      </c>
      <c r="V24" s="60">
        <f t="shared" si="3"/>
        <v>0</v>
      </c>
      <c r="W24" s="60">
        <f t="shared" si="4"/>
        <v>0</v>
      </c>
      <c r="X24" s="60">
        <f t="shared" si="5"/>
        <v>0</v>
      </c>
      <c r="Y24" s="60">
        <f t="shared" si="6"/>
        <v>0</v>
      </c>
      <c r="Z24" s="60">
        <f t="shared" si="7"/>
        <v>0</v>
      </c>
      <c r="AA24" s="60">
        <f t="shared" si="8"/>
        <v>0</v>
      </c>
      <c r="AB24" s="60">
        <f t="shared" si="9"/>
        <v>0</v>
      </c>
      <c r="AC24" s="60">
        <f t="shared" si="10"/>
        <v>0</v>
      </c>
      <c r="AD24" s="60">
        <f t="shared" si="11"/>
        <v>0</v>
      </c>
      <c r="AE24" s="60">
        <f t="shared" si="12"/>
        <v>0</v>
      </c>
      <c r="AG24" s="60" cm="1">
        <f t="array" aca="1" ref="AG24" ca="1">SQRT(SUMSQ(_xlfn._xlws.FILTER(S24:AE24,ISNUMBER(S24:AE24)))/COUNT(_xlfn._xlws.FILTER(S24:AE24,ISNUMBER(S24:AE24))))</f>
        <v>0</v>
      </c>
    </row>
    <row r="25" spans="3:33" x14ac:dyDescent="0.2">
      <c r="C25" s="60" t="s">
        <v>190</v>
      </c>
      <c r="D25" s="60">
        <v>0</v>
      </c>
      <c r="E25" s="60">
        <v>-3</v>
      </c>
      <c r="F25" s="60">
        <v>-7</v>
      </c>
      <c r="G25" s="60">
        <v>-10</v>
      </c>
      <c r="H25" s="60">
        <v>-14</v>
      </c>
      <c r="I25" s="60">
        <v>-17</v>
      </c>
      <c r="J25" s="60">
        <v>0</v>
      </c>
      <c r="K25" s="60">
        <v>-3</v>
      </c>
      <c r="L25" s="60">
        <v>-6</v>
      </c>
      <c r="M25" s="60">
        <v>-10</v>
      </c>
      <c r="N25" s="60">
        <v>-13</v>
      </c>
      <c r="O25" s="60">
        <v>3</v>
      </c>
      <c r="P25" s="60">
        <v>0</v>
      </c>
      <c r="S25" s="60" t="e">
        <f t="shared" ca="1" si="0"/>
        <v>#REF!</v>
      </c>
      <c r="T25" s="60">
        <f t="shared" si="1"/>
        <v>3</v>
      </c>
      <c r="U25" s="60">
        <f t="shared" si="2"/>
        <v>7</v>
      </c>
      <c r="V25" s="60">
        <f t="shared" si="3"/>
        <v>10</v>
      </c>
      <c r="W25" s="60">
        <f t="shared" si="4"/>
        <v>14</v>
      </c>
      <c r="X25" s="60">
        <f t="shared" si="5"/>
        <v>17</v>
      </c>
      <c r="Y25" s="60">
        <f t="shared" si="6"/>
        <v>0</v>
      </c>
      <c r="Z25" s="60">
        <f t="shared" si="7"/>
        <v>3</v>
      </c>
      <c r="AA25" s="60">
        <f t="shared" si="8"/>
        <v>6</v>
      </c>
      <c r="AB25" s="60">
        <f t="shared" si="9"/>
        <v>10</v>
      </c>
      <c r="AC25" s="60">
        <f t="shared" si="10"/>
        <v>13</v>
      </c>
      <c r="AD25" s="60">
        <f t="shared" si="11"/>
        <v>-3</v>
      </c>
      <c r="AE25" s="60">
        <f t="shared" si="12"/>
        <v>0</v>
      </c>
      <c r="AG25" s="60" cm="1">
        <f t="array" aca="1" ref="AG25" ca="1">SQRT(SUMSQ(_xlfn._xlws.FILTER(S25:AE25,ISNUMBER(S25:AE25)))/COUNT(_xlfn._xlws.FILTER(S25:AE25,ISNUMBER(S25:AE25))))</f>
        <v>8.9721792224631809</v>
      </c>
    </row>
    <row r="26" spans="3:33" x14ac:dyDescent="0.2">
      <c r="C26" s="60" t="s">
        <v>191</v>
      </c>
      <c r="D26" s="60">
        <v>0</v>
      </c>
      <c r="E26" s="60">
        <v>-2</v>
      </c>
      <c r="F26" s="60">
        <v>-4</v>
      </c>
      <c r="G26" s="60">
        <v>-6</v>
      </c>
      <c r="H26" s="60">
        <v>-8</v>
      </c>
      <c r="I26" s="60">
        <v>-8</v>
      </c>
      <c r="J26" s="60">
        <v>-8</v>
      </c>
      <c r="K26" s="60">
        <v>-8</v>
      </c>
      <c r="L26" s="60">
        <v>-6</v>
      </c>
      <c r="M26" s="60">
        <v>-4</v>
      </c>
      <c r="N26" s="60">
        <v>-2</v>
      </c>
      <c r="O26" s="60">
        <v>0</v>
      </c>
      <c r="P26" s="60">
        <v>0</v>
      </c>
      <c r="S26" s="60" t="e">
        <f t="shared" ca="1" si="0"/>
        <v>#REF!</v>
      </c>
      <c r="T26" s="60">
        <f t="shared" si="1"/>
        <v>2</v>
      </c>
      <c r="U26" s="60">
        <f t="shared" si="2"/>
        <v>4</v>
      </c>
      <c r="V26" s="60">
        <f t="shared" si="3"/>
        <v>6</v>
      </c>
      <c r="W26" s="60">
        <f t="shared" si="4"/>
        <v>8</v>
      </c>
      <c r="X26" s="60">
        <f t="shared" si="5"/>
        <v>8</v>
      </c>
      <c r="Y26" s="60">
        <f t="shared" si="6"/>
        <v>8</v>
      </c>
      <c r="Z26" s="60">
        <f t="shared" si="7"/>
        <v>8</v>
      </c>
      <c r="AA26" s="60">
        <f t="shared" si="8"/>
        <v>6</v>
      </c>
      <c r="AB26" s="60">
        <f t="shared" si="9"/>
        <v>4</v>
      </c>
      <c r="AC26" s="60">
        <f t="shared" si="10"/>
        <v>2</v>
      </c>
      <c r="AD26" s="60">
        <f t="shared" si="11"/>
        <v>0</v>
      </c>
      <c r="AE26" s="60">
        <f t="shared" si="12"/>
        <v>0</v>
      </c>
      <c r="AG26" s="60" cm="1">
        <f t="array" aca="1" ref="AG26" ca="1">SQRT(SUMSQ(_xlfn._xlws.FILTER(S26:AE26,ISNUMBER(S26:AE26)))/COUNT(_xlfn._xlws.FILTER(S26:AE26,ISNUMBER(S26:AE26))))</f>
        <v>5.5377492419453835</v>
      </c>
    </row>
    <row r="27" spans="3:33" x14ac:dyDescent="0.2">
      <c r="C27" s="60" t="s">
        <v>192</v>
      </c>
      <c r="D27" s="60">
        <v>0</v>
      </c>
      <c r="E27" s="60">
        <v>-2</v>
      </c>
      <c r="F27" s="60">
        <v>-5</v>
      </c>
      <c r="G27" s="60">
        <v>-7</v>
      </c>
      <c r="H27" s="60">
        <v>-9</v>
      </c>
      <c r="I27" s="60">
        <v>-12</v>
      </c>
      <c r="J27" s="60">
        <v>-12</v>
      </c>
      <c r="K27" s="60">
        <v>-12</v>
      </c>
      <c r="L27" s="60">
        <v>-8</v>
      </c>
      <c r="M27" s="60">
        <v>0</v>
      </c>
      <c r="N27" s="60">
        <v>2</v>
      </c>
      <c r="O27" s="60">
        <v>2</v>
      </c>
      <c r="P27" s="60">
        <v>0</v>
      </c>
      <c r="S27" s="60" t="e">
        <f t="shared" ca="1" si="0"/>
        <v>#REF!</v>
      </c>
      <c r="T27" s="60">
        <f t="shared" si="1"/>
        <v>2</v>
      </c>
      <c r="U27" s="60">
        <f t="shared" si="2"/>
        <v>5</v>
      </c>
      <c r="V27" s="60">
        <f t="shared" si="3"/>
        <v>7</v>
      </c>
      <c r="W27" s="60">
        <f t="shared" si="4"/>
        <v>9</v>
      </c>
      <c r="X27" s="60">
        <f t="shared" si="5"/>
        <v>12</v>
      </c>
      <c r="Y27" s="60">
        <f t="shared" si="6"/>
        <v>12</v>
      </c>
      <c r="Z27" s="60">
        <f t="shared" si="7"/>
        <v>12</v>
      </c>
      <c r="AA27" s="60">
        <f t="shared" si="8"/>
        <v>8</v>
      </c>
      <c r="AB27" s="60">
        <f t="shared" si="9"/>
        <v>0</v>
      </c>
      <c r="AC27" s="60">
        <f t="shared" si="10"/>
        <v>-2</v>
      </c>
      <c r="AD27" s="60">
        <f t="shared" si="11"/>
        <v>-2</v>
      </c>
      <c r="AE27" s="60">
        <f t="shared" si="12"/>
        <v>0</v>
      </c>
      <c r="AG27" s="60" cm="1">
        <f t="array" aca="1" ref="AG27" ca="1">SQRT(SUMSQ(_xlfn._xlws.FILTER(S27:AE27,ISNUMBER(S27:AE27)))/COUNT(_xlfn._xlws.FILTER(S27:AE27,ISNUMBER(S27:AE27))))</f>
        <v>7.433034373659253</v>
      </c>
    </row>
    <row r="28" spans="3:33" x14ac:dyDescent="0.2">
      <c r="C28" s="60" t="s">
        <v>193</v>
      </c>
      <c r="D28" s="60">
        <v>0</v>
      </c>
      <c r="E28" s="60">
        <v>2</v>
      </c>
      <c r="F28" s="60">
        <v>-1</v>
      </c>
      <c r="G28" s="60">
        <v>-4</v>
      </c>
      <c r="H28" s="60">
        <v>-13</v>
      </c>
      <c r="I28" s="60">
        <v>-14</v>
      </c>
      <c r="J28" s="60">
        <v>-17</v>
      </c>
      <c r="K28" s="60">
        <v>-15</v>
      </c>
      <c r="L28" s="60">
        <v>-19</v>
      </c>
      <c r="M28" s="60">
        <v>6</v>
      </c>
      <c r="N28" s="60">
        <v>-6</v>
      </c>
      <c r="O28" s="60">
        <v>1</v>
      </c>
      <c r="P28" s="60">
        <v>0</v>
      </c>
      <c r="S28" s="60" t="e">
        <f t="shared" ca="1" si="0"/>
        <v>#REF!</v>
      </c>
      <c r="T28" s="60">
        <f t="shared" si="1"/>
        <v>-2</v>
      </c>
      <c r="U28" s="60">
        <f t="shared" si="2"/>
        <v>1</v>
      </c>
      <c r="V28" s="60">
        <f t="shared" si="3"/>
        <v>4</v>
      </c>
      <c r="W28" s="60">
        <f t="shared" si="4"/>
        <v>13</v>
      </c>
      <c r="X28" s="60">
        <f t="shared" si="5"/>
        <v>14</v>
      </c>
      <c r="Y28" s="60">
        <f t="shared" si="6"/>
        <v>17</v>
      </c>
      <c r="Z28" s="60">
        <f t="shared" si="7"/>
        <v>15</v>
      </c>
      <c r="AA28" s="60">
        <f t="shared" si="8"/>
        <v>19</v>
      </c>
      <c r="AB28" s="60">
        <f t="shared" si="9"/>
        <v>-6</v>
      </c>
      <c r="AC28" s="60">
        <f t="shared" si="10"/>
        <v>6</v>
      </c>
      <c r="AD28" s="60">
        <f t="shared" si="11"/>
        <v>-1</v>
      </c>
      <c r="AE28" s="60">
        <f t="shared" si="12"/>
        <v>0</v>
      </c>
      <c r="AG28" s="60" cm="1">
        <f t="array" aca="1" ref="AG28" ca="1">SQRT(SUMSQ(_xlfn._xlws.FILTER(S28:AE28,ISNUMBER(S28:AE28)))/COUNT(_xlfn._xlws.FILTER(S28:AE28,ISNUMBER(S28:AE28))))</f>
        <v>10.543560435956474</v>
      </c>
    </row>
    <row r="29" spans="3:33" x14ac:dyDescent="0.2">
      <c r="C29" s="60" t="s">
        <v>194</v>
      </c>
      <c r="D29" s="60">
        <v>0</v>
      </c>
      <c r="E29" s="60">
        <v>-6</v>
      </c>
      <c r="F29" s="60">
        <v>-12</v>
      </c>
      <c r="G29" s="60">
        <v>-10</v>
      </c>
      <c r="H29" s="60">
        <v>-8</v>
      </c>
      <c r="I29" s="60">
        <v>-6</v>
      </c>
      <c r="J29" s="60">
        <v>-12</v>
      </c>
      <c r="K29" s="60">
        <v>-10</v>
      </c>
      <c r="L29" s="60">
        <v>-8</v>
      </c>
      <c r="M29" s="60">
        <v>-6</v>
      </c>
      <c r="N29" s="60">
        <v>-4</v>
      </c>
      <c r="O29" s="60">
        <v>-2</v>
      </c>
      <c r="P29" s="60">
        <v>0</v>
      </c>
      <c r="S29" s="60" t="e">
        <f t="shared" ca="1" si="0"/>
        <v>#REF!</v>
      </c>
      <c r="T29" s="60">
        <f t="shared" si="1"/>
        <v>6</v>
      </c>
      <c r="U29" s="60">
        <f t="shared" si="2"/>
        <v>12</v>
      </c>
      <c r="V29" s="60">
        <f t="shared" si="3"/>
        <v>10</v>
      </c>
      <c r="W29" s="60">
        <f t="shared" si="4"/>
        <v>8</v>
      </c>
      <c r="X29" s="60">
        <f t="shared" si="5"/>
        <v>6</v>
      </c>
      <c r="Y29" s="60">
        <f t="shared" si="6"/>
        <v>12</v>
      </c>
      <c r="Z29" s="60">
        <f t="shared" si="7"/>
        <v>10</v>
      </c>
      <c r="AA29" s="60">
        <f t="shared" si="8"/>
        <v>8</v>
      </c>
      <c r="AB29" s="60">
        <f t="shared" si="9"/>
        <v>6</v>
      </c>
      <c r="AC29" s="60">
        <f t="shared" si="10"/>
        <v>4</v>
      </c>
      <c r="AD29" s="60">
        <f t="shared" si="11"/>
        <v>2</v>
      </c>
      <c r="AE29" s="60">
        <f t="shared" si="12"/>
        <v>0</v>
      </c>
      <c r="AG29" s="60" cm="1">
        <f t="array" aca="1" ref="AG29" ca="1">SQRT(SUMSQ(_xlfn._xlws.FILTER(S29:AE29,ISNUMBER(S29:AE29)))/COUNT(_xlfn._xlws.FILTER(S29:AE29,ISNUMBER(S29:AE29))))</f>
        <v>7.8740078740118111</v>
      </c>
    </row>
    <row r="30" spans="3:33" x14ac:dyDescent="0.2">
      <c r="C30" s="60" t="s">
        <v>195</v>
      </c>
      <c r="D30" s="60">
        <v>0</v>
      </c>
      <c r="E30" s="60">
        <v>-6</v>
      </c>
      <c r="F30" s="60">
        <v>-4</v>
      </c>
      <c r="G30" s="60">
        <v>-10</v>
      </c>
      <c r="H30" s="60">
        <v>-8</v>
      </c>
      <c r="I30" s="60">
        <v>-6</v>
      </c>
      <c r="J30" s="60">
        <v>-4</v>
      </c>
      <c r="K30" s="60">
        <v>-10</v>
      </c>
      <c r="L30" s="60">
        <v>-8</v>
      </c>
      <c r="M30" s="60">
        <v>-6</v>
      </c>
      <c r="N30" s="60">
        <v>-4</v>
      </c>
      <c r="O30" s="60">
        <v>-2</v>
      </c>
      <c r="P30" s="60">
        <v>0</v>
      </c>
      <c r="S30" s="60" t="e">
        <f t="shared" ca="1" si="0"/>
        <v>#REF!</v>
      </c>
      <c r="T30" s="60">
        <f t="shared" si="1"/>
        <v>6</v>
      </c>
      <c r="U30" s="60">
        <f t="shared" si="2"/>
        <v>4</v>
      </c>
      <c r="V30" s="60">
        <f t="shared" si="3"/>
        <v>10</v>
      </c>
      <c r="W30" s="60">
        <f t="shared" si="4"/>
        <v>8</v>
      </c>
      <c r="X30" s="60">
        <f t="shared" si="5"/>
        <v>6</v>
      </c>
      <c r="Y30" s="60">
        <f t="shared" si="6"/>
        <v>4</v>
      </c>
      <c r="Z30" s="60">
        <f t="shared" si="7"/>
        <v>10</v>
      </c>
      <c r="AA30" s="60">
        <f t="shared" si="8"/>
        <v>8</v>
      </c>
      <c r="AB30" s="60">
        <f t="shared" si="9"/>
        <v>6</v>
      </c>
      <c r="AC30" s="60">
        <f t="shared" si="10"/>
        <v>4</v>
      </c>
      <c r="AD30" s="60">
        <f t="shared" si="11"/>
        <v>2</v>
      </c>
      <c r="AE30" s="60">
        <f t="shared" si="12"/>
        <v>0</v>
      </c>
      <c r="AG30" s="60" cm="1">
        <f t="array" aca="1" ref="AG30" ca="1">SQRT(SUMSQ(_xlfn._xlws.FILTER(S30:AE30,ISNUMBER(S30:AE30)))/COUNT(_xlfn._xlws.FILTER(S30:AE30,ISNUMBER(S30:AE30))))</f>
        <v>6.3770421565696633</v>
      </c>
    </row>
    <row r="31" spans="3:33" x14ac:dyDescent="0.2">
      <c r="C31" s="60" t="s">
        <v>196</v>
      </c>
      <c r="D31" s="60">
        <v>0</v>
      </c>
      <c r="E31" s="60">
        <v>-4</v>
      </c>
      <c r="F31" s="60">
        <v>-8</v>
      </c>
      <c r="G31" s="60">
        <v>-6</v>
      </c>
      <c r="H31" s="60">
        <v>-4</v>
      </c>
      <c r="I31" s="60">
        <v>-8</v>
      </c>
      <c r="J31" s="60">
        <v>-6</v>
      </c>
      <c r="K31" s="60">
        <v>-4</v>
      </c>
      <c r="L31" s="60">
        <v>-2</v>
      </c>
      <c r="M31" s="60">
        <v>-6</v>
      </c>
      <c r="N31" s="60">
        <v>-4</v>
      </c>
      <c r="O31" s="60">
        <v>-2</v>
      </c>
      <c r="P31" s="60">
        <v>0</v>
      </c>
      <c r="S31" s="60" t="e">
        <f t="shared" ca="1" si="0"/>
        <v>#REF!</v>
      </c>
      <c r="T31" s="60">
        <f t="shared" si="1"/>
        <v>4</v>
      </c>
      <c r="U31" s="60">
        <f t="shared" si="2"/>
        <v>8</v>
      </c>
      <c r="V31" s="60">
        <f t="shared" si="3"/>
        <v>6</v>
      </c>
      <c r="W31" s="60">
        <f t="shared" si="4"/>
        <v>4</v>
      </c>
      <c r="X31" s="60">
        <f t="shared" si="5"/>
        <v>8</v>
      </c>
      <c r="Y31" s="60">
        <f t="shared" si="6"/>
        <v>6</v>
      </c>
      <c r="Z31" s="60">
        <f t="shared" si="7"/>
        <v>4</v>
      </c>
      <c r="AA31" s="60">
        <f t="shared" si="8"/>
        <v>2</v>
      </c>
      <c r="AB31" s="60">
        <f t="shared" si="9"/>
        <v>6</v>
      </c>
      <c r="AC31" s="60">
        <f t="shared" si="10"/>
        <v>4</v>
      </c>
      <c r="AD31" s="60">
        <f t="shared" si="11"/>
        <v>2</v>
      </c>
      <c r="AE31" s="60">
        <f t="shared" si="12"/>
        <v>0</v>
      </c>
      <c r="AG31" s="60" cm="1">
        <f t="array" aca="1" ref="AG31" ca="1">SQRT(SUMSQ(_xlfn._xlws.FILTER(S31:AE31,ISNUMBER(S31:AE31)))/COUNT(_xlfn._xlws.FILTER(S31:AE31,ISNUMBER(S31:AE31))))</f>
        <v>5.0662280511902216</v>
      </c>
    </row>
    <row r="32" spans="3:33" x14ac:dyDescent="0.2">
      <c r="C32" s="60" t="s">
        <v>197</v>
      </c>
      <c r="D32" s="60">
        <v>0</v>
      </c>
      <c r="E32" s="60">
        <v>2</v>
      </c>
      <c r="F32" s="60">
        <v>0</v>
      </c>
      <c r="G32" s="60">
        <v>2</v>
      </c>
      <c r="H32" s="60">
        <v>1</v>
      </c>
      <c r="I32" s="60">
        <v>3</v>
      </c>
      <c r="J32" s="60">
        <v>-1</v>
      </c>
      <c r="K32" s="60">
        <v>0</v>
      </c>
      <c r="L32" s="60">
        <v>2</v>
      </c>
      <c r="M32" s="60">
        <v>-6</v>
      </c>
      <c r="N32" s="60">
        <v>-4</v>
      </c>
      <c r="O32" s="60">
        <v>-2</v>
      </c>
      <c r="P32" s="60">
        <v>0</v>
      </c>
      <c r="S32" s="60" t="e">
        <f t="shared" ca="1" si="0"/>
        <v>#REF!</v>
      </c>
      <c r="T32" s="60">
        <f t="shared" si="1"/>
        <v>-2</v>
      </c>
      <c r="U32" s="60">
        <f t="shared" si="2"/>
        <v>0</v>
      </c>
      <c r="V32" s="60">
        <f t="shared" si="3"/>
        <v>-2</v>
      </c>
      <c r="W32" s="60">
        <f t="shared" si="4"/>
        <v>-1</v>
      </c>
      <c r="X32" s="60">
        <f t="shared" si="5"/>
        <v>-3</v>
      </c>
      <c r="Y32" s="60">
        <f t="shared" si="6"/>
        <v>1</v>
      </c>
      <c r="Z32" s="60">
        <f t="shared" si="7"/>
        <v>0</v>
      </c>
      <c r="AA32" s="60">
        <f t="shared" si="8"/>
        <v>-2</v>
      </c>
      <c r="AB32" s="60">
        <f t="shared" si="9"/>
        <v>6</v>
      </c>
      <c r="AC32" s="60">
        <f t="shared" si="10"/>
        <v>4</v>
      </c>
      <c r="AD32" s="60">
        <f t="shared" si="11"/>
        <v>2</v>
      </c>
      <c r="AE32" s="60">
        <f t="shared" si="12"/>
        <v>0</v>
      </c>
      <c r="AG32" s="60" cm="1">
        <f t="array" aca="1" ref="AG32" ca="1">SQRT(SUMSQ(_xlfn._xlws.FILTER(S32:AE32,ISNUMBER(S32:AE32)))/COUNT(_xlfn._xlws.FILTER(S32:AE32,ISNUMBER(S32:AE32))))</f>
        <v>2.565800719723442</v>
      </c>
    </row>
    <row r="33" spans="3:33" x14ac:dyDescent="0.2">
      <c r="C33" s="60" t="s">
        <v>198</v>
      </c>
      <c r="D33" s="60">
        <v>0</v>
      </c>
      <c r="E33" s="60">
        <v>1.978</v>
      </c>
      <c r="F33" s="60">
        <v>0.29899999999999999</v>
      </c>
      <c r="G33" s="60">
        <v>2.2770000000000001</v>
      </c>
      <c r="H33" s="60">
        <v>0.62</v>
      </c>
      <c r="I33" s="60">
        <v>2.5979999999999999</v>
      </c>
      <c r="J33" s="60">
        <v>-1.49</v>
      </c>
      <c r="K33" s="60">
        <v>0.48799999999999999</v>
      </c>
      <c r="L33" s="60">
        <v>2.4660000000000002</v>
      </c>
      <c r="M33" s="60">
        <v>-5.88</v>
      </c>
      <c r="N33" s="60">
        <v>-3.9020000000000001</v>
      </c>
      <c r="O33" s="60">
        <v>-1.978</v>
      </c>
      <c r="P33" s="60">
        <v>0</v>
      </c>
      <c r="S33" s="60" t="e">
        <f t="shared" ca="1" si="0"/>
        <v>#REF!</v>
      </c>
      <c r="T33" s="60">
        <f t="shared" si="1"/>
        <v>-1.978</v>
      </c>
      <c r="U33" s="60">
        <f t="shared" si="2"/>
        <v>-0.29899999999999999</v>
      </c>
      <c r="V33" s="60">
        <f t="shared" si="3"/>
        <v>-2.2770000000000001</v>
      </c>
      <c r="W33" s="60">
        <f t="shared" si="4"/>
        <v>-0.62</v>
      </c>
      <c r="X33" s="60">
        <f t="shared" si="5"/>
        <v>-2.5979999999999999</v>
      </c>
      <c r="Y33" s="60">
        <f t="shared" si="6"/>
        <v>1.49</v>
      </c>
      <c r="Z33" s="60">
        <f t="shared" si="7"/>
        <v>-0.48799999999999999</v>
      </c>
      <c r="AA33" s="60">
        <f t="shared" si="8"/>
        <v>-2.4660000000000002</v>
      </c>
      <c r="AB33" s="60">
        <f t="shared" si="9"/>
        <v>5.88</v>
      </c>
      <c r="AC33" s="60">
        <f t="shared" si="10"/>
        <v>3.9020000000000001</v>
      </c>
      <c r="AD33" s="60">
        <f t="shared" si="11"/>
        <v>1.978</v>
      </c>
      <c r="AE33" s="60">
        <f t="shared" si="12"/>
        <v>0</v>
      </c>
      <c r="AG33" s="60" cm="1">
        <f t="array" aca="1" ref="AG33" ca="1">SQRT(SUMSQ(_xlfn._xlws.FILTER(S33:AE33,ISNUMBER(S33:AE33)))/COUNT(_xlfn._xlws.FILTER(S33:AE33,ISNUMBER(S33:AE33))))</f>
        <v>2.5588491228154373</v>
      </c>
    </row>
    <row r="34" spans="3:33" x14ac:dyDescent="0.2">
      <c r="C34" s="60" t="s">
        <v>516</v>
      </c>
      <c r="D34" s="60">
        <v>0</v>
      </c>
      <c r="E34" s="60">
        <v>-3</v>
      </c>
      <c r="F34" s="60">
        <v>-7</v>
      </c>
      <c r="G34" s="60">
        <v>-10</v>
      </c>
      <c r="H34" s="60">
        <v>-14</v>
      </c>
      <c r="I34" s="60">
        <v>-14</v>
      </c>
      <c r="J34" s="60">
        <v>-14</v>
      </c>
      <c r="K34" s="60">
        <v>-14</v>
      </c>
      <c r="L34" s="60">
        <v>-14</v>
      </c>
      <c r="M34" s="60">
        <v>-12</v>
      </c>
      <c r="N34" s="60">
        <v>-8</v>
      </c>
      <c r="O34" s="60">
        <v>-4</v>
      </c>
      <c r="P34" s="60">
        <v>0</v>
      </c>
      <c r="S34" s="60" t="e">
        <f t="shared" ca="1" si="0"/>
        <v>#REF!</v>
      </c>
      <c r="T34" s="60">
        <f t="shared" si="1"/>
        <v>3</v>
      </c>
      <c r="U34" s="60">
        <f t="shared" si="2"/>
        <v>7</v>
      </c>
      <c r="V34" s="60">
        <f t="shared" si="3"/>
        <v>10</v>
      </c>
      <c r="W34" s="60">
        <f t="shared" si="4"/>
        <v>14</v>
      </c>
      <c r="X34" s="60">
        <f t="shared" si="5"/>
        <v>14</v>
      </c>
      <c r="Y34" s="60">
        <f t="shared" si="6"/>
        <v>14</v>
      </c>
      <c r="Z34" s="60">
        <f t="shared" si="7"/>
        <v>14</v>
      </c>
      <c r="AA34" s="60">
        <f t="shared" si="8"/>
        <v>14</v>
      </c>
      <c r="AB34" s="60">
        <f t="shared" si="9"/>
        <v>12</v>
      </c>
      <c r="AC34" s="60">
        <f t="shared" si="10"/>
        <v>8</v>
      </c>
      <c r="AD34" s="60">
        <f t="shared" si="11"/>
        <v>4</v>
      </c>
      <c r="AE34" s="60">
        <f t="shared" si="12"/>
        <v>0</v>
      </c>
      <c r="AG34" s="60" cm="1">
        <f t="array" aca="1" ref="AG34" ca="1">SQRT(SUMSQ(_xlfn._xlws.FILTER(S34:AE34,ISNUMBER(S34:AE34)))/COUNT(_xlfn._xlws.FILTER(S34:AE34,ISNUMBER(S34:AE34))))</f>
        <v>10.653637876331258</v>
      </c>
    </row>
    <row r="35" spans="3:33" x14ac:dyDescent="0.2">
      <c r="C35" s="60" t="s">
        <v>199</v>
      </c>
      <c r="D35" s="60">
        <v>0</v>
      </c>
      <c r="E35" s="60">
        <v>-1</v>
      </c>
      <c r="F35" s="60">
        <v>-2</v>
      </c>
      <c r="G35" s="60">
        <v>-5</v>
      </c>
      <c r="H35" s="60">
        <v>-8</v>
      </c>
      <c r="I35" s="60">
        <v>-8</v>
      </c>
      <c r="J35" s="60">
        <v>-6</v>
      </c>
      <c r="K35" s="60">
        <v>-7</v>
      </c>
      <c r="L35" s="60">
        <v>-5</v>
      </c>
      <c r="M35" s="60">
        <v>-3</v>
      </c>
      <c r="N35" s="60">
        <v>-1</v>
      </c>
      <c r="O35" s="60">
        <v>-1</v>
      </c>
      <c r="P35" s="60">
        <v>0</v>
      </c>
      <c r="S35" s="60" t="e">
        <f t="shared" ca="1" si="0"/>
        <v>#REF!</v>
      </c>
      <c r="T35" s="60">
        <f t="shared" si="1"/>
        <v>1</v>
      </c>
      <c r="U35" s="60">
        <f t="shared" si="2"/>
        <v>2</v>
      </c>
      <c r="V35" s="60">
        <f t="shared" si="3"/>
        <v>5</v>
      </c>
      <c r="W35" s="60">
        <f t="shared" si="4"/>
        <v>8</v>
      </c>
      <c r="X35" s="60">
        <f t="shared" si="5"/>
        <v>8</v>
      </c>
      <c r="Y35" s="60">
        <f t="shared" si="6"/>
        <v>6</v>
      </c>
      <c r="Z35" s="60">
        <f t="shared" si="7"/>
        <v>7</v>
      </c>
      <c r="AA35" s="60">
        <f t="shared" si="8"/>
        <v>5</v>
      </c>
      <c r="AB35" s="60">
        <f t="shared" si="9"/>
        <v>3</v>
      </c>
      <c r="AC35" s="60">
        <f t="shared" si="10"/>
        <v>1</v>
      </c>
      <c r="AD35" s="60">
        <f t="shared" si="11"/>
        <v>1</v>
      </c>
      <c r="AE35" s="60">
        <f t="shared" si="12"/>
        <v>0</v>
      </c>
      <c r="AG35" s="60" cm="1">
        <f t="array" aca="1" ref="AG35" ca="1">SQRT(SUMSQ(_xlfn._xlws.FILTER(S35:AE35,ISNUMBER(S35:AE35)))/COUNT(_xlfn._xlws.FILTER(S35:AE35,ISNUMBER(S35:AE35))))</f>
        <v>4.8218253804964775</v>
      </c>
    </row>
    <row r="36" spans="3:33" x14ac:dyDescent="0.2">
      <c r="C36" s="60" t="s">
        <v>200</v>
      </c>
      <c r="D36" s="60">
        <v>0</v>
      </c>
      <c r="E36" s="60">
        <v>2</v>
      </c>
      <c r="F36" s="60">
        <v>4</v>
      </c>
      <c r="G36" s="60">
        <v>-5</v>
      </c>
      <c r="H36" s="60">
        <v>-14</v>
      </c>
      <c r="I36" s="60">
        <v>-12</v>
      </c>
      <c r="J36" s="60">
        <v>-15</v>
      </c>
      <c r="K36" s="60">
        <v>-13</v>
      </c>
      <c r="L36" s="60">
        <v>-17</v>
      </c>
      <c r="M36" s="60">
        <v>10</v>
      </c>
      <c r="N36" s="60">
        <v>7</v>
      </c>
      <c r="O36" s="60">
        <v>3</v>
      </c>
      <c r="P36" s="60">
        <v>0</v>
      </c>
      <c r="S36" s="60" t="e">
        <f t="shared" ca="1" si="0"/>
        <v>#REF!</v>
      </c>
      <c r="T36" s="60">
        <f t="shared" si="1"/>
        <v>-2</v>
      </c>
      <c r="U36" s="60">
        <f t="shared" si="2"/>
        <v>-4</v>
      </c>
      <c r="V36" s="60">
        <f t="shared" si="3"/>
        <v>5</v>
      </c>
      <c r="W36" s="60">
        <f t="shared" si="4"/>
        <v>14</v>
      </c>
      <c r="X36" s="60">
        <f t="shared" si="5"/>
        <v>12</v>
      </c>
      <c r="Y36" s="60">
        <f t="shared" si="6"/>
        <v>15</v>
      </c>
      <c r="Z36" s="60">
        <f t="shared" si="7"/>
        <v>13</v>
      </c>
      <c r="AA36" s="60">
        <f t="shared" si="8"/>
        <v>17</v>
      </c>
      <c r="AB36" s="60">
        <f t="shared" si="9"/>
        <v>-10</v>
      </c>
      <c r="AC36" s="60">
        <f t="shared" si="10"/>
        <v>-7</v>
      </c>
      <c r="AD36" s="60">
        <f t="shared" si="11"/>
        <v>-3</v>
      </c>
      <c r="AE36" s="60">
        <f t="shared" si="12"/>
        <v>0</v>
      </c>
      <c r="AG36" s="60" cm="1">
        <f t="array" aca="1" ref="AG36" ca="1">SQRT(SUMSQ(_xlfn._xlws.FILTER(S36:AE36,ISNUMBER(S36:AE36)))/COUNT(_xlfn._xlws.FILTER(S36:AE36,ISNUMBER(S36:AE36))))</f>
        <v>10.107752800037536</v>
      </c>
    </row>
    <row r="37" spans="3:33" x14ac:dyDescent="0.2">
      <c r="C37" s="60" t="s">
        <v>201</v>
      </c>
      <c r="D37" s="60">
        <v>0</v>
      </c>
      <c r="E37" s="60">
        <v>1.9550000000000001</v>
      </c>
      <c r="F37" s="60">
        <v>3.91</v>
      </c>
      <c r="G37" s="60">
        <v>-4.8879999999999999</v>
      </c>
      <c r="H37" s="60">
        <v>-13.686</v>
      </c>
      <c r="I37" s="60">
        <v>-11.731</v>
      </c>
      <c r="J37" s="60">
        <v>-15.151999999999999</v>
      </c>
      <c r="K37" s="60">
        <v>-13.196999999999999</v>
      </c>
      <c r="L37" s="60">
        <v>-16.619</v>
      </c>
      <c r="M37" s="60">
        <v>10.265000000000001</v>
      </c>
      <c r="N37" s="60">
        <v>6.843</v>
      </c>
      <c r="O37" s="60">
        <v>3.4209999999999998</v>
      </c>
      <c r="P37" s="60">
        <v>0</v>
      </c>
      <c r="S37" s="60" t="e">
        <f t="shared" ca="1" si="0"/>
        <v>#REF!</v>
      </c>
      <c r="T37" s="60">
        <f t="shared" si="1"/>
        <v>-1.9550000000000001</v>
      </c>
      <c r="U37" s="60">
        <f t="shared" si="2"/>
        <v>-3.91</v>
      </c>
      <c r="V37" s="60">
        <f t="shared" si="3"/>
        <v>4.8879999999999999</v>
      </c>
      <c r="W37" s="60">
        <f t="shared" si="4"/>
        <v>13.686</v>
      </c>
      <c r="X37" s="60">
        <f t="shared" si="5"/>
        <v>11.731</v>
      </c>
      <c r="Y37" s="60">
        <f t="shared" si="6"/>
        <v>15.151999999999999</v>
      </c>
      <c r="Z37" s="60">
        <f t="shared" si="7"/>
        <v>13.196999999999999</v>
      </c>
      <c r="AA37" s="60">
        <f t="shared" si="8"/>
        <v>16.619</v>
      </c>
      <c r="AB37" s="60">
        <f t="shared" si="9"/>
        <v>-10.265000000000001</v>
      </c>
      <c r="AC37" s="60">
        <f t="shared" si="10"/>
        <v>-6.843</v>
      </c>
      <c r="AD37" s="60">
        <f t="shared" si="11"/>
        <v>-3.4209999999999998</v>
      </c>
      <c r="AE37" s="60">
        <f t="shared" si="12"/>
        <v>0</v>
      </c>
      <c r="AG37" s="60" cm="1">
        <f t="array" aca="1" ref="AG37" ca="1">SQRT(SUMSQ(_xlfn._xlws.FILTER(S37:AE37,ISNUMBER(S37:AE37)))/COUNT(_xlfn._xlws.FILTER(S37:AE37,ISNUMBER(S37:AE37))))</f>
        <v>10.048883913981028</v>
      </c>
    </row>
    <row r="38" spans="3:33" x14ac:dyDescent="0.2">
      <c r="C38" s="60" t="s">
        <v>202</v>
      </c>
      <c r="D38" s="60">
        <v>0</v>
      </c>
      <c r="E38" s="60">
        <v>1</v>
      </c>
      <c r="F38" s="60">
        <v>3</v>
      </c>
      <c r="G38" s="60">
        <v>-3</v>
      </c>
      <c r="H38" s="60">
        <v>-9</v>
      </c>
      <c r="I38" s="60">
        <v>-8</v>
      </c>
      <c r="J38" s="60">
        <v>-6</v>
      </c>
      <c r="K38" s="60">
        <v>-5</v>
      </c>
      <c r="L38" s="60">
        <v>-4</v>
      </c>
      <c r="M38" s="60">
        <v>-3</v>
      </c>
      <c r="N38" s="60">
        <v>-2</v>
      </c>
      <c r="O38" s="60">
        <v>-1</v>
      </c>
      <c r="P38" s="60">
        <v>0</v>
      </c>
      <c r="S38" s="60" t="e">
        <f t="shared" ca="1" si="0"/>
        <v>#REF!</v>
      </c>
      <c r="T38" s="60">
        <f t="shared" si="1"/>
        <v>-1</v>
      </c>
      <c r="U38" s="60">
        <f t="shared" si="2"/>
        <v>-3</v>
      </c>
      <c r="V38" s="60">
        <f t="shared" si="3"/>
        <v>3</v>
      </c>
      <c r="W38" s="60">
        <f t="shared" si="4"/>
        <v>9</v>
      </c>
      <c r="X38" s="60">
        <f t="shared" si="5"/>
        <v>8</v>
      </c>
      <c r="Y38" s="60">
        <f t="shared" si="6"/>
        <v>6</v>
      </c>
      <c r="Z38" s="60">
        <f t="shared" si="7"/>
        <v>5</v>
      </c>
      <c r="AA38" s="60">
        <f t="shared" si="8"/>
        <v>4</v>
      </c>
      <c r="AB38" s="60">
        <f t="shared" si="9"/>
        <v>3</v>
      </c>
      <c r="AC38" s="60">
        <f t="shared" si="10"/>
        <v>2</v>
      </c>
      <c r="AD38" s="60">
        <f t="shared" si="11"/>
        <v>1</v>
      </c>
      <c r="AE38" s="60">
        <f t="shared" si="12"/>
        <v>0</v>
      </c>
      <c r="AG38" s="60" cm="1">
        <f t="array" aca="1" ref="AG38" ca="1">SQRT(SUMSQ(_xlfn._xlws.FILTER(S38:AE38,ISNUMBER(S38:AE38)))/COUNT(_xlfn._xlws.FILTER(S38:AE38,ISNUMBER(S38:AE38))))</f>
        <v>4.6097722286464435</v>
      </c>
    </row>
    <row r="39" spans="3:33" x14ac:dyDescent="0.2">
      <c r="C39" s="60" t="s">
        <v>203</v>
      </c>
      <c r="D39" s="60">
        <v>0</v>
      </c>
      <c r="E39" s="60">
        <v>1.4550000000000001</v>
      </c>
      <c r="F39" s="60">
        <v>2.91</v>
      </c>
      <c r="G39" s="60">
        <v>-2.8650000000000002</v>
      </c>
      <c r="H39" s="60">
        <v>-8.64</v>
      </c>
      <c r="I39" s="60">
        <v>-7.6849999999999996</v>
      </c>
      <c r="J39" s="60">
        <v>-6.23</v>
      </c>
      <c r="K39" s="60">
        <v>-4.7750000000000004</v>
      </c>
      <c r="L39" s="60">
        <v>-3.82</v>
      </c>
      <c r="M39" s="60">
        <v>-2.8650000000000002</v>
      </c>
      <c r="N39" s="60">
        <v>-1.91</v>
      </c>
      <c r="O39" s="60">
        <v>-0.95499999999999996</v>
      </c>
      <c r="P39" s="60">
        <v>0</v>
      </c>
      <c r="S39" s="60" t="e">
        <f t="shared" ca="1" si="0"/>
        <v>#REF!</v>
      </c>
      <c r="T39" s="60">
        <f t="shared" si="1"/>
        <v>-1.4550000000000001</v>
      </c>
      <c r="U39" s="60">
        <f t="shared" si="2"/>
        <v>-2.91</v>
      </c>
      <c r="V39" s="60">
        <f t="shared" si="3"/>
        <v>2.8650000000000002</v>
      </c>
      <c r="W39" s="60">
        <f t="shared" si="4"/>
        <v>8.64</v>
      </c>
      <c r="X39" s="60">
        <f t="shared" si="5"/>
        <v>7.6849999999999996</v>
      </c>
      <c r="Y39" s="60">
        <f t="shared" si="6"/>
        <v>6.23</v>
      </c>
      <c r="Z39" s="60">
        <f t="shared" si="7"/>
        <v>4.7750000000000004</v>
      </c>
      <c r="AA39" s="60">
        <f t="shared" si="8"/>
        <v>3.82</v>
      </c>
      <c r="AB39" s="60">
        <f t="shared" si="9"/>
        <v>2.8650000000000002</v>
      </c>
      <c r="AC39" s="60">
        <f t="shared" si="10"/>
        <v>1.91</v>
      </c>
      <c r="AD39" s="60">
        <f t="shared" si="11"/>
        <v>0.95499999999999996</v>
      </c>
      <c r="AE39" s="60">
        <f t="shared" si="12"/>
        <v>0</v>
      </c>
      <c r="AG39" s="60" cm="1">
        <f t="array" aca="1" ref="AG39" ca="1">SQRT(SUMSQ(_xlfn._xlws.FILTER(S39:AE39,ISNUMBER(S39:AE39)))/COUNT(_xlfn._xlws.FILTER(S39:AE39,ISNUMBER(S39:AE39))))</f>
        <v>4.4858708742004598</v>
      </c>
    </row>
    <row r="40" spans="3:33" x14ac:dyDescent="0.2">
      <c r="C40" s="60" t="s">
        <v>204</v>
      </c>
      <c r="D40" s="60">
        <v>0</v>
      </c>
      <c r="E40" s="60">
        <v>1</v>
      </c>
      <c r="F40" s="60">
        <v>3</v>
      </c>
      <c r="G40" s="60">
        <v>-2</v>
      </c>
      <c r="H40" s="60">
        <v>-7</v>
      </c>
      <c r="I40" s="60">
        <v>-6</v>
      </c>
      <c r="J40" s="60">
        <v>-4</v>
      </c>
      <c r="K40" s="60">
        <v>-3</v>
      </c>
      <c r="L40" s="60">
        <v>-2</v>
      </c>
      <c r="M40" s="60">
        <v>-2</v>
      </c>
      <c r="N40" s="60">
        <v>-1</v>
      </c>
      <c r="O40" s="60">
        <v>-1</v>
      </c>
      <c r="P40" s="60">
        <v>0</v>
      </c>
      <c r="S40" s="60" t="e">
        <f t="shared" ca="1" si="0"/>
        <v>#REF!</v>
      </c>
      <c r="T40" s="60">
        <f t="shared" si="1"/>
        <v>-1</v>
      </c>
      <c r="U40" s="60">
        <f t="shared" si="2"/>
        <v>-3</v>
      </c>
      <c r="V40" s="60">
        <f t="shared" si="3"/>
        <v>2</v>
      </c>
      <c r="W40" s="60">
        <f t="shared" si="4"/>
        <v>7</v>
      </c>
      <c r="X40" s="60">
        <f t="shared" si="5"/>
        <v>6</v>
      </c>
      <c r="Y40" s="60">
        <f t="shared" si="6"/>
        <v>4</v>
      </c>
      <c r="Z40" s="60">
        <f t="shared" si="7"/>
        <v>3</v>
      </c>
      <c r="AA40" s="60">
        <f t="shared" si="8"/>
        <v>2</v>
      </c>
      <c r="AB40" s="60">
        <f t="shared" si="9"/>
        <v>2</v>
      </c>
      <c r="AC40" s="60">
        <f t="shared" si="10"/>
        <v>1</v>
      </c>
      <c r="AD40" s="60">
        <f t="shared" si="11"/>
        <v>1</v>
      </c>
      <c r="AE40" s="60">
        <f t="shared" si="12"/>
        <v>0</v>
      </c>
      <c r="AG40" s="60" cm="1">
        <f t="array" aca="1" ref="AG40" ca="1">SQRT(SUMSQ(_xlfn._xlws.FILTER(S40:AE40,ISNUMBER(S40:AE40)))/COUNT(_xlfn._xlws.FILTER(S40:AE40,ISNUMBER(S40:AE40))))</f>
        <v>3.3416562759605704</v>
      </c>
    </row>
    <row r="41" spans="3:33" x14ac:dyDescent="0.2">
      <c r="C41" s="60" t="s">
        <v>506</v>
      </c>
      <c r="D41" s="60">
        <v>0</v>
      </c>
      <c r="E41" s="60">
        <v>0</v>
      </c>
      <c r="F41" s="60">
        <v>-5</v>
      </c>
      <c r="G41" s="60">
        <v>-10</v>
      </c>
      <c r="H41" s="60">
        <v>-10</v>
      </c>
      <c r="I41" s="60">
        <v>-10</v>
      </c>
      <c r="J41" s="60">
        <v>-9</v>
      </c>
      <c r="K41" s="60">
        <v>-9</v>
      </c>
      <c r="L41" s="60">
        <v>-9</v>
      </c>
      <c r="M41" s="60">
        <v>-5</v>
      </c>
      <c r="N41" s="60">
        <v>-1</v>
      </c>
      <c r="O41" s="60">
        <v>3</v>
      </c>
      <c r="P41" s="60">
        <v>0</v>
      </c>
      <c r="S41" s="60" t="e">
        <f t="shared" ca="1" si="0"/>
        <v>#REF!</v>
      </c>
      <c r="T41" s="60">
        <f t="shared" si="1"/>
        <v>0</v>
      </c>
      <c r="U41" s="60">
        <f t="shared" si="2"/>
        <v>5</v>
      </c>
      <c r="V41" s="60">
        <f t="shared" si="3"/>
        <v>10</v>
      </c>
      <c r="W41" s="60">
        <f t="shared" si="4"/>
        <v>10</v>
      </c>
      <c r="X41" s="60">
        <f t="shared" si="5"/>
        <v>10</v>
      </c>
      <c r="Y41" s="60">
        <f t="shared" si="6"/>
        <v>9</v>
      </c>
      <c r="Z41" s="60">
        <f t="shared" si="7"/>
        <v>9</v>
      </c>
      <c r="AA41" s="60">
        <f t="shared" si="8"/>
        <v>9</v>
      </c>
      <c r="AB41" s="60">
        <f t="shared" si="9"/>
        <v>5</v>
      </c>
      <c r="AC41" s="60">
        <f t="shared" si="10"/>
        <v>1</v>
      </c>
      <c r="AD41" s="60">
        <f t="shared" si="11"/>
        <v>-3</v>
      </c>
      <c r="AE41" s="60">
        <f t="shared" si="12"/>
        <v>0</v>
      </c>
      <c r="AG41" s="60" cm="1">
        <f t="array" aca="1" ref="AG41" ca="1">SQRT(SUMSQ(_xlfn._xlws.FILTER(S41:AE41,ISNUMBER(S41:AE41)))/COUNT(_xlfn._xlws.FILTER(S41:AE41,ISNUMBER(S41:AE41))))</f>
        <v>7.0887234393789127</v>
      </c>
    </row>
    <row r="42" spans="3:33" x14ac:dyDescent="0.2">
      <c r="C42" s="60" t="s">
        <v>205</v>
      </c>
      <c r="D42" s="60">
        <v>0</v>
      </c>
      <c r="E42" s="60">
        <v>0</v>
      </c>
      <c r="F42" s="60">
        <v>0</v>
      </c>
      <c r="G42" s="60">
        <v>-5</v>
      </c>
      <c r="H42" s="60">
        <v>-10</v>
      </c>
      <c r="I42" s="60">
        <v>-10</v>
      </c>
      <c r="J42" s="60">
        <v>-5</v>
      </c>
      <c r="K42" s="60">
        <v>5</v>
      </c>
      <c r="L42" s="60">
        <v>4</v>
      </c>
      <c r="M42" s="60">
        <v>3</v>
      </c>
      <c r="N42" s="60">
        <v>2</v>
      </c>
      <c r="O42" s="60">
        <v>1</v>
      </c>
      <c r="P42" s="60">
        <v>0</v>
      </c>
      <c r="S42" s="60" t="e">
        <f t="shared" ca="1" si="0"/>
        <v>#REF!</v>
      </c>
      <c r="T42" s="60">
        <f t="shared" si="1"/>
        <v>0</v>
      </c>
      <c r="U42" s="60">
        <f t="shared" si="2"/>
        <v>0</v>
      </c>
      <c r="V42" s="60">
        <f t="shared" si="3"/>
        <v>5</v>
      </c>
      <c r="W42" s="60">
        <f t="shared" si="4"/>
        <v>10</v>
      </c>
      <c r="X42" s="60">
        <f t="shared" si="5"/>
        <v>10</v>
      </c>
      <c r="Y42" s="60">
        <f t="shared" si="6"/>
        <v>5</v>
      </c>
      <c r="Z42" s="60">
        <f t="shared" si="7"/>
        <v>-5</v>
      </c>
      <c r="AA42" s="60">
        <f t="shared" si="8"/>
        <v>-4</v>
      </c>
      <c r="AB42" s="60">
        <f t="shared" si="9"/>
        <v>-3</v>
      </c>
      <c r="AC42" s="60">
        <f t="shared" si="10"/>
        <v>-2</v>
      </c>
      <c r="AD42" s="60">
        <f t="shared" si="11"/>
        <v>-1</v>
      </c>
      <c r="AE42" s="60">
        <f t="shared" si="12"/>
        <v>0</v>
      </c>
      <c r="AG42" s="60" cm="1">
        <f t="array" aca="1" ref="AG42" ca="1">SQRT(SUMSQ(_xlfn._xlws.FILTER(S42:AE42,ISNUMBER(S42:AE42)))/COUNT(_xlfn._xlws.FILTER(S42:AE42,ISNUMBER(S42:AE42))))</f>
        <v>5.0414944874180581</v>
      </c>
    </row>
    <row r="43" spans="3:33" x14ac:dyDescent="0.2">
      <c r="C43" s="60" t="s">
        <v>507</v>
      </c>
      <c r="D43" s="60">
        <v>0</v>
      </c>
      <c r="E43" s="60">
        <v>0</v>
      </c>
      <c r="F43" s="60">
        <v>0</v>
      </c>
      <c r="G43" s="60">
        <v>-5</v>
      </c>
      <c r="H43" s="60">
        <v>-10</v>
      </c>
      <c r="I43" s="60">
        <v>-10</v>
      </c>
      <c r="J43" s="60">
        <v>-15</v>
      </c>
      <c r="K43" s="60">
        <v>-20</v>
      </c>
      <c r="L43" s="60">
        <v>-16</v>
      </c>
      <c r="M43" s="60">
        <v>-12</v>
      </c>
      <c r="N43" s="60">
        <v>-8</v>
      </c>
      <c r="O43" s="60">
        <v>-4</v>
      </c>
      <c r="P43" s="60">
        <v>0</v>
      </c>
      <c r="S43" s="60" t="e">
        <f t="shared" ca="1" si="0"/>
        <v>#REF!</v>
      </c>
      <c r="T43" s="60">
        <f t="shared" si="1"/>
        <v>0</v>
      </c>
      <c r="U43" s="60">
        <f t="shared" si="2"/>
        <v>0</v>
      </c>
      <c r="V43" s="60">
        <f t="shared" si="3"/>
        <v>5</v>
      </c>
      <c r="W43" s="60">
        <f t="shared" si="4"/>
        <v>10</v>
      </c>
      <c r="X43" s="60">
        <f t="shared" si="5"/>
        <v>10</v>
      </c>
      <c r="Y43" s="60">
        <f t="shared" si="6"/>
        <v>15</v>
      </c>
      <c r="Z43" s="60">
        <f t="shared" si="7"/>
        <v>20</v>
      </c>
      <c r="AA43" s="60">
        <f t="shared" si="8"/>
        <v>16</v>
      </c>
      <c r="AB43" s="60">
        <f t="shared" si="9"/>
        <v>12</v>
      </c>
      <c r="AC43" s="60">
        <f t="shared" si="10"/>
        <v>8</v>
      </c>
      <c r="AD43" s="60">
        <f t="shared" si="11"/>
        <v>4</v>
      </c>
      <c r="AE43" s="60">
        <f t="shared" si="12"/>
        <v>0</v>
      </c>
      <c r="AG43" s="60" cm="1">
        <f t="array" aca="1" ref="AG43" ca="1">SQRT(SUMSQ(_xlfn._xlws.FILTER(S43:AE43,ISNUMBER(S43:AE43)))/COUNT(_xlfn._xlws.FILTER(S43:AE43,ISNUMBER(S43:AE43))))</f>
        <v>10.52774113156917</v>
      </c>
    </row>
    <row r="44" spans="3:33" x14ac:dyDescent="0.2">
      <c r="C44" s="60" t="s">
        <v>508</v>
      </c>
      <c r="D44" s="60">
        <v>0</v>
      </c>
      <c r="E44" s="60">
        <v>0</v>
      </c>
      <c r="F44" s="60">
        <v>0</v>
      </c>
      <c r="G44" s="60">
        <v>-4</v>
      </c>
      <c r="H44" s="60">
        <v>-8</v>
      </c>
      <c r="I44" s="60">
        <v>-8</v>
      </c>
      <c r="J44" s="60">
        <v>-12</v>
      </c>
      <c r="K44" s="60">
        <v>-16</v>
      </c>
      <c r="L44" s="60">
        <v>-12</v>
      </c>
      <c r="M44" s="60">
        <v>-8</v>
      </c>
      <c r="N44" s="60">
        <v>-4</v>
      </c>
      <c r="O44" s="60">
        <v>0</v>
      </c>
      <c r="P44" s="60">
        <v>0</v>
      </c>
      <c r="S44" s="60" t="e">
        <f t="shared" ca="1" si="0"/>
        <v>#REF!</v>
      </c>
      <c r="T44" s="60">
        <f t="shared" si="1"/>
        <v>0</v>
      </c>
      <c r="U44" s="60">
        <f t="shared" si="2"/>
        <v>0</v>
      </c>
      <c r="V44" s="60">
        <f t="shared" si="3"/>
        <v>4</v>
      </c>
      <c r="W44" s="60">
        <f t="shared" si="4"/>
        <v>8</v>
      </c>
      <c r="X44" s="60">
        <f t="shared" si="5"/>
        <v>8</v>
      </c>
      <c r="Y44" s="60">
        <f t="shared" si="6"/>
        <v>12</v>
      </c>
      <c r="Z44" s="60">
        <f t="shared" si="7"/>
        <v>16</v>
      </c>
      <c r="AA44" s="60">
        <f t="shared" si="8"/>
        <v>12</v>
      </c>
      <c r="AB44" s="60">
        <f t="shared" si="9"/>
        <v>8</v>
      </c>
      <c r="AC44" s="60">
        <f t="shared" si="10"/>
        <v>4</v>
      </c>
      <c r="AD44" s="60">
        <f t="shared" si="11"/>
        <v>0</v>
      </c>
      <c r="AE44" s="60">
        <f t="shared" si="12"/>
        <v>0</v>
      </c>
      <c r="AG44" s="60" cm="1">
        <f t="array" aca="1" ref="AG44" ca="1">SQRT(SUMSQ(_xlfn._xlws.FILTER(S44:AE44,ISNUMBER(S44:AE44)))/COUNT(_xlfn._xlws.FILTER(S44:AE44,ISNUMBER(S44:AE44))))</f>
        <v>8</v>
      </c>
    </row>
    <row r="45" spans="3:33" x14ac:dyDescent="0.2">
      <c r="C45" s="60" t="s">
        <v>509</v>
      </c>
      <c r="D45" s="60">
        <v>0</v>
      </c>
      <c r="E45" s="60">
        <v>-1</v>
      </c>
      <c r="F45" s="60">
        <v>-2</v>
      </c>
      <c r="G45" s="60">
        <v>-8</v>
      </c>
      <c r="H45" s="60">
        <v>-14</v>
      </c>
      <c r="I45" s="60">
        <v>-15</v>
      </c>
      <c r="J45" s="60">
        <v>-9</v>
      </c>
      <c r="K45" s="60">
        <v>-15</v>
      </c>
      <c r="L45" s="60">
        <v>-12</v>
      </c>
      <c r="M45" s="60">
        <v>-9</v>
      </c>
      <c r="N45" s="60">
        <v>-6</v>
      </c>
      <c r="O45" s="60">
        <v>-3</v>
      </c>
      <c r="P45" s="60">
        <v>0</v>
      </c>
      <c r="S45" s="60" t="e">
        <f t="shared" ca="1" si="0"/>
        <v>#REF!</v>
      </c>
      <c r="T45" s="60">
        <f t="shared" si="1"/>
        <v>1</v>
      </c>
      <c r="U45" s="60">
        <f t="shared" si="2"/>
        <v>2</v>
      </c>
      <c r="V45" s="60">
        <f t="shared" si="3"/>
        <v>8</v>
      </c>
      <c r="W45" s="60">
        <f t="shared" si="4"/>
        <v>14</v>
      </c>
      <c r="X45" s="60">
        <f t="shared" si="5"/>
        <v>15</v>
      </c>
      <c r="Y45" s="60">
        <f t="shared" si="6"/>
        <v>9</v>
      </c>
      <c r="Z45" s="60">
        <f t="shared" si="7"/>
        <v>15</v>
      </c>
      <c r="AA45" s="60">
        <f t="shared" si="8"/>
        <v>12</v>
      </c>
      <c r="AB45" s="60">
        <f t="shared" si="9"/>
        <v>9</v>
      </c>
      <c r="AC45" s="60">
        <f t="shared" si="10"/>
        <v>6</v>
      </c>
      <c r="AD45" s="60">
        <f t="shared" si="11"/>
        <v>3</v>
      </c>
      <c r="AE45" s="60">
        <f t="shared" si="12"/>
        <v>0</v>
      </c>
      <c r="AG45" s="60" cm="1">
        <f t="array" aca="1" ref="AG45" ca="1">SQRT(SUMSQ(_xlfn._xlws.FILTER(S45:AE45,ISNUMBER(S45:AE45)))/COUNT(_xlfn._xlws.FILTER(S45:AE45,ISNUMBER(S45:AE45))))</f>
        <v>9.4251436770657939</v>
      </c>
    </row>
    <row r="46" spans="3:33" x14ac:dyDescent="0.2">
      <c r="C46" s="60" t="s">
        <v>510</v>
      </c>
      <c r="D46" s="60">
        <v>0</v>
      </c>
      <c r="E46" s="60">
        <v>0</v>
      </c>
      <c r="F46" s="60">
        <v>0</v>
      </c>
      <c r="G46" s="60">
        <v>-6</v>
      </c>
      <c r="H46" s="60">
        <v>-12</v>
      </c>
      <c r="I46" s="60">
        <v>-12</v>
      </c>
      <c r="J46" s="60">
        <v>-6</v>
      </c>
      <c r="K46" s="60">
        <v>-12</v>
      </c>
      <c r="L46" s="60">
        <v>-9</v>
      </c>
      <c r="M46" s="60">
        <v>-6</v>
      </c>
      <c r="N46" s="60">
        <v>-3</v>
      </c>
      <c r="O46" s="60">
        <v>0</v>
      </c>
      <c r="P46" s="60">
        <v>0</v>
      </c>
      <c r="S46" s="60" t="e">
        <f t="shared" ca="1" si="0"/>
        <v>#REF!</v>
      </c>
      <c r="T46" s="60">
        <f t="shared" si="1"/>
        <v>0</v>
      </c>
      <c r="U46" s="60">
        <f t="shared" si="2"/>
        <v>0</v>
      </c>
      <c r="V46" s="60">
        <f t="shared" si="3"/>
        <v>6</v>
      </c>
      <c r="W46" s="60">
        <f t="shared" si="4"/>
        <v>12</v>
      </c>
      <c r="X46" s="60">
        <f t="shared" si="5"/>
        <v>12</v>
      </c>
      <c r="Y46" s="60">
        <f t="shared" si="6"/>
        <v>6</v>
      </c>
      <c r="Z46" s="60">
        <f t="shared" si="7"/>
        <v>12</v>
      </c>
      <c r="AA46" s="60">
        <f t="shared" si="8"/>
        <v>9</v>
      </c>
      <c r="AB46" s="60">
        <f t="shared" si="9"/>
        <v>6</v>
      </c>
      <c r="AC46" s="60">
        <f t="shared" si="10"/>
        <v>3</v>
      </c>
      <c r="AD46" s="60">
        <f t="shared" si="11"/>
        <v>0</v>
      </c>
      <c r="AE46" s="60">
        <f t="shared" si="12"/>
        <v>0</v>
      </c>
      <c r="AG46" s="60" cm="1">
        <f t="array" aca="1" ref="AG46" ca="1">SQRT(SUMSQ(_xlfn._xlws.FILTER(S46:AE46,ISNUMBER(S46:AE46)))/COUNT(_xlfn._xlws.FILTER(S46:AE46,ISNUMBER(S46:AE46))))</f>
        <v>7.245688373094719</v>
      </c>
    </row>
    <row r="47" spans="3:33" x14ac:dyDescent="0.2">
      <c r="C47" s="60" t="s">
        <v>511</v>
      </c>
      <c r="D47" s="60">
        <v>0</v>
      </c>
      <c r="E47" s="60">
        <v>0</v>
      </c>
      <c r="F47" s="60">
        <v>0</v>
      </c>
      <c r="G47" s="60">
        <v>-6</v>
      </c>
      <c r="H47" s="60">
        <v>-12</v>
      </c>
      <c r="I47" s="60">
        <v>-12</v>
      </c>
      <c r="J47" s="60">
        <v>-9</v>
      </c>
      <c r="K47" s="60">
        <v>-15</v>
      </c>
      <c r="L47" s="60">
        <v>-12</v>
      </c>
      <c r="M47" s="60">
        <v>-9</v>
      </c>
      <c r="N47" s="60">
        <v>-6</v>
      </c>
      <c r="O47" s="60">
        <v>-3</v>
      </c>
      <c r="P47" s="60">
        <v>0</v>
      </c>
      <c r="S47" s="60" t="e">
        <f t="shared" ca="1" si="0"/>
        <v>#REF!</v>
      </c>
      <c r="T47" s="60">
        <f t="shared" si="1"/>
        <v>0</v>
      </c>
      <c r="U47" s="60">
        <f t="shared" si="2"/>
        <v>0</v>
      </c>
      <c r="V47" s="60">
        <f t="shared" si="3"/>
        <v>6</v>
      </c>
      <c r="W47" s="60">
        <f t="shared" si="4"/>
        <v>12</v>
      </c>
      <c r="X47" s="60">
        <f t="shared" si="5"/>
        <v>12</v>
      </c>
      <c r="Y47" s="60">
        <f t="shared" si="6"/>
        <v>9</v>
      </c>
      <c r="Z47" s="60">
        <f t="shared" si="7"/>
        <v>15</v>
      </c>
      <c r="AA47" s="60">
        <f t="shared" si="8"/>
        <v>12</v>
      </c>
      <c r="AB47" s="60">
        <f t="shared" si="9"/>
        <v>9</v>
      </c>
      <c r="AC47" s="60">
        <f t="shared" si="10"/>
        <v>6</v>
      </c>
      <c r="AD47" s="60">
        <f t="shared" si="11"/>
        <v>3</v>
      </c>
      <c r="AE47" s="60">
        <f t="shared" si="12"/>
        <v>0</v>
      </c>
      <c r="AG47" s="60" cm="1">
        <f t="array" aca="1" ref="AG47" ca="1">SQRT(SUMSQ(_xlfn._xlws.FILTER(S47:AE47,ISNUMBER(S47:AE47)))/COUNT(_xlfn._xlws.FILTER(S47:AE47,ISNUMBER(S47:AE47))))</f>
        <v>8.6602540378443873</v>
      </c>
    </row>
    <row r="48" spans="3:33" x14ac:dyDescent="0.2">
      <c r="C48" s="60" t="s">
        <v>512</v>
      </c>
      <c r="D48" s="60">
        <v>0</v>
      </c>
      <c r="E48" s="60">
        <v>0</v>
      </c>
      <c r="F48" s="60">
        <v>0</v>
      </c>
      <c r="G48" s="60">
        <v>-5</v>
      </c>
      <c r="H48" s="60">
        <v>-10</v>
      </c>
      <c r="I48" s="60">
        <v>-10</v>
      </c>
      <c r="J48" s="60">
        <v>-7</v>
      </c>
      <c r="K48" s="60">
        <v>-12</v>
      </c>
      <c r="L48" s="60">
        <v>-9</v>
      </c>
      <c r="M48" s="60">
        <v>-6</v>
      </c>
      <c r="N48" s="60">
        <v>-3</v>
      </c>
      <c r="O48" s="60">
        <v>0</v>
      </c>
      <c r="P48" s="60">
        <v>0</v>
      </c>
      <c r="S48" s="60" t="e">
        <f t="shared" ca="1" si="0"/>
        <v>#REF!</v>
      </c>
      <c r="T48" s="60">
        <f t="shared" si="1"/>
        <v>0</v>
      </c>
      <c r="U48" s="60">
        <f t="shared" si="2"/>
        <v>0</v>
      </c>
      <c r="V48" s="60">
        <f t="shared" si="3"/>
        <v>5</v>
      </c>
      <c r="W48" s="60">
        <f t="shared" si="4"/>
        <v>10</v>
      </c>
      <c r="X48" s="60">
        <f t="shared" si="5"/>
        <v>10</v>
      </c>
      <c r="Y48" s="60">
        <f t="shared" si="6"/>
        <v>7</v>
      </c>
      <c r="Z48" s="60">
        <f t="shared" si="7"/>
        <v>12</v>
      </c>
      <c r="AA48" s="60">
        <f t="shared" si="8"/>
        <v>9</v>
      </c>
      <c r="AB48" s="60">
        <f t="shared" si="9"/>
        <v>6</v>
      </c>
      <c r="AC48" s="60">
        <f t="shared" si="10"/>
        <v>3</v>
      </c>
      <c r="AD48" s="60">
        <f t="shared" si="11"/>
        <v>0</v>
      </c>
      <c r="AE48" s="60">
        <f t="shared" si="12"/>
        <v>0</v>
      </c>
      <c r="AG48" s="60" cm="1">
        <f t="array" aca="1" ref="AG48" ca="1">SQRT(SUMSQ(_xlfn._xlws.FILTER(S48:AE48,ISNUMBER(S48:AE48)))/COUNT(_xlfn._xlws.FILTER(S48:AE48,ISNUMBER(S48:AE48))))</f>
        <v>6.7330032922413858</v>
      </c>
    </row>
    <row r="49" spans="3:33" x14ac:dyDescent="0.2">
      <c r="C49" s="60" t="s">
        <v>513</v>
      </c>
      <c r="D49" s="60">
        <v>0</v>
      </c>
      <c r="E49" s="60">
        <v>0</v>
      </c>
      <c r="F49" s="60">
        <v>0</v>
      </c>
      <c r="G49" s="60">
        <v>-5</v>
      </c>
      <c r="H49" s="60">
        <v>-10</v>
      </c>
      <c r="I49" s="60">
        <v>-10</v>
      </c>
      <c r="J49" s="60">
        <v>-10</v>
      </c>
      <c r="K49" s="60">
        <v>-15</v>
      </c>
      <c r="L49" s="60">
        <v>-12</v>
      </c>
      <c r="M49" s="60">
        <v>-9</v>
      </c>
      <c r="N49" s="60">
        <v>-6</v>
      </c>
      <c r="O49" s="60">
        <v>-3</v>
      </c>
      <c r="P49" s="60">
        <v>0</v>
      </c>
      <c r="S49" s="60" t="e">
        <f t="shared" ca="1" si="0"/>
        <v>#REF!</v>
      </c>
      <c r="T49" s="60">
        <f t="shared" si="1"/>
        <v>0</v>
      </c>
      <c r="U49" s="60">
        <f t="shared" si="2"/>
        <v>0</v>
      </c>
      <c r="V49" s="60">
        <f t="shared" si="3"/>
        <v>5</v>
      </c>
      <c r="W49" s="60">
        <f t="shared" si="4"/>
        <v>10</v>
      </c>
      <c r="X49" s="60">
        <f t="shared" si="5"/>
        <v>10</v>
      </c>
      <c r="Y49" s="60">
        <f t="shared" si="6"/>
        <v>10</v>
      </c>
      <c r="Z49" s="60">
        <f t="shared" si="7"/>
        <v>15</v>
      </c>
      <c r="AA49" s="60">
        <f t="shared" si="8"/>
        <v>12</v>
      </c>
      <c r="AB49" s="60">
        <f t="shared" si="9"/>
        <v>9</v>
      </c>
      <c r="AC49" s="60">
        <f t="shared" si="10"/>
        <v>6</v>
      </c>
      <c r="AD49" s="60">
        <f t="shared" si="11"/>
        <v>3</v>
      </c>
      <c r="AE49" s="60">
        <f t="shared" si="12"/>
        <v>0</v>
      </c>
      <c r="AG49" s="60" cm="1">
        <f t="array" aca="1" ref="AG49" ca="1">SQRT(SUMSQ(_xlfn._xlws.FILTER(S49:AE49,ISNUMBER(S49:AE49)))/COUNT(_xlfn._xlws.FILTER(S49:AE49,ISNUMBER(S49:AE49))))</f>
        <v>8.2663978450914968</v>
      </c>
    </row>
    <row r="50" spans="3:33" x14ac:dyDescent="0.2">
      <c r="C50" s="60" t="s">
        <v>514</v>
      </c>
      <c r="D50" s="60">
        <v>0</v>
      </c>
      <c r="E50" s="60">
        <v>0</v>
      </c>
      <c r="F50" s="60">
        <v>0</v>
      </c>
      <c r="G50" s="60">
        <v>-4</v>
      </c>
      <c r="H50" s="60">
        <v>-8</v>
      </c>
      <c r="I50" s="60">
        <v>-8</v>
      </c>
      <c r="J50" s="60">
        <v>-8</v>
      </c>
      <c r="K50" s="60">
        <v>-12</v>
      </c>
      <c r="L50" s="60">
        <v>-9</v>
      </c>
      <c r="M50" s="60">
        <v>-6</v>
      </c>
      <c r="N50" s="60">
        <v>-3</v>
      </c>
      <c r="O50" s="60">
        <v>0</v>
      </c>
      <c r="P50" s="60">
        <v>0</v>
      </c>
      <c r="S50" s="60" t="e">
        <f t="shared" ca="1" si="0"/>
        <v>#REF!</v>
      </c>
      <c r="T50" s="60">
        <f t="shared" si="1"/>
        <v>0</v>
      </c>
      <c r="U50" s="60">
        <f t="shared" si="2"/>
        <v>0</v>
      </c>
      <c r="V50" s="60">
        <f t="shared" si="3"/>
        <v>4</v>
      </c>
      <c r="W50" s="60">
        <f t="shared" si="4"/>
        <v>8</v>
      </c>
      <c r="X50" s="60">
        <f t="shared" si="5"/>
        <v>8</v>
      </c>
      <c r="Y50" s="60">
        <f t="shared" si="6"/>
        <v>8</v>
      </c>
      <c r="Z50" s="60">
        <f t="shared" si="7"/>
        <v>12</v>
      </c>
      <c r="AA50" s="60">
        <f t="shared" si="8"/>
        <v>9</v>
      </c>
      <c r="AB50" s="60">
        <f t="shared" si="9"/>
        <v>6</v>
      </c>
      <c r="AC50" s="60">
        <f t="shared" si="10"/>
        <v>3</v>
      </c>
      <c r="AD50" s="60">
        <f t="shared" si="11"/>
        <v>0</v>
      </c>
      <c r="AE50" s="60">
        <f t="shared" si="12"/>
        <v>0</v>
      </c>
      <c r="AG50" s="60" cm="1">
        <f t="array" aca="1" ref="AG50" ca="1">SQRT(SUMSQ(_xlfn._xlws.FILTER(S50:AE50,ISNUMBER(S50:AE50)))/COUNT(_xlfn._xlws.FILTER(S50:AE50,ISNUMBER(S50:AE50))))</f>
        <v>6.3113654095871627</v>
      </c>
    </row>
    <row r="51" spans="3:33" x14ac:dyDescent="0.2">
      <c r="C51" s="60" t="s">
        <v>206</v>
      </c>
      <c r="D51" s="60">
        <v>0</v>
      </c>
      <c r="E51" s="60">
        <v>0</v>
      </c>
      <c r="F51" s="60">
        <v>0</v>
      </c>
      <c r="G51" s="60">
        <v>0</v>
      </c>
      <c r="H51" s="60">
        <v>2</v>
      </c>
      <c r="I51" s="60">
        <v>4</v>
      </c>
      <c r="J51" s="60">
        <v>4</v>
      </c>
      <c r="K51" s="60">
        <v>2</v>
      </c>
      <c r="L51" s="60">
        <v>0</v>
      </c>
      <c r="M51" s="60">
        <v>2</v>
      </c>
      <c r="N51" s="60">
        <v>0</v>
      </c>
      <c r="O51" s="60">
        <v>0</v>
      </c>
      <c r="P51" s="60">
        <v>0</v>
      </c>
      <c r="S51" s="60" t="e">
        <f t="shared" ca="1" si="0"/>
        <v>#REF!</v>
      </c>
      <c r="T51" s="60">
        <f t="shared" si="1"/>
        <v>0</v>
      </c>
      <c r="U51" s="60">
        <f t="shared" si="2"/>
        <v>0</v>
      </c>
      <c r="V51" s="60">
        <f t="shared" si="3"/>
        <v>0</v>
      </c>
      <c r="W51" s="60">
        <f t="shared" si="4"/>
        <v>-2</v>
      </c>
      <c r="X51" s="60">
        <f t="shared" si="5"/>
        <v>-4</v>
      </c>
      <c r="Y51" s="60">
        <f t="shared" si="6"/>
        <v>-4</v>
      </c>
      <c r="Z51" s="60">
        <f t="shared" si="7"/>
        <v>-2</v>
      </c>
      <c r="AA51" s="60">
        <f t="shared" si="8"/>
        <v>0</v>
      </c>
      <c r="AB51" s="60">
        <f t="shared" si="9"/>
        <v>-2</v>
      </c>
      <c r="AC51" s="60">
        <f t="shared" si="10"/>
        <v>0</v>
      </c>
      <c r="AD51" s="60">
        <f t="shared" si="11"/>
        <v>0</v>
      </c>
      <c r="AE51" s="60">
        <f t="shared" si="12"/>
        <v>0</v>
      </c>
      <c r="AG51" s="60" cm="1">
        <f t="array" aca="1" ref="AG51" ca="1">SQRT(SUMSQ(_xlfn._xlws.FILTER(S51:AE51,ISNUMBER(S51:AE51)))/COUNT(_xlfn._xlws.FILTER(S51:AE51,ISNUMBER(S51:AE51))))</f>
        <v>1.9148542155126762</v>
      </c>
    </row>
    <row r="52" spans="3:33" x14ac:dyDescent="0.2">
      <c r="C52" s="60" t="s">
        <v>207</v>
      </c>
      <c r="D52" s="60">
        <v>0</v>
      </c>
      <c r="E52" s="60">
        <v>2</v>
      </c>
      <c r="F52" s="60">
        <v>-18</v>
      </c>
      <c r="G52" s="60">
        <v>-16</v>
      </c>
      <c r="H52" s="60">
        <v>-14</v>
      </c>
      <c r="I52" s="60">
        <v>-12</v>
      </c>
      <c r="J52" s="60">
        <v>-10</v>
      </c>
      <c r="K52" s="60">
        <v>-30</v>
      </c>
      <c r="L52" s="60">
        <v>-28</v>
      </c>
      <c r="M52" s="60">
        <v>-26</v>
      </c>
      <c r="N52" s="60">
        <v>-24</v>
      </c>
      <c r="O52" s="60">
        <v>-2</v>
      </c>
      <c r="P52" s="60">
        <v>0</v>
      </c>
      <c r="S52" s="60" t="e">
        <f t="shared" ca="1" si="0"/>
        <v>#REF!</v>
      </c>
      <c r="T52" s="60">
        <f t="shared" si="1"/>
        <v>-2</v>
      </c>
      <c r="U52" s="60">
        <f t="shared" si="2"/>
        <v>18</v>
      </c>
      <c r="V52" s="60">
        <f t="shared" si="3"/>
        <v>16</v>
      </c>
      <c r="W52" s="60">
        <f t="shared" si="4"/>
        <v>14</v>
      </c>
      <c r="X52" s="60">
        <f t="shared" si="5"/>
        <v>12</v>
      </c>
      <c r="Y52" s="60">
        <f t="shared" si="6"/>
        <v>10</v>
      </c>
      <c r="Z52" s="60">
        <f t="shared" si="7"/>
        <v>30</v>
      </c>
      <c r="AA52" s="60">
        <f t="shared" si="8"/>
        <v>28</v>
      </c>
      <c r="AB52" s="60">
        <f t="shared" si="9"/>
        <v>26</v>
      </c>
      <c r="AC52" s="60">
        <f t="shared" si="10"/>
        <v>24</v>
      </c>
      <c r="AD52" s="60">
        <f t="shared" si="11"/>
        <v>2</v>
      </c>
      <c r="AE52" s="60">
        <f t="shared" si="12"/>
        <v>0</v>
      </c>
      <c r="AG52" s="60" cm="1">
        <f t="array" aca="1" ref="AG52" ca="1">SQRT(SUMSQ(_xlfn._xlws.FILTER(S52:AE52,ISNUMBER(S52:AE52)))/COUNT(_xlfn._xlws.FILTER(S52:AE52,ISNUMBER(S52:AE52))))</f>
        <v>18.175074506954115</v>
      </c>
    </row>
    <row r="53" spans="3:33" x14ac:dyDescent="0.2">
      <c r="C53" s="60" t="s">
        <v>208</v>
      </c>
      <c r="D53" s="60">
        <v>0</v>
      </c>
      <c r="E53" s="60">
        <v>-4</v>
      </c>
      <c r="F53" s="60">
        <v>-6</v>
      </c>
      <c r="G53" s="60">
        <v>-10</v>
      </c>
      <c r="H53" s="60">
        <v>-16</v>
      </c>
      <c r="I53" s="60">
        <v>-16</v>
      </c>
      <c r="J53" s="60">
        <v>-20</v>
      </c>
      <c r="K53" s="60">
        <v>-24</v>
      </c>
      <c r="L53" s="60">
        <v>-28</v>
      </c>
      <c r="M53" s="60">
        <v>10</v>
      </c>
      <c r="N53" s="60">
        <v>7</v>
      </c>
      <c r="O53" s="60">
        <v>4</v>
      </c>
      <c r="P53" s="60">
        <v>0</v>
      </c>
      <c r="S53" s="60" t="e">
        <f t="shared" ca="1" si="0"/>
        <v>#REF!</v>
      </c>
      <c r="T53" s="60">
        <f t="shared" si="1"/>
        <v>4</v>
      </c>
      <c r="U53" s="60">
        <f t="shared" si="2"/>
        <v>6</v>
      </c>
      <c r="V53" s="60">
        <f t="shared" si="3"/>
        <v>10</v>
      </c>
      <c r="W53" s="60">
        <f t="shared" si="4"/>
        <v>16</v>
      </c>
      <c r="X53" s="60">
        <f t="shared" si="5"/>
        <v>16</v>
      </c>
      <c r="Y53" s="60">
        <f t="shared" si="6"/>
        <v>20</v>
      </c>
      <c r="Z53" s="60">
        <f t="shared" si="7"/>
        <v>24</v>
      </c>
      <c r="AA53" s="60">
        <f t="shared" si="8"/>
        <v>28</v>
      </c>
      <c r="AB53" s="60">
        <f t="shared" si="9"/>
        <v>-10</v>
      </c>
      <c r="AC53" s="60">
        <f t="shared" si="10"/>
        <v>-7</v>
      </c>
      <c r="AD53" s="60">
        <f t="shared" si="11"/>
        <v>-4</v>
      </c>
      <c r="AE53" s="60">
        <f t="shared" si="12"/>
        <v>0</v>
      </c>
      <c r="AG53" s="60" cm="1">
        <f t="array" aca="1" ref="AG53" ca="1">SQRT(SUMSQ(_xlfn._xlws.FILTER(S53:AE53,ISNUMBER(S53:AE53)))/COUNT(_xlfn._xlws.FILTER(S53:AE53,ISNUMBER(S53:AE53))))</f>
        <v>14.688430821568382</v>
      </c>
    </row>
    <row r="54" spans="3:33" x14ac:dyDescent="0.2">
      <c r="C54" s="60" t="s">
        <v>209</v>
      </c>
      <c r="D54" s="60">
        <v>0</v>
      </c>
      <c r="E54" s="60">
        <v>-3</v>
      </c>
      <c r="F54" s="60">
        <v>-7</v>
      </c>
      <c r="G54" s="60">
        <v>-10</v>
      </c>
      <c r="H54" s="60">
        <v>-14</v>
      </c>
      <c r="I54" s="60">
        <v>-17</v>
      </c>
      <c r="J54" s="60">
        <v>-20</v>
      </c>
      <c r="K54" s="60">
        <v>-24</v>
      </c>
      <c r="L54" s="60">
        <v>-25</v>
      </c>
      <c r="M54" s="60">
        <v>-4</v>
      </c>
      <c r="N54" s="60">
        <v>3</v>
      </c>
      <c r="O54" s="60">
        <v>3</v>
      </c>
      <c r="P54" s="60">
        <v>0</v>
      </c>
      <c r="S54" s="60" t="e">
        <f t="shared" ca="1" si="0"/>
        <v>#REF!</v>
      </c>
      <c r="T54" s="60">
        <f t="shared" si="1"/>
        <v>3</v>
      </c>
      <c r="U54" s="60">
        <f t="shared" si="2"/>
        <v>7</v>
      </c>
      <c r="V54" s="60">
        <f t="shared" si="3"/>
        <v>10</v>
      </c>
      <c r="W54" s="60">
        <f t="shared" si="4"/>
        <v>14</v>
      </c>
      <c r="X54" s="60">
        <f t="shared" si="5"/>
        <v>17</v>
      </c>
      <c r="Y54" s="60">
        <f t="shared" si="6"/>
        <v>20</v>
      </c>
      <c r="Z54" s="60">
        <f t="shared" si="7"/>
        <v>24</v>
      </c>
      <c r="AA54" s="60">
        <f t="shared" si="8"/>
        <v>25</v>
      </c>
      <c r="AB54" s="60">
        <f t="shared" si="9"/>
        <v>4</v>
      </c>
      <c r="AC54" s="60">
        <f t="shared" si="10"/>
        <v>-3</v>
      </c>
      <c r="AD54" s="60">
        <f t="shared" si="11"/>
        <v>-3</v>
      </c>
      <c r="AE54" s="60">
        <f t="shared" si="12"/>
        <v>0</v>
      </c>
      <c r="AG54" s="60" cm="1">
        <f t="array" aca="1" ref="AG54" ca="1">SQRT(SUMSQ(_xlfn._xlws.FILTER(S54:AE54,ISNUMBER(S54:AE54)))/COUNT(_xlfn._xlws.FILTER(S54:AE54,ISNUMBER(S54:AE54))))</f>
        <v>13.778001790293589</v>
      </c>
    </row>
    <row r="55" spans="3:33" x14ac:dyDescent="0.2">
      <c r="C55" s="60" t="s">
        <v>210</v>
      </c>
      <c r="D55" s="60">
        <v>0</v>
      </c>
      <c r="E55" s="60">
        <v>-3</v>
      </c>
      <c r="F55" s="60">
        <v>-1</v>
      </c>
      <c r="G55" s="60">
        <v>-4</v>
      </c>
      <c r="H55" s="60">
        <v>-6</v>
      </c>
      <c r="I55" s="60">
        <v>-4</v>
      </c>
      <c r="J55" s="60">
        <v>-11</v>
      </c>
      <c r="K55" s="60">
        <v>-15</v>
      </c>
      <c r="L55" s="60">
        <v>-20</v>
      </c>
      <c r="M55" s="60">
        <v>-4</v>
      </c>
      <c r="N55" s="60">
        <v>-6</v>
      </c>
      <c r="O55" s="60">
        <v>-2</v>
      </c>
      <c r="P55" s="60">
        <v>0</v>
      </c>
      <c r="S55" s="60" t="e">
        <f t="shared" ca="1" si="0"/>
        <v>#REF!</v>
      </c>
      <c r="T55" s="60">
        <f t="shared" si="1"/>
        <v>3</v>
      </c>
      <c r="U55" s="60">
        <f t="shared" si="2"/>
        <v>1</v>
      </c>
      <c r="V55" s="60">
        <f t="shared" si="3"/>
        <v>4</v>
      </c>
      <c r="W55" s="60">
        <f t="shared" si="4"/>
        <v>6</v>
      </c>
      <c r="X55" s="60">
        <f t="shared" si="5"/>
        <v>4</v>
      </c>
      <c r="Y55" s="60">
        <f t="shared" si="6"/>
        <v>11</v>
      </c>
      <c r="Z55" s="60">
        <f t="shared" si="7"/>
        <v>15</v>
      </c>
      <c r="AA55" s="60">
        <f t="shared" si="8"/>
        <v>20</v>
      </c>
      <c r="AB55" s="60">
        <f t="shared" si="9"/>
        <v>4</v>
      </c>
      <c r="AC55" s="60">
        <f t="shared" si="10"/>
        <v>6</v>
      </c>
      <c r="AD55" s="60">
        <f t="shared" si="11"/>
        <v>2</v>
      </c>
      <c r="AE55" s="60">
        <f t="shared" si="12"/>
        <v>0</v>
      </c>
      <c r="AG55" s="60" cm="1">
        <f t="array" aca="1" ref="AG55" ca="1">SQRT(SUMSQ(_xlfn._xlws.FILTER(S55:AE55,ISNUMBER(S55:AE55)))/COUNT(_xlfn._xlws.FILTER(S55:AE55,ISNUMBER(S55:AE55))))</f>
        <v>8.5634883857767523</v>
      </c>
    </row>
    <row r="56" spans="3:33" x14ac:dyDescent="0.2">
      <c r="C56" s="60" t="s">
        <v>211</v>
      </c>
      <c r="D56" s="60">
        <v>0</v>
      </c>
      <c r="E56" s="60">
        <v>-1</v>
      </c>
      <c r="F56" s="60">
        <v>-1</v>
      </c>
      <c r="G56" s="60">
        <v>-2</v>
      </c>
      <c r="H56" s="60">
        <v>-3</v>
      </c>
      <c r="I56" s="60">
        <v>-3</v>
      </c>
      <c r="J56" s="60">
        <v>-3</v>
      </c>
      <c r="K56" s="60">
        <v>-3</v>
      </c>
      <c r="L56" s="60">
        <v>-3</v>
      </c>
      <c r="M56" s="60">
        <v>-3</v>
      </c>
      <c r="N56" s="60">
        <v>-2</v>
      </c>
      <c r="O56" s="60">
        <v>-1</v>
      </c>
      <c r="P56" s="60">
        <v>0</v>
      </c>
      <c r="S56" s="60" t="e">
        <f t="shared" ca="1" si="0"/>
        <v>#REF!</v>
      </c>
      <c r="T56" s="60">
        <f t="shared" si="1"/>
        <v>1</v>
      </c>
      <c r="U56" s="60">
        <f t="shared" si="2"/>
        <v>1</v>
      </c>
      <c r="V56" s="60">
        <f t="shared" si="3"/>
        <v>2</v>
      </c>
      <c r="W56" s="60">
        <f t="shared" si="4"/>
        <v>3</v>
      </c>
      <c r="X56" s="60">
        <f t="shared" si="5"/>
        <v>3</v>
      </c>
      <c r="Y56" s="60">
        <f t="shared" si="6"/>
        <v>3</v>
      </c>
      <c r="Z56" s="60">
        <f t="shared" si="7"/>
        <v>3</v>
      </c>
      <c r="AA56" s="60">
        <f t="shared" si="8"/>
        <v>3</v>
      </c>
      <c r="AB56" s="60">
        <f t="shared" si="9"/>
        <v>3</v>
      </c>
      <c r="AC56" s="60">
        <f t="shared" si="10"/>
        <v>2</v>
      </c>
      <c r="AD56" s="60">
        <f t="shared" si="11"/>
        <v>1</v>
      </c>
      <c r="AE56" s="60">
        <f t="shared" si="12"/>
        <v>0</v>
      </c>
      <c r="AG56" s="60" cm="1">
        <f t="array" aca="1" ref="AG56" ca="1">SQRT(SUMSQ(_xlfn._xlws.FILTER(S56:AE56,ISNUMBER(S56:AE56)))/COUNT(_xlfn._xlws.FILTER(S56:AE56,ISNUMBER(S56:AE56))))</f>
        <v>2.3273733406281569</v>
      </c>
    </row>
    <row r="57" spans="3:33" x14ac:dyDescent="0.2">
      <c r="C57" s="60" t="s">
        <v>212</v>
      </c>
      <c r="D57" s="60">
        <v>0</v>
      </c>
      <c r="E57" s="60">
        <v>2</v>
      </c>
      <c r="F57" s="60">
        <v>4</v>
      </c>
      <c r="G57" s="60">
        <v>6</v>
      </c>
      <c r="H57" s="60">
        <v>8</v>
      </c>
      <c r="I57" s="60">
        <v>10</v>
      </c>
      <c r="J57" s="60">
        <v>-12</v>
      </c>
      <c r="K57" s="60">
        <v>-10</v>
      </c>
      <c r="L57" s="60">
        <v>-8</v>
      </c>
      <c r="M57" s="60">
        <v>-6</v>
      </c>
      <c r="N57" s="60">
        <v>-4</v>
      </c>
      <c r="O57" s="60">
        <v>-2</v>
      </c>
      <c r="P57" s="60">
        <v>0</v>
      </c>
      <c r="S57" s="60" t="e">
        <f t="shared" ca="1" si="0"/>
        <v>#REF!</v>
      </c>
      <c r="T57" s="60">
        <f t="shared" si="1"/>
        <v>-2</v>
      </c>
      <c r="U57" s="60">
        <f t="shared" si="2"/>
        <v>-4</v>
      </c>
      <c r="V57" s="60">
        <f t="shared" si="3"/>
        <v>-6</v>
      </c>
      <c r="W57" s="60">
        <f t="shared" si="4"/>
        <v>-8</v>
      </c>
      <c r="X57" s="60">
        <f t="shared" si="5"/>
        <v>-10</v>
      </c>
      <c r="Y57" s="60">
        <f t="shared" si="6"/>
        <v>12</v>
      </c>
      <c r="Z57" s="60">
        <f t="shared" si="7"/>
        <v>10</v>
      </c>
      <c r="AA57" s="60">
        <f t="shared" si="8"/>
        <v>8</v>
      </c>
      <c r="AB57" s="60">
        <f t="shared" si="9"/>
        <v>6</v>
      </c>
      <c r="AC57" s="60">
        <f t="shared" si="10"/>
        <v>4</v>
      </c>
      <c r="AD57" s="60">
        <f t="shared" si="11"/>
        <v>2</v>
      </c>
      <c r="AE57" s="60">
        <f t="shared" si="12"/>
        <v>0</v>
      </c>
      <c r="AG57" s="60" cm="1">
        <f t="array" aca="1" ref="AG57" ca="1">SQRT(SUMSQ(_xlfn._xlws.FILTER(S57:AE57,ISNUMBER(S57:AE57)))/COUNT(_xlfn._xlws.FILTER(S57:AE57,ISNUMBER(S57:AE57))))</f>
        <v>6.97614984548545</v>
      </c>
    </row>
    <row r="58" spans="3:33" x14ac:dyDescent="0.2">
      <c r="C58" s="60" t="s">
        <v>213</v>
      </c>
      <c r="D58" s="60">
        <v>0</v>
      </c>
      <c r="E58" s="60">
        <v>-2</v>
      </c>
      <c r="F58" s="60">
        <v>-9</v>
      </c>
      <c r="G58" s="60">
        <v>-11</v>
      </c>
      <c r="H58" s="60">
        <v>-14</v>
      </c>
      <c r="I58" s="60">
        <v>-16</v>
      </c>
      <c r="J58" s="60">
        <v>-23</v>
      </c>
      <c r="K58" s="60">
        <v>-25</v>
      </c>
      <c r="L58" s="60">
        <v>-27</v>
      </c>
      <c r="M58" s="60">
        <v>11</v>
      </c>
      <c r="N58" s="60">
        <v>9</v>
      </c>
      <c r="O58" s="60">
        <v>2</v>
      </c>
      <c r="P58" s="60">
        <v>0</v>
      </c>
      <c r="S58" s="60" t="e">
        <f t="shared" ca="1" si="0"/>
        <v>#REF!</v>
      </c>
      <c r="T58" s="60">
        <f t="shared" si="1"/>
        <v>2</v>
      </c>
      <c r="U58" s="60">
        <f t="shared" si="2"/>
        <v>9</v>
      </c>
      <c r="V58" s="60">
        <f t="shared" si="3"/>
        <v>11</v>
      </c>
      <c r="W58" s="60">
        <f t="shared" si="4"/>
        <v>14</v>
      </c>
      <c r="X58" s="60">
        <f t="shared" si="5"/>
        <v>16</v>
      </c>
      <c r="Y58" s="60">
        <f t="shared" si="6"/>
        <v>23</v>
      </c>
      <c r="Z58" s="60">
        <f t="shared" si="7"/>
        <v>25</v>
      </c>
      <c r="AA58" s="60">
        <f t="shared" si="8"/>
        <v>27</v>
      </c>
      <c r="AB58" s="60">
        <f t="shared" si="9"/>
        <v>-11</v>
      </c>
      <c r="AC58" s="60">
        <f t="shared" si="10"/>
        <v>-9</v>
      </c>
      <c r="AD58" s="60">
        <f t="shared" si="11"/>
        <v>-2</v>
      </c>
      <c r="AE58" s="60">
        <f t="shared" si="12"/>
        <v>0</v>
      </c>
      <c r="AG58" s="60" cm="1">
        <f t="array" aca="1" ref="AG58" ca="1">SQRT(SUMSQ(_xlfn._xlws.FILTER(S58:AE58,ISNUMBER(S58:AE58)))/COUNT(_xlfn._xlws.FILTER(S58:AE58,ISNUMBER(S58:AE58))))</f>
        <v>15.129992289048486</v>
      </c>
    </row>
    <row r="59" spans="3:33" x14ac:dyDescent="0.2">
      <c r="C59" s="60" t="s">
        <v>214</v>
      </c>
      <c r="D59" s="60">
        <v>0</v>
      </c>
      <c r="E59" s="60">
        <v>-1</v>
      </c>
      <c r="F59" s="60">
        <v>-3</v>
      </c>
      <c r="G59" s="60">
        <v>-4</v>
      </c>
      <c r="H59" s="60">
        <v>-6</v>
      </c>
      <c r="I59" s="60">
        <v>-4</v>
      </c>
      <c r="J59" s="60">
        <v>-7</v>
      </c>
      <c r="K59" s="60">
        <v>-5</v>
      </c>
      <c r="L59" s="60">
        <v>-3</v>
      </c>
      <c r="M59" s="60">
        <v>-2</v>
      </c>
      <c r="N59" s="60">
        <v>-1</v>
      </c>
      <c r="O59" s="60">
        <v>-2</v>
      </c>
      <c r="P59" s="60">
        <v>0</v>
      </c>
      <c r="S59" s="60" t="e">
        <f t="shared" ca="1" si="0"/>
        <v>#REF!</v>
      </c>
      <c r="T59" s="60">
        <f t="shared" si="1"/>
        <v>1</v>
      </c>
      <c r="U59" s="60">
        <f t="shared" si="2"/>
        <v>3</v>
      </c>
      <c r="V59" s="60">
        <f t="shared" si="3"/>
        <v>4</v>
      </c>
      <c r="W59" s="60">
        <f t="shared" si="4"/>
        <v>6</v>
      </c>
      <c r="X59" s="60">
        <f t="shared" si="5"/>
        <v>4</v>
      </c>
      <c r="Y59" s="60">
        <f t="shared" si="6"/>
        <v>7</v>
      </c>
      <c r="Z59" s="60">
        <f t="shared" si="7"/>
        <v>5</v>
      </c>
      <c r="AA59" s="60">
        <f t="shared" si="8"/>
        <v>3</v>
      </c>
      <c r="AB59" s="60">
        <f t="shared" si="9"/>
        <v>2</v>
      </c>
      <c r="AC59" s="60">
        <f t="shared" si="10"/>
        <v>1</v>
      </c>
      <c r="AD59" s="60">
        <f t="shared" si="11"/>
        <v>2</v>
      </c>
      <c r="AE59" s="60">
        <f t="shared" si="12"/>
        <v>0</v>
      </c>
      <c r="AG59" s="60" cm="1">
        <f t="array" aca="1" ref="AG59" ca="1">SQRT(SUMSQ(_xlfn._xlws.FILTER(S59:AE59,ISNUMBER(S59:AE59)))/COUNT(_xlfn._xlws.FILTER(S59:AE59,ISNUMBER(S59:AE59))))</f>
        <v>3.7638632635454048</v>
      </c>
    </row>
    <row r="60" spans="3:33" x14ac:dyDescent="0.2">
      <c r="C60" s="60" t="s">
        <v>215</v>
      </c>
      <c r="D60" s="60">
        <v>0</v>
      </c>
      <c r="E60" s="60">
        <v>-0.69</v>
      </c>
      <c r="F60" s="60">
        <v>-2.94</v>
      </c>
      <c r="G60" s="60">
        <v>-3.8</v>
      </c>
      <c r="H60" s="60">
        <v>-5.78</v>
      </c>
      <c r="I60" s="60">
        <v>-3.83</v>
      </c>
      <c r="J60" s="60">
        <v>-7.04</v>
      </c>
      <c r="K60" s="60">
        <v>-5.09</v>
      </c>
      <c r="L60" s="60">
        <v>-3.13</v>
      </c>
      <c r="M60" s="60">
        <v>-2.21</v>
      </c>
      <c r="N60" s="60">
        <v>-0.94</v>
      </c>
      <c r="O60" s="60">
        <v>-1.96</v>
      </c>
      <c r="P60" s="60">
        <v>0</v>
      </c>
      <c r="S60" s="60" t="e">
        <f t="shared" ca="1" si="0"/>
        <v>#REF!</v>
      </c>
      <c r="T60" s="60">
        <f t="shared" si="1"/>
        <v>0.69</v>
      </c>
      <c r="U60" s="60">
        <f t="shared" si="2"/>
        <v>2.94</v>
      </c>
      <c r="V60" s="60">
        <f t="shared" si="3"/>
        <v>3.8</v>
      </c>
      <c r="W60" s="60">
        <f t="shared" si="4"/>
        <v>5.78</v>
      </c>
      <c r="X60" s="60">
        <f t="shared" si="5"/>
        <v>3.83</v>
      </c>
      <c r="Y60" s="60">
        <f t="shared" si="6"/>
        <v>7.04</v>
      </c>
      <c r="Z60" s="60">
        <f t="shared" si="7"/>
        <v>5.09</v>
      </c>
      <c r="AA60" s="60">
        <f t="shared" si="8"/>
        <v>3.13</v>
      </c>
      <c r="AB60" s="60">
        <f t="shared" si="9"/>
        <v>2.21</v>
      </c>
      <c r="AC60" s="60">
        <f t="shared" si="10"/>
        <v>0.94</v>
      </c>
      <c r="AD60" s="60">
        <f t="shared" si="11"/>
        <v>1.96</v>
      </c>
      <c r="AE60" s="60">
        <f t="shared" si="12"/>
        <v>0</v>
      </c>
      <c r="AG60" s="60" cm="1">
        <f t="array" aca="1" ref="AG60" ca="1">SQRT(SUMSQ(_xlfn._xlws.FILTER(S60:AE60,ISNUMBER(S60:AE60)))/COUNT(_xlfn._xlws.FILTER(S60:AE60,ISNUMBER(S60:AE60))))</f>
        <v>3.7250604021948419</v>
      </c>
    </row>
    <row r="61" spans="3:33" x14ac:dyDescent="0.2">
      <c r="C61" s="60" t="s">
        <v>216</v>
      </c>
      <c r="D61" s="60">
        <v>0</v>
      </c>
      <c r="E61" s="60">
        <v>-1</v>
      </c>
      <c r="F61" s="60">
        <v>-3</v>
      </c>
      <c r="G61" s="60">
        <v>-4</v>
      </c>
      <c r="H61" s="60">
        <v>-4</v>
      </c>
      <c r="I61" s="60">
        <v>-4</v>
      </c>
      <c r="J61" s="60">
        <v>-7</v>
      </c>
      <c r="K61" s="60">
        <v>-5</v>
      </c>
      <c r="L61" s="60">
        <v>-3</v>
      </c>
      <c r="M61" s="60">
        <v>-2</v>
      </c>
      <c r="N61" s="60">
        <v>-1</v>
      </c>
      <c r="O61" s="60">
        <v>-2</v>
      </c>
      <c r="P61" s="60">
        <v>0</v>
      </c>
      <c r="S61" s="60" t="e">
        <f t="shared" ca="1" si="0"/>
        <v>#REF!</v>
      </c>
      <c r="T61" s="60">
        <f t="shared" si="1"/>
        <v>1</v>
      </c>
      <c r="U61" s="60">
        <f t="shared" si="2"/>
        <v>3</v>
      </c>
      <c r="V61" s="60">
        <f t="shared" si="3"/>
        <v>4</v>
      </c>
      <c r="W61" s="60">
        <f t="shared" si="4"/>
        <v>4</v>
      </c>
      <c r="X61" s="60">
        <f t="shared" si="5"/>
        <v>4</v>
      </c>
      <c r="Y61" s="60">
        <f t="shared" si="6"/>
        <v>7</v>
      </c>
      <c r="Z61" s="60">
        <f t="shared" si="7"/>
        <v>5</v>
      </c>
      <c r="AA61" s="60">
        <f t="shared" si="8"/>
        <v>3</v>
      </c>
      <c r="AB61" s="60">
        <f t="shared" si="9"/>
        <v>2</v>
      </c>
      <c r="AC61" s="60">
        <f t="shared" si="10"/>
        <v>1</v>
      </c>
      <c r="AD61" s="60">
        <f t="shared" si="11"/>
        <v>2</v>
      </c>
      <c r="AE61" s="60">
        <f t="shared" si="12"/>
        <v>0</v>
      </c>
      <c r="AG61" s="60" cm="1">
        <f t="array" aca="1" ref="AG61" ca="1">SQRT(SUMSQ(_xlfn._xlws.FILTER(S61:AE61,ISNUMBER(S61:AE61)))/COUNT(_xlfn._xlws.FILTER(S61:AE61,ISNUMBER(S61:AE61))))</f>
        <v>3.5355339059327378</v>
      </c>
    </row>
    <row r="62" spans="3:33" x14ac:dyDescent="0.2">
      <c r="C62" s="60" t="s">
        <v>217</v>
      </c>
      <c r="D62" s="60">
        <v>0</v>
      </c>
      <c r="E62" s="60">
        <v>-0.69</v>
      </c>
      <c r="F62" s="60">
        <v>-2.94</v>
      </c>
      <c r="G62" s="60">
        <v>-3.8</v>
      </c>
      <c r="H62" s="60">
        <v>-4.21</v>
      </c>
      <c r="I62" s="60">
        <v>-3.83</v>
      </c>
      <c r="J62" s="60">
        <v>-7.04</v>
      </c>
      <c r="K62" s="60">
        <v>-5.09</v>
      </c>
      <c r="L62" s="60">
        <v>-3.13</v>
      </c>
      <c r="M62" s="60">
        <v>-2.21</v>
      </c>
      <c r="N62" s="60">
        <v>-0.94</v>
      </c>
      <c r="O62" s="60">
        <v>-1.96</v>
      </c>
      <c r="P62" s="60">
        <v>0</v>
      </c>
      <c r="S62" s="60" t="e">
        <f t="shared" ca="1" si="0"/>
        <v>#REF!</v>
      </c>
      <c r="T62" s="60">
        <f t="shared" si="1"/>
        <v>0.69</v>
      </c>
      <c r="U62" s="60">
        <f t="shared" si="2"/>
        <v>2.94</v>
      </c>
      <c r="V62" s="60">
        <f t="shared" si="3"/>
        <v>3.8</v>
      </c>
      <c r="W62" s="60">
        <f t="shared" si="4"/>
        <v>4.21</v>
      </c>
      <c r="X62" s="60">
        <f t="shared" si="5"/>
        <v>3.83</v>
      </c>
      <c r="Y62" s="60">
        <f t="shared" si="6"/>
        <v>7.04</v>
      </c>
      <c r="Z62" s="60">
        <f t="shared" si="7"/>
        <v>5.09</v>
      </c>
      <c r="AA62" s="60">
        <f t="shared" si="8"/>
        <v>3.13</v>
      </c>
      <c r="AB62" s="60">
        <f t="shared" si="9"/>
        <v>2.21</v>
      </c>
      <c r="AC62" s="60">
        <f t="shared" si="10"/>
        <v>0.94</v>
      </c>
      <c r="AD62" s="60">
        <f t="shared" si="11"/>
        <v>1.96</v>
      </c>
      <c r="AE62" s="60">
        <f t="shared" si="12"/>
        <v>0</v>
      </c>
      <c r="AG62" s="60" cm="1">
        <f t="array" aca="1" ref="AG62" ca="1">SQRT(SUMSQ(_xlfn._xlws.FILTER(S62:AE62,ISNUMBER(S62:AE62)))/COUNT(_xlfn._xlws.FILTER(S62:AE62,ISNUMBER(S62:AE62))))</f>
        <v>3.5452856020354688</v>
      </c>
    </row>
    <row r="63" spans="3:33" x14ac:dyDescent="0.2">
      <c r="C63" s="60" t="s">
        <v>218</v>
      </c>
      <c r="D63" s="60">
        <v>0</v>
      </c>
      <c r="E63" s="60">
        <v>-1</v>
      </c>
      <c r="F63" s="60">
        <v>-3</v>
      </c>
      <c r="G63" s="60">
        <v>-4</v>
      </c>
      <c r="H63" s="60">
        <v>-4</v>
      </c>
      <c r="I63" s="60">
        <v>-4</v>
      </c>
      <c r="J63" s="60">
        <v>-4</v>
      </c>
      <c r="K63" s="60">
        <v>-5</v>
      </c>
      <c r="L63" s="60">
        <v>-3</v>
      </c>
      <c r="M63" s="60">
        <v>-2</v>
      </c>
      <c r="N63" s="60">
        <v>-1</v>
      </c>
      <c r="O63" s="60">
        <v>-2</v>
      </c>
      <c r="P63" s="60">
        <v>0</v>
      </c>
      <c r="S63" s="60" t="e">
        <f t="shared" ca="1" si="0"/>
        <v>#REF!</v>
      </c>
      <c r="T63" s="60">
        <f t="shared" si="1"/>
        <v>1</v>
      </c>
      <c r="U63" s="60">
        <f t="shared" si="2"/>
        <v>3</v>
      </c>
      <c r="V63" s="60">
        <f t="shared" si="3"/>
        <v>4</v>
      </c>
      <c r="W63" s="60">
        <f t="shared" si="4"/>
        <v>4</v>
      </c>
      <c r="X63" s="60">
        <f t="shared" si="5"/>
        <v>4</v>
      </c>
      <c r="Y63" s="60">
        <f t="shared" si="6"/>
        <v>4</v>
      </c>
      <c r="Z63" s="60">
        <f t="shared" si="7"/>
        <v>5</v>
      </c>
      <c r="AA63" s="60">
        <f t="shared" si="8"/>
        <v>3</v>
      </c>
      <c r="AB63" s="60">
        <f t="shared" si="9"/>
        <v>2</v>
      </c>
      <c r="AC63" s="60">
        <f t="shared" si="10"/>
        <v>1</v>
      </c>
      <c r="AD63" s="60">
        <f t="shared" si="11"/>
        <v>2</v>
      </c>
      <c r="AE63" s="60">
        <f t="shared" si="12"/>
        <v>0</v>
      </c>
      <c r="AG63" s="60" cm="1">
        <f t="array" aca="1" ref="AG63" ca="1">SQRT(SUMSQ(_xlfn._xlws.FILTER(S63:AE63,ISNUMBER(S63:AE63)))/COUNT(_xlfn._xlws.FILTER(S63:AE63,ISNUMBER(S63:AE63))))</f>
        <v>3.1224989991991992</v>
      </c>
    </row>
    <row r="64" spans="3:33" x14ac:dyDescent="0.2">
      <c r="C64" s="60" t="s">
        <v>219</v>
      </c>
      <c r="D64" s="60">
        <v>0</v>
      </c>
      <c r="E64" s="60">
        <v>-0.69</v>
      </c>
      <c r="F64" s="60">
        <v>-2.94</v>
      </c>
      <c r="G64" s="60">
        <v>-3.8</v>
      </c>
      <c r="H64" s="60">
        <v>-4.21</v>
      </c>
      <c r="I64" s="60">
        <v>-3.83</v>
      </c>
      <c r="J64" s="60">
        <v>-4.08</v>
      </c>
      <c r="K64" s="60">
        <v>-5.09</v>
      </c>
      <c r="L64" s="60">
        <v>-3.13</v>
      </c>
      <c r="M64" s="60">
        <v>-2.21</v>
      </c>
      <c r="N64" s="60">
        <v>-0.94</v>
      </c>
      <c r="O64" s="60">
        <v>-1.96</v>
      </c>
      <c r="P64" s="60">
        <v>0</v>
      </c>
      <c r="S64" s="60" t="e">
        <f t="shared" ca="1" si="0"/>
        <v>#REF!</v>
      </c>
      <c r="T64" s="60">
        <f t="shared" si="1"/>
        <v>0.69</v>
      </c>
      <c r="U64" s="60">
        <f t="shared" si="2"/>
        <v>2.94</v>
      </c>
      <c r="V64" s="60">
        <f t="shared" si="3"/>
        <v>3.8</v>
      </c>
      <c r="W64" s="60">
        <f t="shared" si="4"/>
        <v>4.21</v>
      </c>
      <c r="X64" s="60">
        <f t="shared" si="5"/>
        <v>3.83</v>
      </c>
      <c r="Y64" s="60">
        <f t="shared" si="6"/>
        <v>4.08</v>
      </c>
      <c r="Z64" s="60">
        <f t="shared" si="7"/>
        <v>5.09</v>
      </c>
      <c r="AA64" s="60">
        <f t="shared" si="8"/>
        <v>3.13</v>
      </c>
      <c r="AB64" s="60">
        <f t="shared" si="9"/>
        <v>2.21</v>
      </c>
      <c r="AC64" s="60">
        <f t="shared" si="10"/>
        <v>0.94</v>
      </c>
      <c r="AD64" s="60">
        <f t="shared" si="11"/>
        <v>1.96</v>
      </c>
      <c r="AE64" s="60">
        <f t="shared" si="12"/>
        <v>0</v>
      </c>
      <c r="AG64" s="60" cm="1">
        <f t="array" aca="1" ref="AG64" ca="1">SQRT(SUMSQ(_xlfn._xlws.FILTER(S64:AE64,ISNUMBER(S64:AE64)))/COUNT(_xlfn._xlws.FILTER(S64:AE64,ISNUMBER(S64:AE64))))</f>
        <v>3.1346637246547941</v>
      </c>
    </row>
    <row r="65" spans="3:33" x14ac:dyDescent="0.2">
      <c r="C65" s="60" t="s">
        <v>220</v>
      </c>
      <c r="D65" s="60">
        <v>0</v>
      </c>
      <c r="E65" s="60">
        <v>2</v>
      </c>
      <c r="F65" s="60">
        <v>2</v>
      </c>
      <c r="G65" s="60">
        <v>4</v>
      </c>
      <c r="H65" s="60">
        <v>-14</v>
      </c>
      <c r="I65" s="60">
        <v>-12</v>
      </c>
      <c r="J65" s="60">
        <v>-12</v>
      </c>
      <c r="K65" s="60">
        <v>-10</v>
      </c>
      <c r="L65" s="60">
        <v>-8</v>
      </c>
      <c r="M65" s="60">
        <v>-6</v>
      </c>
      <c r="N65" s="60">
        <v>-4</v>
      </c>
      <c r="O65" s="60">
        <v>-2</v>
      </c>
      <c r="P65" s="60">
        <v>0</v>
      </c>
      <c r="S65" s="60" t="e">
        <f t="shared" ca="1" si="0"/>
        <v>#REF!</v>
      </c>
      <c r="T65" s="60">
        <f t="shared" si="1"/>
        <v>-2</v>
      </c>
      <c r="U65" s="60">
        <f t="shared" si="2"/>
        <v>-2</v>
      </c>
      <c r="V65" s="60">
        <f t="shared" si="3"/>
        <v>-4</v>
      </c>
      <c r="W65" s="60">
        <f t="shared" si="4"/>
        <v>14</v>
      </c>
      <c r="X65" s="60">
        <f t="shared" si="5"/>
        <v>12</v>
      </c>
      <c r="Y65" s="60">
        <f t="shared" si="6"/>
        <v>12</v>
      </c>
      <c r="Z65" s="60">
        <f t="shared" si="7"/>
        <v>10</v>
      </c>
      <c r="AA65" s="60">
        <f t="shared" si="8"/>
        <v>8</v>
      </c>
      <c r="AB65" s="60">
        <f t="shared" si="9"/>
        <v>6</v>
      </c>
      <c r="AC65" s="60">
        <f t="shared" si="10"/>
        <v>4</v>
      </c>
      <c r="AD65" s="60">
        <f t="shared" si="11"/>
        <v>2</v>
      </c>
      <c r="AE65" s="60">
        <f t="shared" si="12"/>
        <v>0</v>
      </c>
      <c r="AG65" s="60" cm="1">
        <f t="array" aca="1" ref="AG65" ca="1">SQRT(SUMSQ(_xlfn._xlws.FILTER(S65:AE65,ISNUMBER(S65:AE65)))/COUNT(_xlfn._xlws.FILTER(S65:AE65,ISNUMBER(S65:AE65))))</f>
        <v>7.7888809636986149</v>
      </c>
    </row>
    <row r="66" spans="3:33" x14ac:dyDescent="0.2">
      <c r="C66" s="60" t="s">
        <v>221</v>
      </c>
      <c r="D66" s="60">
        <v>0</v>
      </c>
      <c r="E66" s="60">
        <v>1.9550000000000001</v>
      </c>
      <c r="F66" s="60">
        <v>1.956</v>
      </c>
      <c r="G66" s="60">
        <v>3.911</v>
      </c>
      <c r="H66" s="60">
        <v>-13.686</v>
      </c>
      <c r="I66" s="60">
        <v>-11.731</v>
      </c>
      <c r="J66" s="60">
        <v>-11.73</v>
      </c>
      <c r="K66" s="60">
        <v>-9.7750000000000004</v>
      </c>
      <c r="L66" s="60">
        <v>-7.82</v>
      </c>
      <c r="M66" s="60">
        <v>-5.8650000000000002</v>
      </c>
      <c r="N66" s="60">
        <v>-3.91</v>
      </c>
      <c r="O66" s="60">
        <v>-1.9550000000000001</v>
      </c>
      <c r="P66" s="60">
        <v>0</v>
      </c>
      <c r="S66" s="60" t="e">
        <f t="shared" ca="1" si="0"/>
        <v>#REF!</v>
      </c>
      <c r="T66" s="60">
        <f t="shared" si="1"/>
        <v>-1.9550000000000001</v>
      </c>
      <c r="U66" s="60">
        <f t="shared" si="2"/>
        <v>-1.956</v>
      </c>
      <c r="V66" s="60">
        <f t="shared" si="3"/>
        <v>-3.911</v>
      </c>
      <c r="W66" s="60">
        <f t="shared" si="4"/>
        <v>13.686</v>
      </c>
      <c r="X66" s="60">
        <f t="shared" si="5"/>
        <v>11.731</v>
      </c>
      <c r="Y66" s="60">
        <f t="shared" si="6"/>
        <v>11.73</v>
      </c>
      <c r="Z66" s="60">
        <f t="shared" si="7"/>
        <v>9.7750000000000004</v>
      </c>
      <c r="AA66" s="60">
        <f t="shared" si="8"/>
        <v>7.82</v>
      </c>
      <c r="AB66" s="60">
        <f t="shared" si="9"/>
        <v>5.8650000000000002</v>
      </c>
      <c r="AC66" s="60">
        <f t="shared" si="10"/>
        <v>3.91</v>
      </c>
      <c r="AD66" s="60">
        <f t="shared" si="11"/>
        <v>1.9550000000000001</v>
      </c>
      <c r="AE66" s="60">
        <f t="shared" si="12"/>
        <v>0</v>
      </c>
      <c r="AG66" s="60" cm="1">
        <f t="array" aca="1" ref="AG66" ca="1">SQRT(SUMSQ(_xlfn._xlws.FILTER(S66:AE66,ISNUMBER(S66:AE66)))/COUNT(_xlfn._xlws.FILTER(S66:AE66,ISNUMBER(S66:AE66))))</f>
        <v>7.6139735246015494</v>
      </c>
    </row>
    <row r="67" spans="3:33" x14ac:dyDescent="0.2">
      <c r="C67" s="60" t="s">
        <v>222</v>
      </c>
      <c r="D67" s="60">
        <v>0</v>
      </c>
      <c r="E67" s="60">
        <v>2</v>
      </c>
      <c r="F67" s="60">
        <v>4</v>
      </c>
      <c r="G67" s="60">
        <v>-16</v>
      </c>
      <c r="H67" s="60">
        <v>-14</v>
      </c>
      <c r="I67" s="60">
        <v>-12</v>
      </c>
      <c r="J67" s="60">
        <v>-10</v>
      </c>
      <c r="K67" s="60">
        <v>-30</v>
      </c>
      <c r="L67" s="60">
        <v>-28</v>
      </c>
      <c r="M67" s="60">
        <v>-26</v>
      </c>
      <c r="N67" s="60">
        <v>-24</v>
      </c>
      <c r="O67" s="60">
        <v>-2</v>
      </c>
      <c r="P67" s="60">
        <v>0</v>
      </c>
      <c r="S67" s="60" t="e">
        <f t="shared" ca="1" si="0"/>
        <v>#REF!</v>
      </c>
      <c r="T67" s="60">
        <f t="shared" si="1"/>
        <v>-2</v>
      </c>
      <c r="U67" s="60">
        <f t="shared" si="2"/>
        <v>-4</v>
      </c>
      <c r="V67" s="60">
        <f t="shared" si="3"/>
        <v>16</v>
      </c>
      <c r="W67" s="60">
        <f t="shared" si="4"/>
        <v>14</v>
      </c>
      <c r="X67" s="60">
        <f t="shared" si="5"/>
        <v>12</v>
      </c>
      <c r="Y67" s="60">
        <f t="shared" si="6"/>
        <v>10</v>
      </c>
      <c r="Z67" s="60">
        <f t="shared" si="7"/>
        <v>30</v>
      </c>
      <c r="AA67" s="60">
        <f t="shared" si="8"/>
        <v>28</v>
      </c>
      <c r="AB67" s="60">
        <f t="shared" si="9"/>
        <v>26</v>
      </c>
      <c r="AC67" s="60">
        <f t="shared" si="10"/>
        <v>24</v>
      </c>
      <c r="AD67" s="60">
        <f t="shared" si="11"/>
        <v>2</v>
      </c>
      <c r="AE67" s="60">
        <f t="shared" si="12"/>
        <v>0</v>
      </c>
      <c r="AG67" s="60" cm="1">
        <f t="array" aca="1" ref="AG67" ca="1">SQRT(SUMSQ(_xlfn._xlws.FILTER(S67:AE67,ISNUMBER(S67:AE67)))/COUNT(_xlfn._xlws.FILTER(S67:AE67,ISNUMBER(S67:AE67))))</f>
        <v>17.454703282114728</v>
      </c>
    </row>
    <row r="68" spans="3:33" x14ac:dyDescent="0.2">
      <c r="C68" s="60" t="s">
        <v>223</v>
      </c>
      <c r="D68" s="60">
        <v>0</v>
      </c>
      <c r="E68" s="60">
        <v>-3</v>
      </c>
      <c r="F68" s="60">
        <v>-7</v>
      </c>
      <c r="G68" s="60">
        <v>-10</v>
      </c>
      <c r="H68" s="60">
        <v>-14</v>
      </c>
      <c r="I68" s="60">
        <v>-17</v>
      </c>
      <c r="J68" s="60">
        <v>-21</v>
      </c>
      <c r="K68" s="60">
        <v>-21</v>
      </c>
      <c r="L68" s="60">
        <v>-19</v>
      </c>
      <c r="M68" s="60">
        <v>-6</v>
      </c>
      <c r="N68" s="60">
        <v>4</v>
      </c>
      <c r="O68" s="60">
        <v>4</v>
      </c>
      <c r="P68" s="60">
        <v>0</v>
      </c>
      <c r="S68" s="60" t="e">
        <f t="shared" ca="1" si="0"/>
        <v>#REF!</v>
      </c>
      <c r="T68" s="60">
        <f t="shared" si="1"/>
        <v>3</v>
      </c>
      <c r="U68" s="60">
        <f t="shared" si="2"/>
        <v>7</v>
      </c>
      <c r="V68" s="60">
        <f t="shared" si="3"/>
        <v>10</v>
      </c>
      <c r="W68" s="60">
        <f t="shared" si="4"/>
        <v>14</v>
      </c>
      <c r="X68" s="60">
        <f t="shared" si="5"/>
        <v>17</v>
      </c>
      <c r="Y68" s="60">
        <f t="shared" si="6"/>
        <v>21</v>
      </c>
      <c r="Z68" s="60">
        <f t="shared" si="7"/>
        <v>21</v>
      </c>
      <c r="AA68" s="60">
        <f t="shared" si="8"/>
        <v>19</v>
      </c>
      <c r="AB68" s="60">
        <f t="shared" si="9"/>
        <v>6</v>
      </c>
      <c r="AC68" s="60">
        <f t="shared" si="10"/>
        <v>-4</v>
      </c>
      <c r="AD68" s="60">
        <f t="shared" si="11"/>
        <v>-4</v>
      </c>
      <c r="AE68" s="60">
        <f t="shared" si="12"/>
        <v>0</v>
      </c>
      <c r="AG68" s="60" cm="1">
        <f t="array" aca="1" ref="AG68" ca="1">SQRT(SUMSQ(_xlfn._xlws.FILTER(S68:AE68,ISNUMBER(S68:AE68)))/COUNT(_xlfn._xlws.FILTER(S68:AE68,ISNUMBER(S68:AE68))))</f>
        <v>12.760616495033982</v>
      </c>
    </row>
    <row r="69" spans="3:33" x14ac:dyDescent="0.2">
      <c r="C69" s="60" t="s">
        <v>224</v>
      </c>
      <c r="D69" s="60">
        <v>0</v>
      </c>
      <c r="E69" s="60">
        <v>-2</v>
      </c>
      <c r="F69" s="60">
        <v>-4</v>
      </c>
      <c r="G69" s="60">
        <v>-4</v>
      </c>
      <c r="H69" s="60">
        <v>-6</v>
      </c>
      <c r="I69" s="60">
        <v>-8</v>
      </c>
      <c r="J69" s="60">
        <v>-10</v>
      </c>
      <c r="K69" s="60">
        <v>-10</v>
      </c>
      <c r="L69" s="60">
        <v>-10</v>
      </c>
      <c r="M69" s="60">
        <v>-2</v>
      </c>
      <c r="N69" s="60">
        <v>0</v>
      </c>
      <c r="O69" s="60">
        <v>0</v>
      </c>
      <c r="P69" s="60">
        <v>0</v>
      </c>
      <c r="S69" s="60" t="e">
        <f t="shared" ca="1" si="0"/>
        <v>#REF!</v>
      </c>
      <c r="T69" s="60">
        <f t="shared" si="1"/>
        <v>2</v>
      </c>
      <c r="U69" s="60">
        <f t="shared" si="2"/>
        <v>4</v>
      </c>
      <c r="V69" s="60">
        <f t="shared" si="3"/>
        <v>4</v>
      </c>
      <c r="W69" s="60">
        <f t="shared" si="4"/>
        <v>6</v>
      </c>
      <c r="X69" s="60">
        <f t="shared" si="5"/>
        <v>8</v>
      </c>
      <c r="Y69" s="60">
        <f t="shared" si="6"/>
        <v>10</v>
      </c>
      <c r="Z69" s="60">
        <f t="shared" si="7"/>
        <v>10</v>
      </c>
      <c r="AA69" s="60">
        <f t="shared" si="8"/>
        <v>10</v>
      </c>
      <c r="AB69" s="60">
        <f t="shared" si="9"/>
        <v>2</v>
      </c>
      <c r="AC69" s="60">
        <f t="shared" si="10"/>
        <v>0</v>
      </c>
      <c r="AD69" s="60">
        <f t="shared" si="11"/>
        <v>0</v>
      </c>
      <c r="AE69" s="60">
        <f t="shared" si="12"/>
        <v>0</v>
      </c>
      <c r="AG69" s="60" cm="1">
        <f t="array" aca="1" ref="AG69" ca="1">SQRT(SUMSQ(_xlfn._xlws.FILTER(S69:AE69,ISNUMBER(S69:AE69)))/COUNT(_xlfn._xlws.FILTER(S69:AE69,ISNUMBER(S69:AE69))))</f>
        <v>6.0553007081949835</v>
      </c>
    </row>
    <row r="70" spans="3:33" x14ac:dyDescent="0.2">
      <c r="C70" s="60" t="s">
        <v>225</v>
      </c>
      <c r="D70" s="60">
        <v>0</v>
      </c>
      <c r="E70" s="60">
        <v>-1.95</v>
      </c>
      <c r="F70" s="60">
        <v>-3.91</v>
      </c>
      <c r="G70" s="60">
        <v>-3.91</v>
      </c>
      <c r="H70" s="60">
        <v>-5.68</v>
      </c>
      <c r="I70" s="60">
        <v>-7.82</v>
      </c>
      <c r="J70" s="60">
        <v>-9.77</v>
      </c>
      <c r="K70" s="60">
        <v>-9.7799999999999994</v>
      </c>
      <c r="L70" s="60">
        <v>-9.77</v>
      </c>
      <c r="M70" s="60">
        <v>-1.95</v>
      </c>
      <c r="N70" s="60">
        <v>0</v>
      </c>
      <c r="O70" s="60">
        <v>0</v>
      </c>
      <c r="P70" s="60">
        <v>0</v>
      </c>
      <c r="S70" s="60" t="e">
        <f t="shared" ca="1" si="0"/>
        <v>#REF!</v>
      </c>
      <c r="T70" s="60">
        <f t="shared" si="1"/>
        <v>1.95</v>
      </c>
      <c r="U70" s="60">
        <f t="shared" si="2"/>
        <v>3.91</v>
      </c>
      <c r="V70" s="60">
        <f t="shared" si="3"/>
        <v>3.91</v>
      </c>
      <c r="W70" s="60">
        <f t="shared" si="4"/>
        <v>5.68</v>
      </c>
      <c r="X70" s="60">
        <f t="shared" si="5"/>
        <v>7.82</v>
      </c>
      <c r="Y70" s="60">
        <f t="shared" si="6"/>
        <v>9.77</v>
      </c>
      <c r="Z70" s="60">
        <f t="shared" si="7"/>
        <v>9.7799999999999994</v>
      </c>
      <c r="AA70" s="60">
        <f t="shared" si="8"/>
        <v>9.77</v>
      </c>
      <c r="AB70" s="60">
        <f t="shared" si="9"/>
        <v>1.95</v>
      </c>
      <c r="AC70" s="60">
        <f t="shared" si="10"/>
        <v>0</v>
      </c>
      <c r="AD70" s="60">
        <f t="shared" si="11"/>
        <v>0</v>
      </c>
      <c r="AE70" s="60">
        <f t="shared" si="12"/>
        <v>0</v>
      </c>
      <c r="AG70" s="60" cm="1">
        <f t="array" aca="1" ref="AG70" ca="1">SQRT(SUMSQ(_xlfn._xlws.FILTER(S70:AE70,ISNUMBER(S70:AE70)))/COUNT(_xlfn._xlws.FILTER(S70:AE70,ISNUMBER(S70:AE70))))</f>
        <v>5.9030373537696672</v>
      </c>
    </row>
    <row r="71" spans="3:33" x14ac:dyDescent="0.2">
      <c r="C71" s="60" t="s">
        <v>226</v>
      </c>
      <c r="D71" s="60">
        <v>0</v>
      </c>
      <c r="E71" s="60">
        <v>-1</v>
      </c>
      <c r="F71" s="60">
        <v>-2</v>
      </c>
      <c r="G71" s="60">
        <v>-3</v>
      </c>
      <c r="H71" s="60">
        <v>-4</v>
      </c>
      <c r="I71" s="60">
        <v>-5</v>
      </c>
      <c r="J71" s="60">
        <v>-6</v>
      </c>
      <c r="K71" s="60">
        <v>-4</v>
      </c>
      <c r="L71" s="60">
        <v>-5</v>
      </c>
      <c r="M71" s="60">
        <v>-3</v>
      </c>
      <c r="N71" s="60">
        <v>-1</v>
      </c>
      <c r="O71" s="60">
        <v>1</v>
      </c>
      <c r="P71" s="60">
        <v>0</v>
      </c>
      <c r="S71" s="60" t="e">
        <f t="shared" ca="1" si="0"/>
        <v>#REF!</v>
      </c>
      <c r="T71" s="60">
        <f t="shared" si="1"/>
        <v>1</v>
      </c>
      <c r="U71" s="60">
        <f t="shared" si="2"/>
        <v>2</v>
      </c>
      <c r="V71" s="60">
        <f t="shared" si="3"/>
        <v>3</v>
      </c>
      <c r="W71" s="60">
        <f t="shared" si="4"/>
        <v>4</v>
      </c>
      <c r="X71" s="60">
        <f t="shared" si="5"/>
        <v>5</v>
      </c>
      <c r="Y71" s="60">
        <f t="shared" si="6"/>
        <v>6</v>
      </c>
      <c r="Z71" s="60">
        <f t="shared" si="7"/>
        <v>4</v>
      </c>
      <c r="AA71" s="60">
        <f t="shared" si="8"/>
        <v>5</v>
      </c>
      <c r="AB71" s="60">
        <f t="shared" si="9"/>
        <v>3</v>
      </c>
      <c r="AC71" s="60">
        <f t="shared" si="10"/>
        <v>1</v>
      </c>
      <c r="AD71" s="60">
        <f t="shared" si="11"/>
        <v>-1</v>
      </c>
      <c r="AE71" s="60">
        <f t="shared" si="12"/>
        <v>0</v>
      </c>
      <c r="AG71" s="60" cm="1">
        <f t="array" aca="1" ref="AG71" ca="1">SQRT(SUMSQ(_xlfn._xlws.FILTER(S71:AE71,ISNUMBER(S71:AE71)))/COUNT(_xlfn._xlws.FILTER(S71:AE71,ISNUMBER(S71:AE71))))</f>
        <v>3.4520525295346629</v>
      </c>
    </row>
    <row r="72" spans="3:33" x14ac:dyDescent="0.2">
      <c r="C72" s="60" t="s">
        <v>227</v>
      </c>
      <c r="D72" s="60">
        <v>0</v>
      </c>
      <c r="E72" s="60">
        <v>-1</v>
      </c>
      <c r="F72" s="60">
        <v>-3</v>
      </c>
      <c r="G72" s="60">
        <v>-5</v>
      </c>
      <c r="H72" s="60">
        <v>-7</v>
      </c>
      <c r="I72" s="60">
        <v>-8</v>
      </c>
      <c r="J72" s="60">
        <v>-9</v>
      </c>
      <c r="K72" s="60">
        <v>-7</v>
      </c>
      <c r="L72" s="60">
        <v>-5</v>
      </c>
      <c r="M72" s="60">
        <v>-3</v>
      </c>
      <c r="N72" s="60">
        <v>-1</v>
      </c>
      <c r="O72" s="60">
        <v>1</v>
      </c>
      <c r="P72" s="60">
        <v>0</v>
      </c>
      <c r="S72" s="60" t="e">
        <f t="shared" ref="S72:S135" ca="1" si="13">S$4-D72</f>
        <v>#REF!</v>
      </c>
      <c r="T72" s="60">
        <f t="shared" ref="T72:T135" si="14">T$4-E72</f>
        <v>1</v>
      </c>
      <c r="U72" s="60">
        <f t="shared" ref="U72:U135" si="15">U$4-F72</f>
        <v>3</v>
      </c>
      <c r="V72" s="60">
        <f t="shared" ref="V72:V135" si="16">V$4-G72</f>
        <v>5</v>
      </c>
      <c r="W72" s="60">
        <f t="shared" ref="W72:W135" si="17">W$4-H72</f>
        <v>7</v>
      </c>
      <c r="X72" s="60">
        <f t="shared" ref="X72:X135" si="18">X$4-I72</f>
        <v>8</v>
      </c>
      <c r="Y72" s="60">
        <f t="shared" ref="Y72:Y135" si="19">Y$4-J72</f>
        <v>9</v>
      </c>
      <c r="Z72" s="60">
        <f t="shared" ref="Z72:Z135" si="20">Z$4-K72</f>
        <v>7</v>
      </c>
      <c r="AA72" s="60">
        <f t="shared" ref="AA72:AA135" si="21">AA$4-L72</f>
        <v>5</v>
      </c>
      <c r="AB72" s="60">
        <f t="shared" ref="AB72:AB135" si="22">AB$4-M72</f>
        <v>3</v>
      </c>
      <c r="AC72" s="60">
        <f t="shared" ref="AC72:AC135" si="23">AC$4-N72</f>
        <v>1</v>
      </c>
      <c r="AD72" s="60">
        <f t="shared" ref="AD72:AD135" si="24">AD$4-O72</f>
        <v>-1</v>
      </c>
      <c r="AE72" s="60">
        <f t="shared" ref="AE72:AE135" si="25">AE$4-P72</f>
        <v>0</v>
      </c>
      <c r="AG72" s="60" cm="1">
        <f t="array" aca="1" ref="AG72" ca="1">SQRT(SUMSQ(_xlfn._xlws.FILTER(S72:AE72,ISNUMBER(S72:AE72)))/COUNT(_xlfn._xlws.FILTER(S72:AE72,ISNUMBER(S72:AE72))))</f>
        <v>5.1153364177409353</v>
      </c>
    </row>
    <row r="73" spans="3:33" x14ac:dyDescent="0.2">
      <c r="C73" s="60" t="s">
        <v>228</v>
      </c>
      <c r="D73" s="60">
        <v>0</v>
      </c>
      <c r="E73" s="60">
        <v>-3</v>
      </c>
      <c r="F73" s="60">
        <v>-6</v>
      </c>
      <c r="G73" s="60">
        <v>-9</v>
      </c>
      <c r="H73" s="60">
        <v>-10</v>
      </c>
      <c r="I73" s="60">
        <v>-11</v>
      </c>
      <c r="J73" s="60">
        <v>-12</v>
      </c>
      <c r="K73" s="60">
        <v>-10</v>
      </c>
      <c r="L73" s="60">
        <v>-8</v>
      </c>
      <c r="M73" s="60">
        <v>-6</v>
      </c>
      <c r="N73" s="60">
        <v>-4</v>
      </c>
      <c r="O73" s="60">
        <v>-2</v>
      </c>
      <c r="P73" s="60">
        <v>0</v>
      </c>
      <c r="S73" s="60" t="e">
        <f t="shared" ca="1" si="13"/>
        <v>#REF!</v>
      </c>
      <c r="T73" s="60">
        <f t="shared" si="14"/>
        <v>3</v>
      </c>
      <c r="U73" s="60">
        <f t="shared" si="15"/>
        <v>6</v>
      </c>
      <c r="V73" s="60">
        <f t="shared" si="16"/>
        <v>9</v>
      </c>
      <c r="W73" s="60">
        <f t="shared" si="17"/>
        <v>10</v>
      </c>
      <c r="X73" s="60">
        <f t="shared" si="18"/>
        <v>11</v>
      </c>
      <c r="Y73" s="60">
        <f t="shared" si="19"/>
        <v>12</v>
      </c>
      <c r="Z73" s="60">
        <f t="shared" si="20"/>
        <v>10</v>
      </c>
      <c r="AA73" s="60">
        <f t="shared" si="21"/>
        <v>8</v>
      </c>
      <c r="AB73" s="60">
        <f t="shared" si="22"/>
        <v>6</v>
      </c>
      <c r="AC73" s="60">
        <f t="shared" si="23"/>
        <v>4</v>
      </c>
      <c r="AD73" s="60">
        <f t="shared" si="24"/>
        <v>2</v>
      </c>
      <c r="AE73" s="60">
        <f t="shared" si="25"/>
        <v>0</v>
      </c>
      <c r="AG73" s="60" cm="1">
        <f t="array" aca="1" ref="AG73" ca="1">SQRT(SUMSQ(_xlfn._xlws.FILTER(S73:AE73,ISNUMBER(S73:AE73)))/COUNT(_xlfn._xlws.FILTER(S73:AE73,ISNUMBER(S73:AE73))))</f>
        <v>7.6974021591703261</v>
      </c>
    </row>
    <row r="74" spans="3:33" x14ac:dyDescent="0.2">
      <c r="C74" s="60" t="s">
        <v>229</v>
      </c>
      <c r="D74" s="60">
        <v>0</v>
      </c>
      <c r="E74" s="60">
        <v>0</v>
      </c>
      <c r="F74" s="60">
        <v>-1</v>
      </c>
      <c r="G74" s="60">
        <v>-2</v>
      </c>
      <c r="H74" s="60">
        <v>-2</v>
      </c>
      <c r="I74" s="60">
        <v>-2</v>
      </c>
      <c r="J74" s="60">
        <v>-2</v>
      </c>
      <c r="K74" s="60">
        <v>-2</v>
      </c>
      <c r="L74" s="60">
        <v>-2</v>
      </c>
      <c r="M74" s="60">
        <v>-1</v>
      </c>
      <c r="N74" s="60">
        <v>0</v>
      </c>
      <c r="O74" s="60">
        <v>0</v>
      </c>
      <c r="P74" s="60">
        <v>0</v>
      </c>
      <c r="S74" s="60" t="e">
        <f t="shared" ca="1" si="13"/>
        <v>#REF!</v>
      </c>
      <c r="T74" s="60">
        <f t="shared" si="14"/>
        <v>0</v>
      </c>
      <c r="U74" s="60">
        <f t="shared" si="15"/>
        <v>1</v>
      </c>
      <c r="V74" s="60">
        <f t="shared" si="16"/>
        <v>2</v>
      </c>
      <c r="W74" s="60">
        <f t="shared" si="17"/>
        <v>2</v>
      </c>
      <c r="X74" s="60">
        <f t="shared" si="18"/>
        <v>2</v>
      </c>
      <c r="Y74" s="60">
        <f t="shared" si="19"/>
        <v>2</v>
      </c>
      <c r="Z74" s="60">
        <f t="shared" si="20"/>
        <v>2</v>
      </c>
      <c r="AA74" s="60">
        <f t="shared" si="21"/>
        <v>2</v>
      </c>
      <c r="AB74" s="60">
        <f t="shared" si="22"/>
        <v>1</v>
      </c>
      <c r="AC74" s="60">
        <f t="shared" si="23"/>
        <v>0</v>
      </c>
      <c r="AD74" s="60">
        <f t="shared" si="24"/>
        <v>0</v>
      </c>
      <c r="AE74" s="60">
        <f t="shared" si="25"/>
        <v>0</v>
      </c>
      <c r="AG74" s="60" cm="1">
        <f t="array" aca="1" ref="AG74" ca="1">SQRT(SUMSQ(_xlfn._xlws.FILTER(S74:AE74,ISNUMBER(S74:AE74)))/COUNT(_xlfn._xlws.FILTER(S74:AE74,ISNUMBER(S74:AE74))))</f>
        <v>1.4719601443879744</v>
      </c>
    </row>
    <row r="75" spans="3:33" x14ac:dyDescent="0.2">
      <c r="C75" s="60" t="s">
        <v>515</v>
      </c>
      <c r="D75" s="60">
        <v>0</v>
      </c>
      <c r="E75" s="60">
        <v>-2</v>
      </c>
      <c r="F75" s="60">
        <v>-4</v>
      </c>
      <c r="G75" s="60">
        <v>-6</v>
      </c>
      <c r="H75" s="60">
        <v>-8</v>
      </c>
      <c r="I75" s="60">
        <v>-10</v>
      </c>
      <c r="J75" s="60">
        <v>-8</v>
      </c>
      <c r="K75" s="60">
        <v>-6</v>
      </c>
      <c r="L75" s="60">
        <v>-6</v>
      </c>
      <c r="M75" s="60">
        <v>-4</v>
      </c>
      <c r="N75" s="60">
        <v>-2</v>
      </c>
      <c r="O75" s="60">
        <v>0</v>
      </c>
      <c r="P75" s="60">
        <v>0</v>
      </c>
      <c r="S75" s="60" t="e">
        <f t="shared" ca="1" si="13"/>
        <v>#REF!</v>
      </c>
      <c r="T75" s="60">
        <f t="shared" si="14"/>
        <v>2</v>
      </c>
      <c r="U75" s="60">
        <f t="shared" si="15"/>
        <v>4</v>
      </c>
      <c r="V75" s="60">
        <f t="shared" si="16"/>
        <v>6</v>
      </c>
      <c r="W75" s="60">
        <f t="shared" si="17"/>
        <v>8</v>
      </c>
      <c r="X75" s="60">
        <f t="shared" si="18"/>
        <v>10</v>
      </c>
      <c r="Y75" s="60">
        <f t="shared" si="19"/>
        <v>8</v>
      </c>
      <c r="Z75" s="60">
        <f t="shared" si="20"/>
        <v>6</v>
      </c>
      <c r="AA75" s="60">
        <f t="shared" si="21"/>
        <v>6</v>
      </c>
      <c r="AB75" s="60">
        <f t="shared" si="22"/>
        <v>4</v>
      </c>
      <c r="AC75" s="60">
        <f t="shared" si="23"/>
        <v>2</v>
      </c>
      <c r="AD75" s="60">
        <f t="shared" si="24"/>
        <v>0</v>
      </c>
      <c r="AE75" s="60">
        <f t="shared" si="25"/>
        <v>0</v>
      </c>
      <c r="AG75" s="60" cm="1">
        <f t="array" aca="1" ref="AG75" ca="1">SQRT(SUMSQ(_xlfn._xlws.FILTER(S75:AE75,ISNUMBER(S75:AE75)))/COUNT(_xlfn._xlws.FILTER(S75:AE75,ISNUMBER(S75:AE75))))</f>
        <v>5.5976185412488881</v>
      </c>
    </row>
    <row r="76" spans="3:33" x14ac:dyDescent="0.2">
      <c r="C76" s="60" t="s">
        <v>230</v>
      </c>
      <c r="D76" s="60">
        <v>0</v>
      </c>
      <c r="E76" s="60">
        <v>-7</v>
      </c>
      <c r="F76" s="60">
        <v>-2</v>
      </c>
      <c r="G76" s="60">
        <v>-9</v>
      </c>
      <c r="H76" s="60">
        <v>-4</v>
      </c>
      <c r="I76" s="60">
        <v>-11</v>
      </c>
      <c r="J76" s="60">
        <v>-6</v>
      </c>
      <c r="K76" s="60">
        <v>-1</v>
      </c>
      <c r="L76" s="60">
        <v>-8</v>
      </c>
      <c r="M76" s="60">
        <v>-3</v>
      </c>
      <c r="N76" s="60">
        <v>-10</v>
      </c>
      <c r="O76" s="60">
        <v>-5</v>
      </c>
      <c r="P76" s="60">
        <v>0</v>
      </c>
      <c r="S76" s="60" t="e">
        <f t="shared" ca="1" si="13"/>
        <v>#REF!</v>
      </c>
      <c r="T76" s="60">
        <f t="shared" si="14"/>
        <v>7</v>
      </c>
      <c r="U76" s="60">
        <f t="shared" si="15"/>
        <v>2</v>
      </c>
      <c r="V76" s="60">
        <f t="shared" si="16"/>
        <v>9</v>
      </c>
      <c r="W76" s="60">
        <f t="shared" si="17"/>
        <v>4</v>
      </c>
      <c r="X76" s="60">
        <f t="shared" si="18"/>
        <v>11</v>
      </c>
      <c r="Y76" s="60">
        <f t="shared" si="19"/>
        <v>6</v>
      </c>
      <c r="Z76" s="60">
        <f t="shared" si="20"/>
        <v>1</v>
      </c>
      <c r="AA76" s="60">
        <f t="shared" si="21"/>
        <v>8</v>
      </c>
      <c r="AB76" s="60">
        <f t="shared" si="22"/>
        <v>3</v>
      </c>
      <c r="AC76" s="60">
        <f t="shared" si="23"/>
        <v>10</v>
      </c>
      <c r="AD76" s="60">
        <f t="shared" si="24"/>
        <v>5</v>
      </c>
      <c r="AE76" s="60">
        <f t="shared" si="25"/>
        <v>0</v>
      </c>
      <c r="AG76" s="60" cm="1">
        <f t="array" aca="1" ref="AG76" ca="1">SQRT(SUMSQ(_xlfn._xlws.FILTER(S76:AE76,ISNUMBER(S76:AE76)))/COUNT(_xlfn._xlws.FILTER(S76:AE76,ISNUMBER(S76:AE76))))</f>
        <v>6.4935865795927183</v>
      </c>
    </row>
    <row r="77" spans="3:33" x14ac:dyDescent="0.2">
      <c r="C77" s="60" t="s">
        <v>231</v>
      </c>
      <c r="D77" s="60">
        <v>0</v>
      </c>
      <c r="E77" s="60">
        <v>-3</v>
      </c>
      <c r="F77" s="60">
        <v>-7</v>
      </c>
      <c r="G77" s="60">
        <v>-10</v>
      </c>
      <c r="H77" s="60">
        <v>-14</v>
      </c>
      <c r="I77" s="60">
        <v>-17</v>
      </c>
      <c r="J77" s="60">
        <v>-17</v>
      </c>
      <c r="K77" s="60">
        <v>-15</v>
      </c>
      <c r="L77" s="60">
        <v>-11</v>
      </c>
      <c r="M77" s="60">
        <v>-4</v>
      </c>
      <c r="N77" s="60">
        <v>7</v>
      </c>
      <c r="O77" s="60">
        <v>3</v>
      </c>
      <c r="P77" s="60">
        <v>0</v>
      </c>
      <c r="S77" s="60" t="e">
        <f t="shared" ca="1" si="13"/>
        <v>#REF!</v>
      </c>
      <c r="T77" s="60">
        <f t="shared" si="14"/>
        <v>3</v>
      </c>
      <c r="U77" s="60">
        <f t="shared" si="15"/>
        <v>7</v>
      </c>
      <c r="V77" s="60">
        <f t="shared" si="16"/>
        <v>10</v>
      </c>
      <c r="W77" s="60">
        <f t="shared" si="17"/>
        <v>14</v>
      </c>
      <c r="X77" s="60">
        <f t="shared" si="18"/>
        <v>17</v>
      </c>
      <c r="Y77" s="60">
        <f t="shared" si="19"/>
        <v>17</v>
      </c>
      <c r="Z77" s="60">
        <f t="shared" si="20"/>
        <v>15</v>
      </c>
      <c r="AA77" s="60">
        <f t="shared" si="21"/>
        <v>11</v>
      </c>
      <c r="AB77" s="60">
        <f t="shared" si="22"/>
        <v>4</v>
      </c>
      <c r="AC77" s="60">
        <f t="shared" si="23"/>
        <v>-7</v>
      </c>
      <c r="AD77" s="60">
        <f t="shared" si="24"/>
        <v>-3</v>
      </c>
      <c r="AE77" s="60">
        <f t="shared" si="25"/>
        <v>0</v>
      </c>
      <c r="AG77" s="60" cm="1">
        <f t="array" aca="1" ref="AG77" ca="1">SQRT(SUMSQ(_xlfn._xlws.FILTER(S77:AE77,ISNUMBER(S77:AE77)))/COUNT(_xlfn._xlws.FILTER(S77:AE77,ISNUMBER(S77:AE77))))</f>
        <v>10.614455552060438</v>
      </c>
    </row>
    <row r="78" spans="3:33" x14ac:dyDescent="0.2">
      <c r="C78" s="60" t="s">
        <v>232</v>
      </c>
      <c r="D78" s="60">
        <v>0</v>
      </c>
      <c r="E78" s="60">
        <v>-3</v>
      </c>
      <c r="F78" s="60">
        <v>-7</v>
      </c>
      <c r="G78" s="60">
        <v>-10</v>
      </c>
      <c r="H78" s="60">
        <v>-14</v>
      </c>
      <c r="I78" s="60">
        <v>-17</v>
      </c>
      <c r="J78" s="60">
        <v>-19</v>
      </c>
      <c r="K78" s="60">
        <v>-19</v>
      </c>
      <c r="L78" s="60">
        <v>-15</v>
      </c>
      <c r="M78" s="60">
        <v>-8</v>
      </c>
      <c r="N78" s="60">
        <v>7</v>
      </c>
      <c r="O78" s="60">
        <v>3</v>
      </c>
      <c r="P78" s="60">
        <v>0</v>
      </c>
      <c r="S78" s="60" t="e">
        <f t="shared" ca="1" si="13"/>
        <v>#REF!</v>
      </c>
      <c r="T78" s="60">
        <f t="shared" si="14"/>
        <v>3</v>
      </c>
      <c r="U78" s="60">
        <f t="shared" si="15"/>
        <v>7</v>
      </c>
      <c r="V78" s="60">
        <f t="shared" si="16"/>
        <v>10</v>
      </c>
      <c r="W78" s="60">
        <f t="shared" si="17"/>
        <v>14</v>
      </c>
      <c r="X78" s="60">
        <f t="shared" si="18"/>
        <v>17</v>
      </c>
      <c r="Y78" s="60">
        <f t="shared" si="19"/>
        <v>19</v>
      </c>
      <c r="Z78" s="60">
        <f t="shared" si="20"/>
        <v>19</v>
      </c>
      <c r="AA78" s="60">
        <f t="shared" si="21"/>
        <v>15</v>
      </c>
      <c r="AB78" s="60">
        <f t="shared" si="22"/>
        <v>8</v>
      </c>
      <c r="AC78" s="60">
        <f t="shared" si="23"/>
        <v>-7</v>
      </c>
      <c r="AD78" s="60">
        <f t="shared" si="24"/>
        <v>-3</v>
      </c>
      <c r="AE78" s="60">
        <f t="shared" si="25"/>
        <v>0</v>
      </c>
      <c r="AG78" s="60" cm="1">
        <f t="array" aca="1" ref="AG78" ca="1">SQRT(SUMSQ(_xlfn._xlws.FILTER(S78:AE78,ISNUMBER(S78:AE78)))/COUNT(_xlfn._xlws.FILTER(S78:AE78,ISNUMBER(S78:AE78))))</f>
        <v>11.944315244779277</v>
      </c>
    </row>
    <row r="79" spans="3:33" x14ac:dyDescent="0.2">
      <c r="C79" s="60" t="s">
        <v>233</v>
      </c>
      <c r="D79" s="60">
        <v>0</v>
      </c>
      <c r="E79" s="60">
        <v>-3</v>
      </c>
      <c r="F79" s="60">
        <v>-7</v>
      </c>
      <c r="G79" s="60">
        <v>-10</v>
      </c>
      <c r="H79" s="60">
        <v>-14</v>
      </c>
      <c r="I79" s="60">
        <v>-17</v>
      </c>
      <c r="J79" s="60">
        <v>-15</v>
      </c>
      <c r="K79" s="60">
        <v>-13</v>
      </c>
      <c r="L79" s="60">
        <v>-11</v>
      </c>
      <c r="M79" s="60">
        <v>-3</v>
      </c>
      <c r="N79" s="60">
        <v>7</v>
      </c>
      <c r="O79" s="60">
        <v>3</v>
      </c>
      <c r="P79" s="60">
        <v>0</v>
      </c>
      <c r="S79" s="60" t="e">
        <f t="shared" ca="1" si="13"/>
        <v>#REF!</v>
      </c>
      <c r="T79" s="60">
        <f t="shared" si="14"/>
        <v>3</v>
      </c>
      <c r="U79" s="60">
        <f t="shared" si="15"/>
        <v>7</v>
      </c>
      <c r="V79" s="60">
        <f t="shared" si="16"/>
        <v>10</v>
      </c>
      <c r="W79" s="60">
        <f t="shared" si="17"/>
        <v>14</v>
      </c>
      <c r="X79" s="60">
        <f t="shared" si="18"/>
        <v>17</v>
      </c>
      <c r="Y79" s="60">
        <f t="shared" si="19"/>
        <v>15</v>
      </c>
      <c r="Z79" s="60">
        <f t="shared" si="20"/>
        <v>13</v>
      </c>
      <c r="AA79" s="60">
        <f t="shared" si="21"/>
        <v>11</v>
      </c>
      <c r="AB79" s="60">
        <f t="shared" si="22"/>
        <v>3</v>
      </c>
      <c r="AC79" s="60">
        <f t="shared" si="23"/>
        <v>-7</v>
      </c>
      <c r="AD79" s="60">
        <f t="shared" si="24"/>
        <v>-3</v>
      </c>
      <c r="AE79" s="60">
        <f t="shared" si="25"/>
        <v>0</v>
      </c>
      <c r="AG79" s="60" cm="1">
        <f t="array" aca="1" ref="AG79" ca="1">SQRT(SUMSQ(_xlfn._xlws.FILTER(S79:AE79,ISNUMBER(S79:AE79)))/COUNT(_xlfn._xlws.FILTER(S79:AE79,ISNUMBER(S79:AE79))))</f>
        <v>10.103629710818451</v>
      </c>
    </row>
    <row r="80" spans="3:33" x14ac:dyDescent="0.2">
      <c r="C80" s="60" t="s">
        <v>234</v>
      </c>
      <c r="D80" s="60">
        <v>0</v>
      </c>
      <c r="E80" s="60">
        <v>2</v>
      </c>
      <c r="F80" s="60">
        <v>-18</v>
      </c>
      <c r="G80" s="60">
        <v>-16</v>
      </c>
      <c r="H80" s="60">
        <v>-14</v>
      </c>
      <c r="I80" s="60">
        <v>-12</v>
      </c>
      <c r="J80" s="60">
        <v>-3</v>
      </c>
      <c r="K80" s="60">
        <v>-12</v>
      </c>
      <c r="L80" s="60">
        <v>-9</v>
      </c>
      <c r="M80" s="60">
        <v>-19</v>
      </c>
      <c r="N80" s="60">
        <v>-17</v>
      </c>
      <c r="O80" s="60">
        <v>-2</v>
      </c>
      <c r="P80" s="60">
        <v>0</v>
      </c>
      <c r="S80" s="60" t="e">
        <f t="shared" ca="1" si="13"/>
        <v>#REF!</v>
      </c>
      <c r="T80" s="60">
        <f t="shared" si="14"/>
        <v>-2</v>
      </c>
      <c r="U80" s="60">
        <f t="shared" si="15"/>
        <v>18</v>
      </c>
      <c r="V80" s="60">
        <f t="shared" si="16"/>
        <v>16</v>
      </c>
      <c r="W80" s="60">
        <f t="shared" si="17"/>
        <v>14</v>
      </c>
      <c r="X80" s="60">
        <f t="shared" si="18"/>
        <v>12</v>
      </c>
      <c r="Y80" s="60">
        <f t="shared" si="19"/>
        <v>3</v>
      </c>
      <c r="Z80" s="60">
        <f t="shared" si="20"/>
        <v>12</v>
      </c>
      <c r="AA80" s="60">
        <f t="shared" si="21"/>
        <v>9</v>
      </c>
      <c r="AB80" s="60">
        <f t="shared" si="22"/>
        <v>19</v>
      </c>
      <c r="AC80" s="60">
        <f t="shared" si="23"/>
        <v>17</v>
      </c>
      <c r="AD80" s="60">
        <f t="shared" si="24"/>
        <v>2</v>
      </c>
      <c r="AE80" s="60">
        <f t="shared" si="25"/>
        <v>0</v>
      </c>
      <c r="AG80" s="60" cm="1">
        <f t="array" aca="1" ref="AG80" ca="1">SQRT(SUMSQ(_xlfn._xlws.FILTER(S80:AE80,ISNUMBER(S80:AE80)))/COUNT(_xlfn._xlws.FILTER(S80:AE80,ISNUMBER(S80:AE80))))</f>
        <v>12.288205727444508</v>
      </c>
    </row>
    <row r="81" spans="3:33" x14ac:dyDescent="0.2">
      <c r="C81" s="60" t="s">
        <v>235</v>
      </c>
      <c r="D81" s="60">
        <v>0</v>
      </c>
      <c r="E81" s="60">
        <v>1.9550000000000001</v>
      </c>
      <c r="F81" s="60">
        <v>-17.596</v>
      </c>
      <c r="G81" s="60">
        <v>-15.641</v>
      </c>
      <c r="H81" s="60">
        <v>-13.686</v>
      </c>
      <c r="I81" s="60">
        <v>-11.731</v>
      </c>
      <c r="J81" s="60">
        <v>-3</v>
      </c>
      <c r="K81" s="60">
        <v>-11.199</v>
      </c>
      <c r="L81" s="60">
        <v>-9.2439999999999998</v>
      </c>
      <c r="M81" s="60">
        <v>-18.641999999999999</v>
      </c>
      <c r="N81" s="60">
        <v>-16.687000000000001</v>
      </c>
      <c r="O81" s="60">
        <v>-1.9550000000000001</v>
      </c>
      <c r="P81" s="60">
        <v>0</v>
      </c>
      <c r="S81" s="60" t="e">
        <f t="shared" ca="1" si="13"/>
        <v>#REF!</v>
      </c>
      <c r="T81" s="60">
        <f t="shared" si="14"/>
        <v>-1.9550000000000001</v>
      </c>
      <c r="U81" s="60">
        <f t="shared" si="15"/>
        <v>17.596</v>
      </c>
      <c r="V81" s="60">
        <f t="shared" si="16"/>
        <v>15.641</v>
      </c>
      <c r="W81" s="60">
        <f t="shared" si="17"/>
        <v>13.686</v>
      </c>
      <c r="X81" s="60">
        <f t="shared" si="18"/>
        <v>11.731</v>
      </c>
      <c r="Y81" s="60">
        <f t="shared" si="19"/>
        <v>3</v>
      </c>
      <c r="Z81" s="60">
        <f t="shared" si="20"/>
        <v>11.199</v>
      </c>
      <c r="AA81" s="60">
        <f t="shared" si="21"/>
        <v>9.2439999999999998</v>
      </c>
      <c r="AB81" s="60">
        <f t="shared" si="22"/>
        <v>18.641999999999999</v>
      </c>
      <c r="AC81" s="60">
        <f t="shared" si="23"/>
        <v>16.687000000000001</v>
      </c>
      <c r="AD81" s="60">
        <f t="shared" si="24"/>
        <v>1.9550000000000001</v>
      </c>
      <c r="AE81" s="60">
        <f t="shared" si="25"/>
        <v>0</v>
      </c>
      <c r="AG81" s="60" cm="1">
        <f t="array" aca="1" ref="AG81" ca="1">SQRT(SUMSQ(_xlfn._xlws.FILTER(S81:AE81,ISNUMBER(S81:AE81)))/COUNT(_xlfn._xlws.FILTER(S81:AE81,ISNUMBER(S81:AE81))))</f>
        <v>12.016226439000445</v>
      </c>
    </row>
    <row r="82" spans="3:33" x14ac:dyDescent="0.2">
      <c r="C82" s="60" t="s">
        <v>236</v>
      </c>
      <c r="D82" s="60">
        <v>0</v>
      </c>
      <c r="E82" s="60">
        <v>0</v>
      </c>
      <c r="F82" s="60">
        <v>0</v>
      </c>
      <c r="G82" s="60">
        <v>0</v>
      </c>
      <c r="H82" s="60">
        <v>0</v>
      </c>
      <c r="I82" s="60">
        <v>0</v>
      </c>
      <c r="J82" s="60">
        <v>0</v>
      </c>
      <c r="K82" s="60">
        <v>0</v>
      </c>
      <c r="L82" s="60">
        <v>0</v>
      </c>
      <c r="M82" s="60">
        <v>0</v>
      </c>
      <c r="N82" s="60">
        <v>0</v>
      </c>
      <c r="O82" s="60">
        <v>0</v>
      </c>
      <c r="P82" s="60">
        <v>0</v>
      </c>
      <c r="S82" s="60" t="e">
        <f t="shared" ca="1" si="13"/>
        <v>#REF!</v>
      </c>
      <c r="T82" s="60">
        <f t="shared" si="14"/>
        <v>0</v>
      </c>
      <c r="U82" s="60">
        <f t="shared" si="15"/>
        <v>0</v>
      </c>
      <c r="V82" s="60">
        <f t="shared" si="16"/>
        <v>0</v>
      </c>
      <c r="W82" s="60">
        <f t="shared" si="17"/>
        <v>0</v>
      </c>
      <c r="X82" s="60">
        <f t="shared" si="18"/>
        <v>0</v>
      </c>
      <c r="Y82" s="60">
        <f t="shared" si="19"/>
        <v>0</v>
      </c>
      <c r="Z82" s="60">
        <f t="shared" si="20"/>
        <v>0</v>
      </c>
      <c r="AA82" s="60">
        <f t="shared" si="21"/>
        <v>0</v>
      </c>
      <c r="AB82" s="60">
        <f t="shared" si="22"/>
        <v>0</v>
      </c>
      <c r="AC82" s="60">
        <f t="shared" si="23"/>
        <v>0</v>
      </c>
      <c r="AD82" s="60">
        <f t="shared" si="24"/>
        <v>0</v>
      </c>
      <c r="AE82" s="60">
        <f t="shared" si="25"/>
        <v>0</v>
      </c>
      <c r="AG82" s="60" cm="1">
        <f t="array" aca="1" ref="AG82" ca="1">SQRT(SUMSQ(_xlfn._xlws.FILTER(S82:AE82,ISNUMBER(S82:AE82)))/COUNT(_xlfn._xlws.FILTER(S82:AE82,ISNUMBER(S82:AE82))))</f>
        <v>0</v>
      </c>
    </row>
    <row r="83" spans="3:33" x14ac:dyDescent="0.2">
      <c r="C83" s="60" t="s">
        <v>237</v>
      </c>
      <c r="D83" s="60">
        <v>0</v>
      </c>
      <c r="E83" s="60">
        <v>0</v>
      </c>
      <c r="F83" s="60">
        <v>0</v>
      </c>
      <c r="G83" s="60">
        <v>0</v>
      </c>
      <c r="H83" s="60">
        <v>0</v>
      </c>
      <c r="I83" s="60">
        <v>0</v>
      </c>
      <c r="J83" s="60">
        <v>0</v>
      </c>
      <c r="K83" s="60">
        <v>0</v>
      </c>
      <c r="L83" s="60">
        <v>0</v>
      </c>
      <c r="M83" s="60">
        <v>0</v>
      </c>
      <c r="N83" s="60">
        <v>0</v>
      </c>
      <c r="O83" s="60">
        <v>0</v>
      </c>
      <c r="P83" s="60">
        <v>0</v>
      </c>
      <c r="S83" s="60" t="e">
        <f t="shared" ca="1" si="13"/>
        <v>#REF!</v>
      </c>
      <c r="T83" s="60">
        <f t="shared" si="14"/>
        <v>0</v>
      </c>
      <c r="U83" s="60">
        <f t="shared" si="15"/>
        <v>0</v>
      </c>
      <c r="V83" s="60">
        <f t="shared" si="16"/>
        <v>0</v>
      </c>
      <c r="W83" s="60">
        <f t="shared" si="17"/>
        <v>0</v>
      </c>
      <c r="X83" s="60">
        <f t="shared" si="18"/>
        <v>0</v>
      </c>
      <c r="Y83" s="60">
        <f t="shared" si="19"/>
        <v>0</v>
      </c>
      <c r="Z83" s="60">
        <f t="shared" si="20"/>
        <v>0</v>
      </c>
      <c r="AA83" s="60">
        <f t="shared" si="21"/>
        <v>0</v>
      </c>
      <c r="AB83" s="60">
        <f t="shared" si="22"/>
        <v>0</v>
      </c>
      <c r="AC83" s="60">
        <f t="shared" si="23"/>
        <v>0</v>
      </c>
      <c r="AD83" s="60">
        <f t="shared" si="24"/>
        <v>0</v>
      </c>
      <c r="AE83" s="60">
        <f t="shared" si="25"/>
        <v>0</v>
      </c>
      <c r="AG83" s="60" cm="1">
        <f t="array" aca="1" ref="AG83" ca="1">SQRT(SUMSQ(_xlfn._xlws.FILTER(S83:AE83,ISNUMBER(S83:AE83)))/COUNT(_xlfn._xlws.FILTER(S83:AE83,ISNUMBER(S83:AE83))))</f>
        <v>0</v>
      </c>
    </row>
    <row r="84" spans="3:33" x14ac:dyDescent="0.2">
      <c r="C84" s="60" t="s">
        <v>490</v>
      </c>
      <c r="D84" s="60">
        <v>0</v>
      </c>
      <c r="E84" s="60">
        <v>-1</v>
      </c>
      <c r="F84" s="60">
        <v>2</v>
      </c>
      <c r="G84" s="60">
        <v>0</v>
      </c>
      <c r="H84" s="60">
        <v>-1</v>
      </c>
      <c r="I84" s="60">
        <v>-6</v>
      </c>
      <c r="J84" s="60">
        <v>0</v>
      </c>
      <c r="K84" s="60">
        <v>-2</v>
      </c>
      <c r="L84" s="60">
        <v>-2</v>
      </c>
      <c r="M84" s="60">
        <v>-2</v>
      </c>
      <c r="N84" s="60">
        <v>1</v>
      </c>
      <c r="O84" s="60">
        <v>3</v>
      </c>
      <c r="P84" s="60">
        <v>0</v>
      </c>
      <c r="S84" s="60" t="e">
        <f t="shared" ca="1" si="13"/>
        <v>#REF!</v>
      </c>
      <c r="T84" s="60">
        <f t="shared" si="14"/>
        <v>1</v>
      </c>
      <c r="U84" s="60">
        <f t="shared" si="15"/>
        <v>-2</v>
      </c>
      <c r="V84" s="60">
        <f t="shared" si="16"/>
        <v>0</v>
      </c>
      <c r="W84" s="60">
        <f t="shared" si="17"/>
        <v>1</v>
      </c>
      <c r="X84" s="60">
        <f t="shared" si="18"/>
        <v>6</v>
      </c>
      <c r="Y84" s="60">
        <f t="shared" si="19"/>
        <v>0</v>
      </c>
      <c r="Z84" s="60">
        <f t="shared" si="20"/>
        <v>2</v>
      </c>
      <c r="AA84" s="60">
        <f t="shared" si="21"/>
        <v>2</v>
      </c>
      <c r="AB84" s="60">
        <f t="shared" si="22"/>
        <v>2</v>
      </c>
      <c r="AC84" s="60">
        <f t="shared" si="23"/>
        <v>-1</v>
      </c>
      <c r="AD84" s="60">
        <f t="shared" si="24"/>
        <v>-3</v>
      </c>
      <c r="AE84" s="60">
        <f t="shared" si="25"/>
        <v>0</v>
      </c>
      <c r="AG84" s="60" cm="1">
        <f t="array" aca="1" ref="AG84" ca="1">SQRT(SUMSQ(_xlfn._xlws.FILTER(S84:AE84,ISNUMBER(S84:AE84)))/COUNT(_xlfn._xlws.FILTER(S84:AE84,ISNUMBER(S84:AE84))))</f>
        <v>2.3094010767585029</v>
      </c>
    </row>
    <row r="85" spans="3:33" x14ac:dyDescent="0.2">
      <c r="C85" s="60" t="s">
        <v>238</v>
      </c>
      <c r="D85" s="60">
        <v>0</v>
      </c>
      <c r="E85" s="60">
        <v>2</v>
      </c>
      <c r="F85" s="60">
        <v>4</v>
      </c>
      <c r="G85" s="60">
        <v>6</v>
      </c>
      <c r="H85" s="60">
        <v>8</v>
      </c>
      <c r="I85" s="60">
        <v>10</v>
      </c>
      <c r="J85" s="60">
        <v>0</v>
      </c>
      <c r="K85" s="60">
        <v>2</v>
      </c>
      <c r="L85" s="60">
        <v>4</v>
      </c>
      <c r="M85" s="60">
        <v>6</v>
      </c>
      <c r="N85" s="60">
        <v>8</v>
      </c>
      <c r="O85" s="60">
        <v>-2</v>
      </c>
      <c r="P85" s="60">
        <v>0</v>
      </c>
      <c r="S85" s="60" t="e">
        <f t="shared" ca="1" si="13"/>
        <v>#REF!</v>
      </c>
      <c r="T85" s="60">
        <f t="shared" si="14"/>
        <v>-2</v>
      </c>
      <c r="U85" s="60">
        <f t="shared" si="15"/>
        <v>-4</v>
      </c>
      <c r="V85" s="60">
        <f t="shared" si="16"/>
        <v>-6</v>
      </c>
      <c r="W85" s="60">
        <f t="shared" si="17"/>
        <v>-8</v>
      </c>
      <c r="X85" s="60">
        <f t="shared" si="18"/>
        <v>-10</v>
      </c>
      <c r="Y85" s="60">
        <f t="shared" si="19"/>
        <v>0</v>
      </c>
      <c r="Z85" s="60">
        <f t="shared" si="20"/>
        <v>-2</v>
      </c>
      <c r="AA85" s="60">
        <f t="shared" si="21"/>
        <v>-4</v>
      </c>
      <c r="AB85" s="60">
        <f t="shared" si="22"/>
        <v>-6</v>
      </c>
      <c r="AC85" s="60">
        <f t="shared" si="23"/>
        <v>-8</v>
      </c>
      <c r="AD85" s="60">
        <f t="shared" si="24"/>
        <v>2</v>
      </c>
      <c r="AE85" s="60">
        <f t="shared" si="25"/>
        <v>0</v>
      </c>
      <c r="AG85" s="60" cm="1">
        <f t="array" aca="1" ref="AG85" ca="1">SQRT(SUMSQ(_xlfn._xlws.FILTER(S85:AE85,ISNUMBER(S85:AE85)))/COUNT(_xlfn._xlws.FILTER(S85:AE85,ISNUMBER(S85:AE85))))</f>
        <v>5.3541261347363367</v>
      </c>
    </row>
    <row r="86" spans="3:33" x14ac:dyDescent="0.2">
      <c r="C86" s="60" t="s">
        <v>239</v>
      </c>
      <c r="D86" s="60">
        <v>0</v>
      </c>
      <c r="E86" s="60">
        <v>1.9550000000000001</v>
      </c>
      <c r="F86" s="60">
        <v>3.91</v>
      </c>
      <c r="G86" s="60">
        <v>5.8650000000000002</v>
      </c>
      <c r="H86" s="60">
        <v>7.82</v>
      </c>
      <c r="I86" s="60">
        <v>9.7750000000000004</v>
      </c>
      <c r="J86" s="60">
        <v>0</v>
      </c>
      <c r="K86" s="60">
        <v>1.9550000000000001</v>
      </c>
      <c r="L86" s="60">
        <v>3.91</v>
      </c>
      <c r="M86" s="60">
        <v>5.8650000000000002</v>
      </c>
      <c r="N86" s="60">
        <v>7.82</v>
      </c>
      <c r="O86" s="60">
        <v>-1.9550000000000001</v>
      </c>
      <c r="P86" s="60">
        <v>0</v>
      </c>
      <c r="S86" s="60" t="e">
        <f t="shared" ca="1" si="13"/>
        <v>#REF!</v>
      </c>
      <c r="T86" s="60">
        <f t="shared" si="14"/>
        <v>-1.9550000000000001</v>
      </c>
      <c r="U86" s="60">
        <f t="shared" si="15"/>
        <v>-3.91</v>
      </c>
      <c r="V86" s="60">
        <f t="shared" si="16"/>
        <v>-5.8650000000000002</v>
      </c>
      <c r="W86" s="60">
        <f t="shared" si="17"/>
        <v>-7.82</v>
      </c>
      <c r="X86" s="60">
        <f t="shared" si="18"/>
        <v>-9.7750000000000004</v>
      </c>
      <c r="Y86" s="60">
        <f t="shared" si="19"/>
        <v>0</v>
      </c>
      <c r="Z86" s="60">
        <f t="shared" si="20"/>
        <v>-1.9550000000000001</v>
      </c>
      <c r="AA86" s="60">
        <f t="shared" si="21"/>
        <v>-3.91</v>
      </c>
      <c r="AB86" s="60">
        <f t="shared" si="22"/>
        <v>-5.8650000000000002</v>
      </c>
      <c r="AC86" s="60">
        <f t="shared" si="23"/>
        <v>-7.82</v>
      </c>
      <c r="AD86" s="60">
        <f t="shared" si="24"/>
        <v>1.9550000000000001</v>
      </c>
      <c r="AE86" s="60">
        <f t="shared" si="25"/>
        <v>0</v>
      </c>
      <c r="AG86" s="60" cm="1">
        <f t="array" aca="1" ref="AG86" ca="1">SQRT(SUMSQ(_xlfn._xlws.FILTER(S86:AE86,ISNUMBER(S86:AE86)))/COUNT(_xlfn._xlws.FILTER(S86:AE86,ISNUMBER(S86:AE86))))</f>
        <v>5.2336582967047693</v>
      </c>
    </row>
    <row r="87" spans="3:33" x14ac:dyDescent="0.2">
      <c r="C87" s="60" t="s">
        <v>240</v>
      </c>
      <c r="D87" s="60">
        <v>0</v>
      </c>
      <c r="E87" s="60">
        <v>-1</v>
      </c>
      <c r="F87" s="60">
        <v>-2</v>
      </c>
      <c r="G87" s="60">
        <v>-3</v>
      </c>
      <c r="H87" s="60">
        <v>-4</v>
      </c>
      <c r="I87" s="60">
        <v>-5</v>
      </c>
      <c r="J87" s="60">
        <v>-6</v>
      </c>
      <c r="K87" s="60">
        <v>-4</v>
      </c>
      <c r="L87" s="60">
        <v>-2</v>
      </c>
      <c r="M87" s="60">
        <v>0</v>
      </c>
      <c r="N87" s="60">
        <v>2</v>
      </c>
      <c r="O87" s="60">
        <v>1</v>
      </c>
      <c r="P87" s="60">
        <v>0</v>
      </c>
      <c r="S87" s="60" t="e">
        <f t="shared" ca="1" si="13"/>
        <v>#REF!</v>
      </c>
      <c r="T87" s="60">
        <f t="shared" si="14"/>
        <v>1</v>
      </c>
      <c r="U87" s="60">
        <f t="shared" si="15"/>
        <v>2</v>
      </c>
      <c r="V87" s="60">
        <f t="shared" si="16"/>
        <v>3</v>
      </c>
      <c r="W87" s="60">
        <f t="shared" si="17"/>
        <v>4</v>
      </c>
      <c r="X87" s="60">
        <f t="shared" si="18"/>
        <v>5</v>
      </c>
      <c r="Y87" s="60">
        <f t="shared" si="19"/>
        <v>6</v>
      </c>
      <c r="Z87" s="60">
        <f t="shared" si="20"/>
        <v>4</v>
      </c>
      <c r="AA87" s="60">
        <f t="shared" si="21"/>
        <v>2</v>
      </c>
      <c r="AB87" s="60">
        <f t="shared" si="22"/>
        <v>0</v>
      </c>
      <c r="AC87" s="60">
        <f t="shared" si="23"/>
        <v>-2</v>
      </c>
      <c r="AD87" s="60">
        <f t="shared" si="24"/>
        <v>-1</v>
      </c>
      <c r="AE87" s="60">
        <f t="shared" si="25"/>
        <v>0</v>
      </c>
      <c r="AG87" s="60" cm="1">
        <f t="array" aca="1" ref="AG87" ca="1">SQRT(SUMSQ(_xlfn._xlws.FILTER(S87:AE87,ISNUMBER(S87:AE87)))/COUNT(_xlfn._xlws.FILTER(S87:AE87,ISNUMBER(S87:AE87))))</f>
        <v>3.1091263510296048</v>
      </c>
    </row>
    <row r="88" spans="3:33" x14ac:dyDescent="0.2">
      <c r="C88" s="60" t="s">
        <v>241</v>
      </c>
      <c r="D88" s="60">
        <v>0</v>
      </c>
      <c r="E88" s="60">
        <v>-1</v>
      </c>
      <c r="F88" s="60">
        <v>-1</v>
      </c>
      <c r="G88" s="60">
        <v>-2</v>
      </c>
      <c r="H88" s="60">
        <v>-1</v>
      </c>
      <c r="I88" s="60">
        <v>0</v>
      </c>
      <c r="J88" s="60">
        <v>0</v>
      </c>
      <c r="K88" s="60">
        <v>1</v>
      </c>
      <c r="L88" s="60">
        <v>1</v>
      </c>
      <c r="M88" s="60">
        <v>1</v>
      </c>
      <c r="N88" s="60">
        <v>1</v>
      </c>
      <c r="O88" s="60">
        <v>1</v>
      </c>
      <c r="P88" s="60">
        <v>0</v>
      </c>
      <c r="S88" s="60" t="e">
        <f t="shared" ca="1" si="13"/>
        <v>#REF!</v>
      </c>
      <c r="T88" s="60">
        <f t="shared" si="14"/>
        <v>1</v>
      </c>
      <c r="U88" s="60">
        <f t="shared" si="15"/>
        <v>1</v>
      </c>
      <c r="V88" s="60">
        <f t="shared" si="16"/>
        <v>2</v>
      </c>
      <c r="W88" s="60">
        <f t="shared" si="17"/>
        <v>1</v>
      </c>
      <c r="X88" s="60">
        <f t="shared" si="18"/>
        <v>0</v>
      </c>
      <c r="Y88" s="60">
        <f t="shared" si="19"/>
        <v>0</v>
      </c>
      <c r="Z88" s="60">
        <f t="shared" si="20"/>
        <v>-1</v>
      </c>
      <c r="AA88" s="60">
        <f t="shared" si="21"/>
        <v>-1</v>
      </c>
      <c r="AB88" s="60">
        <f t="shared" si="22"/>
        <v>-1</v>
      </c>
      <c r="AC88" s="60">
        <f t="shared" si="23"/>
        <v>-1</v>
      </c>
      <c r="AD88" s="60">
        <f t="shared" si="24"/>
        <v>-1</v>
      </c>
      <c r="AE88" s="60">
        <f t="shared" si="25"/>
        <v>0</v>
      </c>
      <c r="AG88" s="60" cm="1">
        <f t="array" aca="1" ref="AG88" ca="1">SQRT(SUMSQ(_xlfn._xlws.FILTER(S88:AE88,ISNUMBER(S88:AE88)))/COUNT(_xlfn._xlws.FILTER(S88:AE88,ISNUMBER(S88:AE88))))</f>
        <v>1</v>
      </c>
    </row>
    <row r="89" spans="3:33" x14ac:dyDescent="0.2">
      <c r="C89" s="60" t="s">
        <v>242</v>
      </c>
      <c r="D89" s="60">
        <v>0</v>
      </c>
      <c r="E89" s="60">
        <v>2</v>
      </c>
      <c r="F89" s="60">
        <v>4</v>
      </c>
      <c r="G89" s="60">
        <v>-16</v>
      </c>
      <c r="H89" s="60">
        <v>-14</v>
      </c>
      <c r="I89" s="60">
        <v>-12</v>
      </c>
      <c r="J89" s="60">
        <v>-10</v>
      </c>
      <c r="K89" s="60">
        <v>-8</v>
      </c>
      <c r="L89" s="60">
        <v>-6</v>
      </c>
      <c r="M89" s="60">
        <v>-4</v>
      </c>
      <c r="N89" s="60">
        <v>-3</v>
      </c>
      <c r="O89" s="60">
        <v>-2</v>
      </c>
      <c r="P89" s="60">
        <v>0</v>
      </c>
      <c r="S89" s="60" t="e">
        <f t="shared" ca="1" si="13"/>
        <v>#REF!</v>
      </c>
      <c r="T89" s="60">
        <f t="shared" si="14"/>
        <v>-2</v>
      </c>
      <c r="U89" s="60">
        <f t="shared" si="15"/>
        <v>-4</v>
      </c>
      <c r="V89" s="60">
        <f t="shared" si="16"/>
        <v>16</v>
      </c>
      <c r="W89" s="60">
        <f t="shared" si="17"/>
        <v>14</v>
      </c>
      <c r="X89" s="60">
        <f t="shared" si="18"/>
        <v>12</v>
      </c>
      <c r="Y89" s="60">
        <f t="shared" si="19"/>
        <v>10</v>
      </c>
      <c r="Z89" s="60">
        <f t="shared" si="20"/>
        <v>8</v>
      </c>
      <c r="AA89" s="60">
        <f t="shared" si="21"/>
        <v>6</v>
      </c>
      <c r="AB89" s="60">
        <f t="shared" si="22"/>
        <v>4</v>
      </c>
      <c r="AC89" s="60">
        <f t="shared" si="23"/>
        <v>3</v>
      </c>
      <c r="AD89" s="60">
        <f t="shared" si="24"/>
        <v>2</v>
      </c>
      <c r="AE89" s="60">
        <f t="shared" si="25"/>
        <v>0</v>
      </c>
      <c r="AG89" s="60" cm="1">
        <f t="array" aca="1" ref="AG89" ca="1">SQRT(SUMSQ(_xlfn._xlws.FILTER(S89:AE89,ISNUMBER(S89:AE89)))/COUNT(_xlfn._xlws.FILTER(S89:AE89,ISNUMBER(S89:AE89))))</f>
        <v>8.3914639167827367</v>
      </c>
    </row>
    <row r="90" spans="3:33" x14ac:dyDescent="0.2">
      <c r="C90" s="60" t="s">
        <v>243</v>
      </c>
      <c r="D90" s="60">
        <v>0</v>
      </c>
      <c r="E90" s="60">
        <v>2</v>
      </c>
      <c r="F90" s="60">
        <v>-18</v>
      </c>
      <c r="G90" s="60">
        <v>-16</v>
      </c>
      <c r="H90" s="60">
        <v>-14</v>
      </c>
      <c r="I90" s="60">
        <v>-12</v>
      </c>
      <c r="J90" s="60">
        <v>-11</v>
      </c>
      <c r="K90" s="60">
        <v>-10</v>
      </c>
      <c r="L90" s="60">
        <v>-8</v>
      </c>
      <c r="M90" s="60">
        <v>-6</v>
      </c>
      <c r="N90" s="60">
        <v>-4</v>
      </c>
      <c r="O90" s="60">
        <v>-2</v>
      </c>
      <c r="P90" s="60">
        <v>0</v>
      </c>
      <c r="S90" s="60" t="e">
        <f t="shared" ca="1" si="13"/>
        <v>#REF!</v>
      </c>
      <c r="T90" s="60">
        <f t="shared" si="14"/>
        <v>-2</v>
      </c>
      <c r="U90" s="60">
        <f t="shared" si="15"/>
        <v>18</v>
      </c>
      <c r="V90" s="60">
        <f t="shared" si="16"/>
        <v>16</v>
      </c>
      <c r="W90" s="60">
        <f t="shared" si="17"/>
        <v>14</v>
      </c>
      <c r="X90" s="60">
        <f t="shared" si="18"/>
        <v>12</v>
      </c>
      <c r="Y90" s="60">
        <f t="shared" si="19"/>
        <v>11</v>
      </c>
      <c r="Z90" s="60">
        <f t="shared" si="20"/>
        <v>10</v>
      </c>
      <c r="AA90" s="60">
        <f t="shared" si="21"/>
        <v>8</v>
      </c>
      <c r="AB90" s="60">
        <f t="shared" si="22"/>
        <v>6</v>
      </c>
      <c r="AC90" s="60">
        <f t="shared" si="23"/>
        <v>4</v>
      </c>
      <c r="AD90" s="60">
        <f t="shared" si="24"/>
        <v>2</v>
      </c>
      <c r="AE90" s="60">
        <f t="shared" si="25"/>
        <v>0</v>
      </c>
      <c r="AG90" s="60" cm="1">
        <f t="array" aca="1" ref="AG90" ca="1">SQRT(SUMSQ(_xlfn._xlws.FILTER(S90:AE90,ISNUMBER(S90:AE90)))/COUNT(_xlfn._xlws.FILTER(S90:AE90,ISNUMBER(S90:AE90))))</f>
        <v>10.267261887507626</v>
      </c>
    </row>
    <row r="91" spans="3:33" x14ac:dyDescent="0.2">
      <c r="C91" s="60" t="s">
        <v>244</v>
      </c>
      <c r="D91" s="60">
        <v>0</v>
      </c>
      <c r="E91" s="60">
        <v>2</v>
      </c>
      <c r="F91" s="60">
        <v>4</v>
      </c>
      <c r="G91" s="60">
        <v>6</v>
      </c>
      <c r="H91" s="60">
        <v>-14</v>
      </c>
      <c r="I91" s="60">
        <v>-12</v>
      </c>
      <c r="J91" s="60">
        <v>-10</v>
      </c>
      <c r="K91" s="60">
        <v>-8</v>
      </c>
      <c r="L91" s="60">
        <v>-6</v>
      </c>
      <c r="M91" s="60">
        <v>16</v>
      </c>
      <c r="N91" s="60">
        <v>18</v>
      </c>
      <c r="O91" s="60">
        <v>-2</v>
      </c>
      <c r="P91" s="60">
        <v>0</v>
      </c>
      <c r="S91" s="60" t="e">
        <f t="shared" ca="1" si="13"/>
        <v>#REF!</v>
      </c>
      <c r="T91" s="60">
        <f t="shared" si="14"/>
        <v>-2</v>
      </c>
      <c r="U91" s="60">
        <f t="shared" si="15"/>
        <v>-4</v>
      </c>
      <c r="V91" s="60">
        <f t="shared" si="16"/>
        <v>-6</v>
      </c>
      <c r="W91" s="60">
        <f t="shared" si="17"/>
        <v>14</v>
      </c>
      <c r="X91" s="60">
        <f t="shared" si="18"/>
        <v>12</v>
      </c>
      <c r="Y91" s="60">
        <f t="shared" si="19"/>
        <v>10</v>
      </c>
      <c r="Z91" s="60">
        <f t="shared" si="20"/>
        <v>8</v>
      </c>
      <c r="AA91" s="60">
        <f t="shared" si="21"/>
        <v>6</v>
      </c>
      <c r="AB91" s="60">
        <f t="shared" si="22"/>
        <v>-16</v>
      </c>
      <c r="AC91" s="60">
        <f t="shared" si="23"/>
        <v>-18</v>
      </c>
      <c r="AD91" s="60">
        <f t="shared" si="24"/>
        <v>2</v>
      </c>
      <c r="AE91" s="60">
        <f t="shared" si="25"/>
        <v>0</v>
      </c>
      <c r="AG91" s="60" cm="1">
        <f t="array" aca="1" ref="AG91" ca="1">SQRT(SUMSQ(_xlfn._xlws.FILTER(S91:AE91,ISNUMBER(S91:AE91)))/COUNT(_xlfn._xlws.FILTER(S91:AE91,ISNUMBER(S91:AE91))))</f>
        <v>9.9163165204290102</v>
      </c>
    </row>
    <row r="92" spans="3:33" x14ac:dyDescent="0.2">
      <c r="C92" s="60" t="s">
        <v>245</v>
      </c>
      <c r="D92" s="60">
        <v>0</v>
      </c>
      <c r="E92" s="60">
        <v>2</v>
      </c>
      <c r="F92" s="60">
        <v>4</v>
      </c>
      <c r="G92" s="60">
        <v>-16</v>
      </c>
      <c r="H92" s="60">
        <v>-14</v>
      </c>
      <c r="I92" s="60">
        <v>-12</v>
      </c>
      <c r="J92" s="60">
        <v>-10</v>
      </c>
      <c r="K92" s="60">
        <v>-10</v>
      </c>
      <c r="L92" s="60">
        <v>-8</v>
      </c>
      <c r="M92" s="60">
        <v>-6</v>
      </c>
      <c r="N92" s="60">
        <v>-4</v>
      </c>
      <c r="O92" s="60">
        <v>-2</v>
      </c>
      <c r="P92" s="60">
        <v>0</v>
      </c>
      <c r="S92" s="60" t="e">
        <f t="shared" ca="1" si="13"/>
        <v>#REF!</v>
      </c>
      <c r="T92" s="60">
        <f t="shared" si="14"/>
        <v>-2</v>
      </c>
      <c r="U92" s="60">
        <f t="shared" si="15"/>
        <v>-4</v>
      </c>
      <c r="V92" s="60">
        <f t="shared" si="16"/>
        <v>16</v>
      </c>
      <c r="W92" s="60">
        <f t="shared" si="17"/>
        <v>14</v>
      </c>
      <c r="X92" s="60">
        <f t="shared" si="18"/>
        <v>12</v>
      </c>
      <c r="Y92" s="60">
        <f t="shared" si="19"/>
        <v>10</v>
      </c>
      <c r="Z92" s="60">
        <f t="shared" si="20"/>
        <v>10</v>
      </c>
      <c r="AA92" s="60">
        <f t="shared" si="21"/>
        <v>8</v>
      </c>
      <c r="AB92" s="60">
        <f t="shared" si="22"/>
        <v>6</v>
      </c>
      <c r="AC92" s="60">
        <f t="shared" si="23"/>
        <v>4</v>
      </c>
      <c r="AD92" s="60">
        <f t="shared" si="24"/>
        <v>2</v>
      </c>
      <c r="AE92" s="60">
        <f t="shared" si="25"/>
        <v>0</v>
      </c>
      <c r="AG92" s="60" cm="1">
        <f t="array" aca="1" ref="AG92" ca="1">SQRT(SUMSQ(_xlfn._xlws.FILTER(S92:AE92,ISNUMBER(S92:AE92)))/COUNT(_xlfn._xlws.FILTER(S92:AE92,ISNUMBER(S92:AE92))))</f>
        <v>8.8317608663278477</v>
      </c>
    </row>
    <row r="93" spans="3:33" x14ac:dyDescent="0.2">
      <c r="C93" s="60" t="s">
        <v>246</v>
      </c>
      <c r="D93" s="60">
        <v>0</v>
      </c>
      <c r="E93" s="60">
        <v>2</v>
      </c>
      <c r="F93" s="60">
        <v>4</v>
      </c>
      <c r="G93" s="60">
        <v>-5</v>
      </c>
      <c r="H93" s="60">
        <v>-14</v>
      </c>
      <c r="I93" s="60">
        <v>-12</v>
      </c>
      <c r="J93" s="60">
        <v>-10</v>
      </c>
      <c r="K93" s="60">
        <v>-10</v>
      </c>
      <c r="L93" s="60">
        <v>-8</v>
      </c>
      <c r="M93" s="60">
        <v>-6</v>
      </c>
      <c r="N93" s="60">
        <v>-4</v>
      </c>
      <c r="O93" s="60">
        <v>-2</v>
      </c>
      <c r="P93" s="60">
        <v>0</v>
      </c>
      <c r="S93" s="60" t="e">
        <f t="shared" ca="1" si="13"/>
        <v>#REF!</v>
      </c>
      <c r="T93" s="60">
        <f t="shared" si="14"/>
        <v>-2</v>
      </c>
      <c r="U93" s="60">
        <f t="shared" si="15"/>
        <v>-4</v>
      </c>
      <c r="V93" s="60">
        <f t="shared" si="16"/>
        <v>5</v>
      </c>
      <c r="W93" s="60">
        <f t="shared" si="17"/>
        <v>14</v>
      </c>
      <c r="X93" s="60">
        <f t="shared" si="18"/>
        <v>12</v>
      </c>
      <c r="Y93" s="60">
        <f t="shared" si="19"/>
        <v>10</v>
      </c>
      <c r="Z93" s="60">
        <f t="shared" si="20"/>
        <v>10</v>
      </c>
      <c r="AA93" s="60">
        <f t="shared" si="21"/>
        <v>8</v>
      </c>
      <c r="AB93" s="60">
        <f t="shared" si="22"/>
        <v>6</v>
      </c>
      <c r="AC93" s="60">
        <f t="shared" si="23"/>
        <v>4</v>
      </c>
      <c r="AD93" s="60">
        <f t="shared" si="24"/>
        <v>2</v>
      </c>
      <c r="AE93" s="60">
        <f t="shared" si="25"/>
        <v>0</v>
      </c>
      <c r="AG93" s="60" cm="1">
        <f t="array" aca="1" ref="AG93" ca="1">SQRT(SUMSQ(_xlfn._xlws.FILTER(S93:AE93,ISNUMBER(S93:AE93)))/COUNT(_xlfn._xlws.FILTER(S93:AE93,ISNUMBER(S93:AE93))))</f>
        <v>7.6648548583779457</v>
      </c>
    </row>
    <row r="94" spans="3:33" x14ac:dyDescent="0.2">
      <c r="C94" s="60" t="s">
        <v>247</v>
      </c>
      <c r="D94" s="60">
        <v>0</v>
      </c>
      <c r="E94" s="60">
        <v>2</v>
      </c>
      <c r="F94" s="60">
        <v>4</v>
      </c>
      <c r="G94" s="60">
        <v>-6</v>
      </c>
      <c r="H94" s="60">
        <v>-16</v>
      </c>
      <c r="I94" s="60">
        <v>-14</v>
      </c>
      <c r="J94" s="60">
        <v>-12</v>
      </c>
      <c r="K94" s="60">
        <v>-10</v>
      </c>
      <c r="L94" s="60">
        <v>-8</v>
      </c>
      <c r="M94" s="60">
        <v>-6</v>
      </c>
      <c r="N94" s="60">
        <v>-4</v>
      </c>
      <c r="O94" s="60">
        <v>-2</v>
      </c>
      <c r="P94" s="60">
        <v>0</v>
      </c>
      <c r="S94" s="60" t="e">
        <f t="shared" ca="1" si="13"/>
        <v>#REF!</v>
      </c>
      <c r="T94" s="60">
        <f t="shared" si="14"/>
        <v>-2</v>
      </c>
      <c r="U94" s="60">
        <f t="shared" si="15"/>
        <v>-4</v>
      </c>
      <c r="V94" s="60">
        <f t="shared" si="16"/>
        <v>6</v>
      </c>
      <c r="W94" s="60">
        <f t="shared" si="17"/>
        <v>16</v>
      </c>
      <c r="X94" s="60">
        <f t="shared" si="18"/>
        <v>14</v>
      </c>
      <c r="Y94" s="60">
        <f t="shared" si="19"/>
        <v>12</v>
      </c>
      <c r="Z94" s="60">
        <f t="shared" si="20"/>
        <v>10</v>
      </c>
      <c r="AA94" s="60">
        <f t="shared" si="21"/>
        <v>8</v>
      </c>
      <c r="AB94" s="60">
        <f t="shared" si="22"/>
        <v>6</v>
      </c>
      <c r="AC94" s="60">
        <f t="shared" si="23"/>
        <v>4</v>
      </c>
      <c r="AD94" s="60">
        <f t="shared" si="24"/>
        <v>2</v>
      </c>
      <c r="AE94" s="60">
        <f t="shared" si="25"/>
        <v>0</v>
      </c>
      <c r="AG94" s="60" cm="1">
        <f t="array" aca="1" ref="AG94" ca="1">SQRT(SUMSQ(_xlfn._xlws.FILTER(S94:AE94,ISNUMBER(S94:AE94)))/COUNT(_xlfn._xlws.FILTER(S94:AE94,ISNUMBER(S94:AE94))))</f>
        <v>8.5244745683629475</v>
      </c>
    </row>
    <row r="95" spans="3:33" x14ac:dyDescent="0.2">
      <c r="C95" s="60" t="s">
        <v>248</v>
      </c>
      <c r="D95" s="60">
        <v>0</v>
      </c>
      <c r="E95" s="60">
        <v>1.9550000000000001</v>
      </c>
      <c r="F95" s="60">
        <v>3.91</v>
      </c>
      <c r="G95" s="60">
        <v>-5.8650000000000002</v>
      </c>
      <c r="H95" s="60">
        <v>-15.64</v>
      </c>
      <c r="I95" s="60">
        <v>-13.685</v>
      </c>
      <c r="J95" s="60">
        <v>-11.73</v>
      </c>
      <c r="K95" s="60">
        <v>-9.7750000000000004</v>
      </c>
      <c r="L95" s="60">
        <v>-7.82</v>
      </c>
      <c r="M95" s="60">
        <v>-5.8650000000000002</v>
      </c>
      <c r="N95" s="60">
        <v>-3.91</v>
      </c>
      <c r="O95" s="60">
        <v>-1.9550000000000001</v>
      </c>
      <c r="P95" s="60">
        <v>0</v>
      </c>
      <c r="S95" s="60" t="e">
        <f t="shared" ca="1" si="13"/>
        <v>#REF!</v>
      </c>
      <c r="T95" s="60">
        <f t="shared" si="14"/>
        <v>-1.9550000000000001</v>
      </c>
      <c r="U95" s="60">
        <f t="shared" si="15"/>
        <v>-3.91</v>
      </c>
      <c r="V95" s="60">
        <f t="shared" si="16"/>
        <v>5.8650000000000002</v>
      </c>
      <c r="W95" s="60">
        <f t="shared" si="17"/>
        <v>15.64</v>
      </c>
      <c r="X95" s="60">
        <f t="shared" si="18"/>
        <v>13.685</v>
      </c>
      <c r="Y95" s="60">
        <f t="shared" si="19"/>
        <v>11.73</v>
      </c>
      <c r="Z95" s="60">
        <f t="shared" si="20"/>
        <v>9.7750000000000004</v>
      </c>
      <c r="AA95" s="60">
        <f t="shared" si="21"/>
        <v>7.82</v>
      </c>
      <c r="AB95" s="60">
        <f t="shared" si="22"/>
        <v>5.8650000000000002</v>
      </c>
      <c r="AC95" s="60">
        <f t="shared" si="23"/>
        <v>3.91</v>
      </c>
      <c r="AD95" s="60">
        <f t="shared" si="24"/>
        <v>1.9550000000000001</v>
      </c>
      <c r="AE95" s="60">
        <f t="shared" si="25"/>
        <v>0</v>
      </c>
      <c r="AG95" s="60" cm="1">
        <f t="array" aca="1" ref="AG95" ca="1">SQRT(SUMSQ(_xlfn._xlws.FILTER(S95:AE95,ISNUMBER(S95:AE95)))/COUNT(_xlfn._xlws.FILTER(S95:AE95,ISNUMBER(S95:AE95))))</f>
        <v>8.3326738905747817</v>
      </c>
    </row>
    <row r="96" spans="3:33" x14ac:dyDescent="0.2">
      <c r="C96" s="60" t="s">
        <v>249</v>
      </c>
      <c r="D96" s="60">
        <v>0</v>
      </c>
      <c r="E96" s="60">
        <v>2</v>
      </c>
      <c r="F96" s="60">
        <v>4</v>
      </c>
      <c r="G96" s="60">
        <v>-8</v>
      </c>
      <c r="H96" s="60">
        <v>-16</v>
      </c>
      <c r="I96" s="60">
        <v>-14</v>
      </c>
      <c r="J96" s="60">
        <v>-12</v>
      </c>
      <c r="K96" s="60">
        <v>-10</v>
      </c>
      <c r="L96" s="60">
        <v>-8</v>
      </c>
      <c r="M96" s="60">
        <v>-6</v>
      </c>
      <c r="N96" s="60">
        <v>-4</v>
      </c>
      <c r="O96" s="60">
        <v>-2</v>
      </c>
      <c r="P96" s="60">
        <v>0</v>
      </c>
      <c r="S96" s="60" t="e">
        <f t="shared" ca="1" si="13"/>
        <v>#REF!</v>
      </c>
      <c r="T96" s="60">
        <f t="shared" si="14"/>
        <v>-2</v>
      </c>
      <c r="U96" s="60">
        <f t="shared" si="15"/>
        <v>-4</v>
      </c>
      <c r="V96" s="60">
        <f t="shared" si="16"/>
        <v>8</v>
      </c>
      <c r="W96" s="60">
        <f t="shared" si="17"/>
        <v>16</v>
      </c>
      <c r="X96" s="60">
        <f t="shared" si="18"/>
        <v>14</v>
      </c>
      <c r="Y96" s="60">
        <f t="shared" si="19"/>
        <v>12</v>
      </c>
      <c r="Z96" s="60">
        <f t="shared" si="20"/>
        <v>10</v>
      </c>
      <c r="AA96" s="60">
        <f t="shared" si="21"/>
        <v>8</v>
      </c>
      <c r="AB96" s="60">
        <f t="shared" si="22"/>
        <v>6</v>
      </c>
      <c r="AC96" s="60">
        <f t="shared" si="23"/>
        <v>4</v>
      </c>
      <c r="AD96" s="60">
        <f t="shared" si="24"/>
        <v>2</v>
      </c>
      <c r="AE96" s="60">
        <f t="shared" si="25"/>
        <v>0</v>
      </c>
      <c r="AG96" s="60" cm="1">
        <f t="array" aca="1" ref="AG96" ca="1">SQRT(SUMSQ(_xlfn._xlws.FILTER(S96:AE96,ISNUMBER(S96:AE96)))/COUNT(_xlfn._xlws.FILTER(S96:AE96,ISNUMBER(S96:AE96))))</f>
        <v>8.6602540378443873</v>
      </c>
    </row>
    <row r="97" spans="3:33" x14ac:dyDescent="0.2">
      <c r="C97" s="60" t="s">
        <v>250</v>
      </c>
      <c r="D97" s="60">
        <v>0</v>
      </c>
      <c r="E97" s="60">
        <v>-2</v>
      </c>
      <c r="F97" s="60">
        <v>-5</v>
      </c>
      <c r="G97" s="60">
        <v>-10</v>
      </c>
      <c r="H97" s="60">
        <v>-14</v>
      </c>
      <c r="I97" s="60">
        <v>-12</v>
      </c>
      <c r="J97" s="60">
        <v>-10</v>
      </c>
      <c r="K97" s="60">
        <v>-10</v>
      </c>
      <c r="L97" s="60">
        <v>-8</v>
      </c>
      <c r="M97" s="60">
        <v>-6</v>
      </c>
      <c r="N97" s="60">
        <v>-4</v>
      </c>
      <c r="O97" s="60">
        <v>-2</v>
      </c>
      <c r="P97" s="60">
        <v>0</v>
      </c>
      <c r="S97" s="60" t="e">
        <f t="shared" ca="1" si="13"/>
        <v>#REF!</v>
      </c>
      <c r="T97" s="60">
        <f t="shared" si="14"/>
        <v>2</v>
      </c>
      <c r="U97" s="60">
        <f t="shared" si="15"/>
        <v>5</v>
      </c>
      <c r="V97" s="60">
        <f t="shared" si="16"/>
        <v>10</v>
      </c>
      <c r="W97" s="60">
        <f t="shared" si="17"/>
        <v>14</v>
      </c>
      <c r="X97" s="60">
        <f t="shared" si="18"/>
        <v>12</v>
      </c>
      <c r="Y97" s="60">
        <f t="shared" si="19"/>
        <v>10</v>
      </c>
      <c r="Z97" s="60">
        <f t="shared" si="20"/>
        <v>10</v>
      </c>
      <c r="AA97" s="60">
        <f t="shared" si="21"/>
        <v>8</v>
      </c>
      <c r="AB97" s="60">
        <f t="shared" si="22"/>
        <v>6</v>
      </c>
      <c r="AC97" s="60">
        <f t="shared" si="23"/>
        <v>4</v>
      </c>
      <c r="AD97" s="60">
        <f t="shared" si="24"/>
        <v>2</v>
      </c>
      <c r="AE97" s="60">
        <f t="shared" si="25"/>
        <v>0</v>
      </c>
      <c r="AG97" s="60" cm="1">
        <f t="array" aca="1" ref="AG97" ca="1">SQRT(SUMSQ(_xlfn._xlws.FILTER(S97:AE97,ISNUMBER(S97:AE97)))/COUNT(_xlfn._xlws.FILTER(S97:AE97,ISNUMBER(S97:AE97))))</f>
        <v>8.1086373701134278</v>
      </c>
    </row>
    <row r="98" spans="3:33" x14ac:dyDescent="0.2">
      <c r="C98" s="60" t="s">
        <v>251</v>
      </c>
      <c r="D98" s="60">
        <v>0</v>
      </c>
      <c r="E98" s="60">
        <v>-3</v>
      </c>
      <c r="F98" s="60">
        <v>-7</v>
      </c>
      <c r="G98" s="60">
        <v>-10</v>
      </c>
      <c r="H98" s="60">
        <v>-14</v>
      </c>
      <c r="I98" s="60">
        <v>-12</v>
      </c>
      <c r="J98" s="60">
        <v>-10</v>
      </c>
      <c r="K98" s="60">
        <v>-10</v>
      </c>
      <c r="L98" s="60">
        <v>-8</v>
      </c>
      <c r="M98" s="60">
        <v>-6</v>
      </c>
      <c r="N98" s="60">
        <v>-4</v>
      </c>
      <c r="O98" s="60">
        <v>-2</v>
      </c>
      <c r="P98" s="60">
        <v>0</v>
      </c>
      <c r="S98" s="60" t="e">
        <f t="shared" ca="1" si="13"/>
        <v>#REF!</v>
      </c>
      <c r="T98" s="60">
        <f t="shared" si="14"/>
        <v>3</v>
      </c>
      <c r="U98" s="60">
        <f t="shared" si="15"/>
        <v>7</v>
      </c>
      <c r="V98" s="60">
        <f t="shared" si="16"/>
        <v>10</v>
      </c>
      <c r="W98" s="60">
        <f t="shared" si="17"/>
        <v>14</v>
      </c>
      <c r="X98" s="60">
        <f t="shared" si="18"/>
        <v>12</v>
      </c>
      <c r="Y98" s="60">
        <f t="shared" si="19"/>
        <v>10</v>
      </c>
      <c r="Z98" s="60">
        <f t="shared" si="20"/>
        <v>10</v>
      </c>
      <c r="AA98" s="60">
        <f t="shared" si="21"/>
        <v>8</v>
      </c>
      <c r="AB98" s="60">
        <f t="shared" si="22"/>
        <v>6</v>
      </c>
      <c r="AC98" s="60">
        <f t="shared" si="23"/>
        <v>4</v>
      </c>
      <c r="AD98" s="60">
        <f t="shared" si="24"/>
        <v>2</v>
      </c>
      <c r="AE98" s="60">
        <f t="shared" si="25"/>
        <v>0</v>
      </c>
      <c r="AG98" s="60" cm="1">
        <f t="array" aca="1" ref="AG98" ca="1">SQRT(SUMSQ(_xlfn._xlws.FILTER(S98:AE98,ISNUMBER(S98:AE98)))/COUNT(_xlfn._xlws.FILTER(S98:AE98,ISNUMBER(S98:AE98))))</f>
        <v>8.2563107176672244</v>
      </c>
    </row>
    <row r="99" spans="3:33" x14ac:dyDescent="0.2">
      <c r="C99" s="60" t="s">
        <v>252</v>
      </c>
      <c r="D99" s="60">
        <v>0</v>
      </c>
      <c r="E99" s="60">
        <v>-3</v>
      </c>
      <c r="F99" s="60">
        <v>-7</v>
      </c>
      <c r="G99" s="60">
        <v>-10</v>
      </c>
      <c r="H99" s="60">
        <v>-14</v>
      </c>
      <c r="I99" s="60">
        <v>-12</v>
      </c>
      <c r="J99" s="60">
        <v>-12</v>
      </c>
      <c r="K99" s="60">
        <v>-10</v>
      </c>
      <c r="L99" s="60">
        <v>-8</v>
      </c>
      <c r="M99" s="60">
        <v>-6</v>
      </c>
      <c r="N99" s="60">
        <v>-4</v>
      </c>
      <c r="O99" s="60">
        <v>-2</v>
      </c>
      <c r="P99" s="60">
        <v>0</v>
      </c>
      <c r="S99" s="60" t="e">
        <f t="shared" ca="1" si="13"/>
        <v>#REF!</v>
      </c>
      <c r="T99" s="60">
        <f t="shared" si="14"/>
        <v>3</v>
      </c>
      <c r="U99" s="60">
        <f t="shared" si="15"/>
        <v>7</v>
      </c>
      <c r="V99" s="60">
        <f t="shared" si="16"/>
        <v>10</v>
      </c>
      <c r="W99" s="60">
        <f t="shared" si="17"/>
        <v>14</v>
      </c>
      <c r="X99" s="60">
        <f t="shared" si="18"/>
        <v>12</v>
      </c>
      <c r="Y99" s="60">
        <f t="shared" si="19"/>
        <v>12</v>
      </c>
      <c r="Z99" s="60">
        <f t="shared" si="20"/>
        <v>10</v>
      </c>
      <c r="AA99" s="60">
        <f t="shared" si="21"/>
        <v>8</v>
      </c>
      <c r="AB99" s="60">
        <f t="shared" si="22"/>
        <v>6</v>
      </c>
      <c r="AC99" s="60">
        <f t="shared" si="23"/>
        <v>4</v>
      </c>
      <c r="AD99" s="60">
        <f t="shared" si="24"/>
        <v>2</v>
      </c>
      <c r="AE99" s="60">
        <f t="shared" si="25"/>
        <v>0</v>
      </c>
      <c r="AG99" s="60" cm="1">
        <f t="array" aca="1" ref="AG99" ca="1">SQRT(SUMSQ(_xlfn._xlws.FILTER(S99:AE99,ISNUMBER(S99:AE99)))/COUNT(_xlfn._xlws.FILTER(S99:AE99,ISNUMBER(S99:AE99))))</f>
        <v>8.4754547567274123</v>
      </c>
    </row>
    <row r="100" spans="3:33" x14ac:dyDescent="0.2">
      <c r="C100" s="60" t="s">
        <v>253</v>
      </c>
      <c r="D100" s="60">
        <v>0</v>
      </c>
      <c r="E100" s="60">
        <v>-3.4220000000000002</v>
      </c>
      <c r="F100" s="60">
        <v>-6.843</v>
      </c>
      <c r="G100" s="60">
        <v>-10.263999999999999</v>
      </c>
      <c r="H100" s="60">
        <v>-13.686</v>
      </c>
      <c r="I100" s="60">
        <v>-11.731</v>
      </c>
      <c r="J100" s="60">
        <v>-11.73</v>
      </c>
      <c r="K100" s="60">
        <v>-9.7750000000000004</v>
      </c>
      <c r="L100" s="60">
        <v>-7.82</v>
      </c>
      <c r="M100" s="60">
        <v>-5.8650000000000002</v>
      </c>
      <c r="N100" s="60">
        <v>-3.91</v>
      </c>
      <c r="O100" s="60">
        <v>-1.9550000000000001</v>
      </c>
      <c r="P100" s="60">
        <v>0</v>
      </c>
      <c r="S100" s="60" t="e">
        <f t="shared" ca="1" si="13"/>
        <v>#REF!</v>
      </c>
      <c r="T100" s="60">
        <f t="shared" si="14"/>
        <v>3.4220000000000002</v>
      </c>
      <c r="U100" s="60">
        <f t="shared" si="15"/>
        <v>6.843</v>
      </c>
      <c r="V100" s="60">
        <f t="shared" si="16"/>
        <v>10.263999999999999</v>
      </c>
      <c r="W100" s="60">
        <f t="shared" si="17"/>
        <v>13.686</v>
      </c>
      <c r="X100" s="60">
        <f t="shared" si="18"/>
        <v>11.731</v>
      </c>
      <c r="Y100" s="60">
        <f t="shared" si="19"/>
        <v>11.73</v>
      </c>
      <c r="Z100" s="60">
        <f t="shared" si="20"/>
        <v>9.7750000000000004</v>
      </c>
      <c r="AA100" s="60">
        <f t="shared" si="21"/>
        <v>7.82</v>
      </c>
      <c r="AB100" s="60">
        <f t="shared" si="22"/>
        <v>5.8650000000000002</v>
      </c>
      <c r="AC100" s="60">
        <f t="shared" si="23"/>
        <v>3.91</v>
      </c>
      <c r="AD100" s="60">
        <f t="shared" si="24"/>
        <v>1.9550000000000001</v>
      </c>
      <c r="AE100" s="60">
        <f t="shared" si="25"/>
        <v>0</v>
      </c>
      <c r="AG100" s="60" cm="1">
        <f t="array" aca="1" ref="AG100" ca="1">SQRT(SUMSQ(_xlfn._xlws.FILTER(S100:AE100,ISNUMBER(S100:AE100)))/COUNT(_xlfn._xlws.FILTER(S100:AE100,ISNUMBER(S100:AE100))))</f>
        <v>8.3497188625326384</v>
      </c>
    </row>
    <row r="101" spans="3:33" x14ac:dyDescent="0.2">
      <c r="C101" s="60" t="s">
        <v>520</v>
      </c>
      <c r="D101" s="60">
        <v>0</v>
      </c>
      <c r="E101" s="60">
        <v>-2</v>
      </c>
      <c r="F101" s="60">
        <v>-5</v>
      </c>
      <c r="G101" s="60">
        <v>-7</v>
      </c>
      <c r="H101" s="60">
        <v>-10</v>
      </c>
      <c r="I101" s="60">
        <v>-8</v>
      </c>
      <c r="J101" s="60">
        <v>-10</v>
      </c>
      <c r="K101" s="60">
        <v>-8</v>
      </c>
      <c r="L101" s="60">
        <v>-6</v>
      </c>
      <c r="M101" s="60">
        <v>-4</v>
      </c>
      <c r="N101" s="60">
        <v>-4</v>
      </c>
      <c r="O101" s="60">
        <v>-2</v>
      </c>
      <c r="P101" s="60">
        <v>0</v>
      </c>
      <c r="S101" s="60" t="e">
        <f t="shared" ca="1" si="13"/>
        <v>#REF!</v>
      </c>
      <c r="T101" s="60">
        <f t="shared" si="14"/>
        <v>2</v>
      </c>
      <c r="U101" s="60">
        <f t="shared" si="15"/>
        <v>5</v>
      </c>
      <c r="V101" s="60">
        <f t="shared" si="16"/>
        <v>7</v>
      </c>
      <c r="W101" s="60">
        <f t="shared" si="17"/>
        <v>10</v>
      </c>
      <c r="X101" s="60">
        <f t="shared" si="18"/>
        <v>8</v>
      </c>
      <c r="Y101" s="60">
        <f t="shared" si="19"/>
        <v>10</v>
      </c>
      <c r="Z101" s="60">
        <f t="shared" si="20"/>
        <v>8</v>
      </c>
      <c r="AA101" s="60">
        <f t="shared" si="21"/>
        <v>6</v>
      </c>
      <c r="AB101" s="60">
        <f t="shared" si="22"/>
        <v>4</v>
      </c>
      <c r="AC101" s="60">
        <f t="shared" si="23"/>
        <v>4</v>
      </c>
      <c r="AD101" s="60">
        <f t="shared" si="24"/>
        <v>2</v>
      </c>
      <c r="AE101" s="60">
        <f t="shared" si="25"/>
        <v>0</v>
      </c>
      <c r="AG101" s="60" cm="1">
        <f t="array" aca="1" ref="AG101" ca="1">SQRT(SUMSQ(_xlfn._xlws.FILTER(S101:AE101,ISNUMBER(S101:AE101)))/COUNT(_xlfn._xlws.FILTER(S101:AE101,ISNUMBER(S101:AE101))))</f>
        <v>6.3113654095871627</v>
      </c>
    </row>
    <row r="102" spans="3:33" x14ac:dyDescent="0.2">
      <c r="C102" s="60" t="s">
        <v>254</v>
      </c>
      <c r="D102" s="60">
        <v>0</v>
      </c>
      <c r="E102" s="60">
        <v>-2</v>
      </c>
      <c r="F102" s="60">
        <v>-5</v>
      </c>
      <c r="G102" s="60">
        <v>-7</v>
      </c>
      <c r="H102" s="60">
        <v>-10</v>
      </c>
      <c r="I102" s="60">
        <v>-8</v>
      </c>
      <c r="J102" s="60">
        <v>-10</v>
      </c>
      <c r="K102" s="60">
        <v>-10</v>
      </c>
      <c r="L102" s="60">
        <v>-8</v>
      </c>
      <c r="M102" s="60">
        <v>-6</v>
      </c>
      <c r="N102" s="60">
        <v>-4</v>
      </c>
      <c r="O102" s="60">
        <v>-2</v>
      </c>
      <c r="P102" s="60">
        <v>0</v>
      </c>
      <c r="S102" s="60" t="e">
        <f t="shared" ca="1" si="13"/>
        <v>#REF!</v>
      </c>
      <c r="T102" s="60">
        <f t="shared" si="14"/>
        <v>2</v>
      </c>
      <c r="U102" s="60">
        <f t="shared" si="15"/>
        <v>5</v>
      </c>
      <c r="V102" s="60">
        <f t="shared" si="16"/>
        <v>7</v>
      </c>
      <c r="W102" s="60">
        <f t="shared" si="17"/>
        <v>10</v>
      </c>
      <c r="X102" s="60">
        <f t="shared" si="18"/>
        <v>8</v>
      </c>
      <c r="Y102" s="60">
        <f t="shared" si="19"/>
        <v>10</v>
      </c>
      <c r="Z102" s="60">
        <f t="shared" si="20"/>
        <v>10</v>
      </c>
      <c r="AA102" s="60">
        <f t="shared" si="21"/>
        <v>8</v>
      </c>
      <c r="AB102" s="60">
        <f t="shared" si="22"/>
        <v>6</v>
      </c>
      <c r="AC102" s="60">
        <f t="shared" si="23"/>
        <v>4</v>
      </c>
      <c r="AD102" s="60">
        <f t="shared" si="24"/>
        <v>2</v>
      </c>
      <c r="AE102" s="60">
        <f t="shared" si="25"/>
        <v>0</v>
      </c>
      <c r="AG102" s="60" cm="1">
        <f t="array" aca="1" ref="AG102" ca="1">SQRT(SUMSQ(_xlfn._xlws.FILTER(S102:AE102,ISNUMBER(S102:AE102)))/COUNT(_xlfn._xlws.FILTER(S102:AE102,ISNUMBER(S102:AE102))))</f>
        <v>6.8434883892159366</v>
      </c>
    </row>
    <row r="103" spans="3:33" x14ac:dyDescent="0.2">
      <c r="C103" s="60" t="s">
        <v>255</v>
      </c>
      <c r="D103" s="60">
        <v>0</v>
      </c>
      <c r="E103" s="60">
        <v>-3</v>
      </c>
      <c r="F103" s="60">
        <v>-7</v>
      </c>
      <c r="G103" s="60">
        <v>-10</v>
      </c>
      <c r="H103" s="60">
        <v>-14</v>
      </c>
      <c r="I103" s="60">
        <v>-17</v>
      </c>
      <c r="J103" s="60">
        <v>-20</v>
      </c>
      <c r="K103" s="60">
        <v>-24</v>
      </c>
      <c r="L103" s="60">
        <v>-27</v>
      </c>
      <c r="M103" s="60">
        <v>-9</v>
      </c>
      <c r="N103" s="60">
        <v>-3</v>
      </c>
      <c r="O103" s="60">
        <v>3</v>
      </c>
      <c r="P103" s="60">
        <v>0</v>
      </c>
      <c r="S103" s="60" t="e">
        <f t="shared" ca="1" si="13"/>
        <v>#REF!</v>
      </c>
      <c r="T103" s="60">
        <f t="shared" si="14"/>
        <v>3</v>
      </c>
      <c r="U103" s="60">
        <f t="shared" si="15"/>
        <v>7</v>
      </c>
      <c r="V103" s="60">
        <f t="shared" si="16"/>
        <v>10</v>
      </c>
      <c r="W103" s="60">
        <f t="shared" si="17"/>
        <v>14</v>
      </c>
      <c r="X103" s="60">
        <f t="shared" si="18"/>
        <v>17</v>
      </c>
      <c r="Y103" s="60">
        <f t="shared" si="19"/>
        <v>20</v>
      </c>
      <c r="Z103" s="60">
        <f t="shared" si="20"/>
        <v>24</v>
      </c>
      <c r="AA103" s="60">
        <f t="shared" si="21"/>
        <v>27</v>
      </c>
      <c r="AB103" s="60">
        <f t="shared" si="22"/>
        <v>9</v>
      </c>
      <c r="AC103" s="60">
        <f t="shared" si="23"/>
        <v>3</v>
      </c>
      <c r="AD103" s="60">
        <f t="shared" si="24"/>
        <v>-3</v>
      </c>
      <c r="AE103" s="60">
        <f t="shared" si="25"/>
        <v>0</v>
      </c>
      <c r="AG103" s="60" cm="1">
        <f t="array" aca="1" ref="AG103" ca="1">SQRT(SUMSQ(_xlfn._xlws.FILTER(S103:AE103,ISNUMBER(S103:AE103)))/COUNT(_xlfn._xlws.FILTER(S103:AE103,ISNUMBER(S103:AE103))))</f>
        <v>14.279939308927984</v>
      </c>
    </row>
    <row r="104" spans="3:33" x14ac:dyDescent="0.2">
      <c r="C104" s="60" t="s">
        <v>256</v>
      </c>
      <c r="D104" s="60">
        <v>0</v>
      </c>
      <c r="E104" s="60">
        <v>-3</v>
      </c>
      <c r="F104" s="60">
        <v>-7</v>
      </c>
      <c r="G104" s="60">
        <v>-10</v>
      </c>
      <c r="H104" s="60">
        <v>-14</v>
      </c>
      <c r="I104" s="60">
        <v>-17</v>
      </c>
      <c r="J104" s="60">
        <v>-15</v>
      </c>
      <c r="K104" s="60">
        <v>-13</v>
      </c>
      <c r="L104" s="60">
        <v>-11</v>
      </c>
      <c r="M104" s="60">
        <v>-6</v>
      </c>
      <c r="N104" s="60">
        <v>-4</v>
      </c>
      <c r="O104" s="60">
        <v>-2</v>
      </c>
      <c r="P104" s="60">
        <v>0</v>
      </c>
      <c r="S104" s="60" t="e">
        <f t="shared" ca="1" si="13"/>
        <v>#REF!</v>
      </c>
      <c r="T104" s="60">
        <f t="shared" si="14"/>
        <v>3</v>
      </c>
      <c r="U104" s="60">
        <f t="shared" si="15"/>
        <v>7</v>
      </c>
      <c r="V104" s="60">
        <f t="shared" si="16"/>
        <v>10</v>
      </c>
      <c r="W104" s="60">
        <f t="shared" si="17"/>
        <v>14</v>
      </c>
      <c r="X104" s="60">
        <f t="shared" si="18"/>
        <v>17</v>
      </c>
      <c r="Y104" s="60">
        <f t="shared" si="19"/>
        <v>15</v>
      </c>
      <c r="Z104" s="60">
        <f t="shared" si="20"/>
        <v>13</v>
      </c>
      <c r="AA104" s="60">
        <f t="shared" si="21"/>
        <v>11</v>
      </c>
      <c r="AB104" s="60">
        <f t="shared" si="22"/>
        <v>6</v>
      </c>
      <c r="AC104" s="60">
        <f t="shared" si="23"/>
        <v>4</v>
      </c>
      <c r="AD104" s="60">
        <f t="shared" si="24"/>
        <v>2</v>
      </c>
      <c r="AE104" s="60">
        <f t="shared" si="25"/>
        <v>0</v>
      </c>
      <c r="AG104" s="60" cm="1">
        <f t="array" aca="1" ref="AG104" ca="1">SQRT(SUMSQ(_xlfn._xlws.FILTER(S104:AE104,ISNUMBER(S104:AE104)))/COUNT(_xlfn._xlws.FILTER(S104:AE104,ISNUMBER(S104:AE104))))</f>
        <v>10.058164179743075</v>
      </c>
    </row>
    <row r="105" spans="3:33" x14ac:dyDescent="0.2">
      <c r="C105" s="60" t="s">
        <v>257</v>
      </c>
      <c r="D105" s="60">
        <v>0</v>
      </c>
      <c r="E105" s="60">
        <v>-3</v>
      </c>
      <c r="F105" s="60">
        <v>-7</v>
      </c>
      <c r="G105" s="60">
        <v>-10</v>
      </c>
      <c r="H105" s="60">
        <v>-14</v>
      </c>
      <c r="I105" s="60">
        <v>-17</v>
      </c>
      <c r="J105" s="60">
        <v>-20</v>
      </c>
      <c r="K105" s="60">
        <v>-19</v>
      </c>
      <c r="L105" s="60">
        <v>-17</v>
      </c>
      <c r="M105" s="60">
        <v>-9</v>
      </c>
      <c r="N105" s="60">
        <v>-4</v>
      </c>
      <c r="O105" s="60">
        <v>-2</v>
      </c>
      <c r="P105" s="60">
        <v>0</v>
      </c>
      <c r="S105" s="60" t="e">
        <f t="shared" ca="1" si="13"/>
        <v>#REF!</v>
      </c>
      <c r="T105" s="60">
        <f t="shared" si="14"/>
        <v>3</v>
      </c>
      <c r="U105" s="60">
        <f t="shared" si="15"/>
        <v>7</v>
      </c>
      <c r="V105" s="60">
        <f t="shared" si="16"/>
        <v>10</v>
      </c>
      <c r="W105" s="60">
        <f t="shared" si="17"/>
        <v>14</v>
      </c>
      <c r="X105" s="60">
        <f t="shared" si="18"/>
        <v>17</v>
      </c>
      <c r="Y105" s="60">
        <f t="shared" si="19"/>
        <v>20</v>
      </c>
      <c r="Z105" s="60">
        <f t="shared" si="20"/>
        <v>19</v>
      </c>
      <c r="AA105" s="60">
        <f t="shared" si="21"/>
        <v>17</v>
      </c>
      <c r="AB105" s="60">
        <f t="shared" si="22"/>
        <v>9</v>
      </c>
      <c r="AC105" s="60">
        <f t="shared" si="23"/>
        <v>4</v>
      </c>
      <c r="AD105" s="60">
        <f t="shared" si="24"/>
        <v>2</v>
      </c>
      <c r="AE105" s="60">
        <f t="shared" si="25"/>
        <v>0</v>
      </c>
      <c r="AG105" s="60" cm="1">
        <f t="array" aca="1" ref="AG105" ca="1">SQRT(SUMSQ(_xlfn._xlws.FILTER(S105:AE105,ISNUMBER(S105:AE105)))/COUNT(_xlfn._xlws.FILTER(S105:AE105,ISNUMBER(S105:AE105))))</f>
        <v>12.227019260637483</v>
      </c>
    </row>
    <row r="106" spans="3:33" x14ac:dyDescent="0.2">
      <c r="C106" s="60" t="s">
        <v>258</v>
      </c>
      <c r="D106" s="60">
        <v>0</v>
      </c>
      <c r="E106" s="60">
        <v>-2</v>
      </c>
      <c r="F106" s="60">
        <v>-5</v>
      </c>
      <c r="G106" s="60">
        <v>-7</v>
      </c>
      <c r="H106" s="60">
        <v>-9</v>
      </c>
      <c r="I106" s="60">
        <v>-12</v>
      </c>
      <c r="J106" s="60">
        <v>-12</v>
      </c>
      <c r="K106" s="60">
        <v>-12</v>
      </c>
      <c r="L106" s="60">
        <v>-12</v>
      </c>
      <c r="M106" s="60">
        <v>0</v>
      </c>
      <c r="N106" s="60">
        <v>5</v>
      </c>
      <c r="O106" s="60">
        <v>2</v>
      </c>
      <c r="P106" s="60">
        <v>0</v>
      </c>
      <c r="S106" s="60" t="e">
        <f t="shared" ca="1" si="13"/>
        <v>#REF!</v>
      </c>
      <c r="T106" s="60">
        <f t="shared" si="14"/>
        <v>2</v>
      </c>
      <c r="U106" s="60">
        <f t="shared" si="15"/>
        <v>5</v>
      </c>
      <c r="V106" s="60">
        <f t="shared" si="16"/>
        <v>7</v>
      </c>
      <c r="W106" s="60">
        <f t="shared" si="17"/>
        <v>9</v>
      </c>
      <c r="X106" s="60">
        <f t="shared" si="18"/>
        <v>12</v>
      </c>
      <c r="Y106" s="60">
        <f t="shared" si="19"/>
        <v>12</v>
      </c>
      <c r="Z106" s="60">
        <f t="shared" si="20"/>
        <v>12</v>
      </c>
      <c r="AA106" s="60">
        <f t="shared" si="21"/>
        <v>12</v>
      </c>
      <c r="AB106" s="60">
        <f t="shared" si="22"/>
        <v>0</v>
      </c>
      <c r="AC106" s="60">
        <f t="shared" si="23"/>
        <v>-5</v>
      </c>
      <c r="AD106" s="60">
        <f t="shared" si="24"/>
        <v>-2</v>
      </c>
      <c r="AE106" s="60">
        <f t="shared" si="25"/>
        <v>0</v>
      </c>
      <c r="AG106" s="60" cm="1">
        <f t="array" aca="1" ref="AG106" ca="1">SQRT(SUMSQ(_xlfn._xlws.FILTER(S106:AE106,ISNUMBER(S106:AE106)))/COUNT(_xlfn._xlws.FILTER(S106:AE106,ISNUMBER(S106:AE106))))</f>
        <v>7.9791394690572153</v>
      </c>
    </row>
    <row r="107" spans="3:33" x14ac:dyDescent="0.2">
      <c r="C107" s="60" t="s">
        <v>517</v>
      </c>
      <c r="D107" s="60">
        <v>0</v>
      </c>
      <c r="E107" s="60">
        <v>2</v>
      </c>
      <c r="F107" s="60">
        <v>-17</v>
      </c>
      <c r="G107" s="60">
        <v>-16</v>
      </c>
      <c r="H107" s="60">
        <v>-14</v>
      </c>
      <c r="I107" s="60">
        <v>-12</v>
      </c>
      <c r="J107" s="60">
        <v>-31</v>
      </c>
      <c r="K107" s="60">
        <v>-29</v>
      </c>
      <c r="L107" s="60">
        <v>-27</v>
      </c>
      <c r="M107" s="60">
        <v>16</v>
      </c>
      <c r="N107" s="60">
        <v>18</v>
      </c>
      <c r="O107" s="60">
        <v>-2</v>
      </c>
      <c r="P107" s="60">
        <v>0</v>
      </c>
      <c r="S107" s="60" t="e">
        <f t="shared" ca="1" si="13"/>
        <v>#REF!</v>
      </c>
      <c r="T107" s="60">
        <f t="shared" si="14"/>
        <v>-2</v>
      </c>
      <c r="U107" s="60">
        <f t="shared" si="15"/>
        <v>17</v>
      </c>
      <c r="V107" s="60">
        <f t="shared" si="16"/>
        <v>16</v>
      </c>
      <c r="W107" s="60">
        <f t="shared" si="17"/>
        <v>14</v>
      </c>
      <c r="X107" s="60">
        <f t="shared" si="18"/>
        <v>12</v>
      </c>
      <c r="Y107" s="60">
        <f t="shared" si="19"/>
        <v>31</v>
      </c>
      <c r="Z107" s="60">
        <f t="shared" si="20"/>
        <v>29</v>
      </c>
      <c r="AA107" s="60">
        <f t="shared" si="21"/>
        <v>27</v>
      </c>
      <c r="AB107" s="60">
        <f t="shared" si="22"/>
        <v>-16</v>
      </c>
      <c r="AC107" s="60">
        <f t="shared" si="23"/>
        <v>-18</v>
      </c>
      <c r="AD107" s="60">
        <f t="shared" si="24"/>
        <v>2</v>
      </c>
      <c r="AE107" s="60">
        <f t="shared" si="25"/>
        <v>0</v>
      </c>
      <c r="AG107" s="60" cm="1">
        <f t="array" aca="1" ref="AG107" ca="1">SQRT(SUMSQ(_xlfn._xlws.FILTER(S107:AE107,ISNUMBER(S107:AE107)))/COUNT(_xlfn._xlws.FILTER(S107:AE107,ISNUMBER(S107:AE107))))</f>
        <v>18.266545011760343</v>
      </c>
    </row>
    <row r="108" spans="3:33" x14ac:dyDescent="0.2">
      <c r="C108" s="60" t="s">
        <v>259</v>
      </c>
      <c r="D108" s="60">
        <v>0</v>
      </c>
      <c r="E108" s="60">
        <v>2</v>
      </c>
      <c r="F108" s="60">
        <v>-3</v>
      </c>
      <c r="G108" s="60">
        <v>-1</v>
      </c>
      <c r="H108" s="60">
        <v>1</v>
      </c>
      <c r="I108" s="60">
        <v>3</v>
      </c>
      <c r="J108" s="60">
        <v>5</v>
      </c>
      <c r="K108" s="60">
        <v>-15</v>
      </c>
      <c r="L108" s="60">
        <v>-13</v>
      </c>
      <c r="M108" s="60">
        <v>1</v>
      </c>
      <c r="N108" s="60">
        <v>3</v>
      </c>
      <c r="O108" s="60">
        <v>5</v>
      </c>
      <c r="P108" s="60">
        <v>0</v>
      </c>
      <c r="S108" s="60" t="e">
        <f t="shared" ca="1" si="13"/>
        <v>#REF!</v>
      </c>
      <c r="T108" s="60">
        <f t="shared" si="14"/>
        <v>-2</v>
      </c>
      <c r="U108" s="60">
        <f t="shared" si="15"/>
        <v>3</v>
      </c>
      <c r="V108" s="60">
        <f t="shared" si="16"/>
        <v>1</v>
      </c>
      <c r="W108" s="60">
        <f t="shared" si="17"/>
        <v>-1</v>
      </c>
      <c r="X108" s="60">
        <f t="shared" si="18"/>
        <v>-3</v>
      </c>
      <c r="Y108" s="60">
        <f t="shared" si="19"/>
        <v>-5</v>
      </c>
      <c r="Z108" s="60">
        <f t="shared" si="20"/>
        <v>15</v>
      </c>
      <c r="AA108" s="60">
        <f t="shared" si="21"/>
        <v>13</v>
      </c>
      <c r="AB108" s="60">
        <f t="shared" si="22"/>
        <v>-1</v>
      </c>
      <c r="AC108" s="60">
        <f t="shared" si="23"/>
        <v>-3</v>
      </c>
      <c r="AD108" s="60">
        <f t="shared" si="24"/>
        <v>-5</v>
      </c>
      <c r="AE108" s="60">
        <f t="shared" si="25"/>
        <v>0</v>
      </c>
      <c r="AG108" s="60" cm="1">
        <f t="array" aca="1" ref="AG108" ca="1">SQRT(SUMSQ(_xlfn._xlws.FILTER(S108:AE108,ISNUMBER(S108:AE108)))/COUNT(_xlfn._xlws.FILTER(S108:AE108,ISNUMBER(S108:AE108))))</f>
        <v>6.3113654095871627</v>
      </c>
    </row>
    <row r="109" spans="3:33" x14ac:dyDescent="0.2">
      <c r="C109" s="60" t="s">
        <v>260</v>
      </c>
      <c r="D109" s="60">
        <v>0</v>
      </c>
      <c r="E109" s="60">
        <v>1.9550000000000001</v>
      </c>
      <c r="F109" s="60">
        <v>-3.0449999999999999</v>
      </c>
      <c r="G109" s="60">
        <v>-1.0900000000000001</v>
      </c>
      <c r="H109" s="60">
        <v>0.86499999999999999</v>
      </c>
      <c r="I109" s="60">
        <v>2.82</v>
      </c>
      <c r="J109" s="60">
        <v>4.7750000000000004</v>
      </c>
      <c r="K109" s="60">
        <v>-14.776</v>
      </c>
      <c r="L109" s="60">
        <v>-12.821</v>
      </c>
      <c r="M109" s="60">
        <v>1.0900000000000001</v>
      </c>
      <c r="N109" s="60">
        <v>3.0449999999999999</v>
      </c>
      <c r="O109" s="60">
        <v>5</v>
      </c>
      <c r="P109" s="60">
        <v>0</v>
      </c>
      <c r="S109" s="60" t="e">
        <f t="shared" ca="1" si="13"/>
        <v>#REF!</v>
      </c>
      <c r="T109" s="60">
        <f t="shared" si="14"/>
        <v>-1.9550000000000001</v>
      </c>
      <c r="U109" s="60">
        <f t="shared" si="15"/>
        <v>3.0449999999999999</v>
      </c>
      <c r="V109" s="60">
        <f t="shared" si="16"/>
        <v>1.0900000000000001</v>
      </c>
      <c r="W109" s="60">
        <f t="shared" si="17"/>
        <v>-0.86499999999999999</v>
      </c>
      <c r="X109" s="60">
        <f t="shared" si="18"/>
        <v>-2.82</v>
      </c>
      <c r="Y109" s="60">
        <f t="shared" si="19"/>
        <v>-4.7750000000000004</v>
      </c>
      <c r="Z109" s="60">
        <f t="shared" si="20"/>
        <v>14.776</v>
      </c>
      <c r="AA109" s="60">
        <f t="shared" si="21"/>
        <v>12.821</v>
      </c>
      <c r="AB109" s="60">
        <f t="shared" si="22"/>
        <v>-1.0900000000000001</v>
      </c>
      <c r="AC109" s="60">
        <f t="shared" si="23"/>
        <v>-3.0449999999999999</v>
      </c>
      <c r="AD109" s="60">
        <f t="shared" si="24"/>
        <v>-5</v>
      </c>
      <c r="AE109" s="60">
        <f t="shared" si="25"/>
        <v>0</v>
      </c>
      <c r="AG109" s="60" cm="1">
        <f t="array" aca="1" ref="AG109" ca="1">SQRT(SUMSQ(_xlfn._xlws.FILTER(S109:AE109,ISNUMBER(S109:AE109)))/COUNT(_xlfn._xlws.FILTER(S109:AE109,ISNUMBER(S109:AE109))))</f>
        <v>6.217929331109084</v>
      </c>
    </row>
    <row r="110" spans="3:33" x14ac:dyDescent="0.2">
      <c r="C110" s="60" t="s">
        <v>261</v>
      </c>
      <c r="D110" s="60">
        <v>0</v>
      </c>
      <c r="E110" s="60">
        <v>2</v>
      </c>
      <c r="F110" s="60">
        <v>4</v>
      </c>
      <c r="G110" s="60">
        <v>-16</v>
      </c>
      <c r="H110" s="60">
        <v>-14</v>
      </c>
      <c r="I110" s="60">
        <v>-12</v>
      </c>
      <c r="J110" s="60">
        <v>3</v>
      </c>
      <c r="K110" s="60">
        <v>5</v>
      </c>
      <c r="L110" s="60">
        <v>-5</v>
      </c>
      <c r="M110" s="60">
        <v>-3</v>
      </c>
      <c r="N110" s="60">
        <v>-11</v>
      </c>
      <c r="O110" s="60">
        <v>-2</v>
      </c>
      <c r="P110" s="60">
        <v>0</v>
      </c>
      <c r="S110" s="60" t="e">
        <f t="shared" ca="1" si="13"/>
        <v>#REF!</v>
      </c>
      <c r="T110" s="60">
        <f t="shared" si="14"/>
        <v>-2</v>
      </c>
      <c r="U110" s="60">
        <f t="shared" si="15"/>
        <v>-4</v>
      </c>
      <c r="V110" s="60">
        <f t="shared" si="16"/>
        <v>16</v>
      </c>
      <c r="W110" s="60">
        <f t="shared" si="17"/>
        <v>14</v>
      </c>
      <c r="X110" s="60">
        <f t="shared" si="18"/>
        <v>12</v>
      </c>
      <c r="Y110" s="60">
        <f t="shared" si="19"/>
        <v>-3</v>
      </c>
      <c r="Z110" s="60">
        <f t="shared" si="20"/>
        <v>-5</v>
      </c>
      <c r="AA110" s="60">
        <f t="shared" si="21"/>
        <v>5</v>
      </c>
      <c r="AB110" s="60">
        <f t="shared" si="22"/>
        <v>3</v>
      </c>
      <c r="AC110" s="60">
        <f t="shared" si="23"/>
        <v>11</v>
      </c>
      <c r="AD110" s="60">
        <f t="shared" si="24"/>
        <v>2</v>
      </c>
      <c r="AE110" s="60">
        <f t="shared" si="25"/>
        <v>0</v>
      </c>
      <c r="AG110" s="60" cm="1">
        <f t="array" aca="1" ref="AG110" ca="1">SQRT(SUMSQ(_xlfn._xlws.FILTER(S110:AE110,ISNUMBER(S110:AE110)))/COUNT(_xlfn._xlws.FILTER(S110:AE110,ISNUMBER(S110:AE110))))</f>
        <v>8.2107652911690678</v>
      </c>
    </row>
    <row r="111" spans="3:33" x14ac:dyDescent="0.2">
      <c r="C111" s="60" t="s">
        <v>262</v>
      </c>
      <c r="D111" s="60">
        <v>0</v>
      </c>
      <c r="E111" s="60">
        <v>-2</v>
      </c>
      <c r="F111" s="60">
        <v>-4</v>
      </c>
      <c r="G111" s="60">
        <v>-7</v>
      </c>
      <c r="H111" s="60">
        <v>-9</v>
      </c>
      <c r="I111" s="60">
        <v>-12</v>
      </c>
      <c r="J111" s="60">
        <v>-12</v>
      </c>
      <c r="K111" s="60">
        <v>-10</v>
      </c>
      <c r="L111" s="60">
        <v>-8</v>
      </c>
      <c r="M111" s="60">
        <v>-6</v>
      </c>
      <c r="N111" s="60">
        <v>-4</v>
      </c>
      <c r="O111" s="60">
        <v>-2</v>
      </c>
      <c r="P111" s="60">
        <v>0</v>
      </c>
      <c r="S111" s="60" t="e">
        <f t="shared" ca="1" si="13"/>
        <v>#REF!</v>
      </c>
      <c r="T111" s="60">
        <f t="shared" si="14"/>
        <v>2</v>
      </c>
      <c r="U111" s="60">
        <f t="shared" si="15"/>
        <v>4</v>
      </c>
      <c r="V111" s="60">
        <f t="shared" si="16"/>
        <v>7</v>
      </c>
      <c r="W111" s="60">
        <f t="shared" si="17"/>
        <v>9</v>
      </c>
      <c r="X111" s="60">
        <f t="shared" si="18"/>
        <v>12</v>
      </c>
      <c r="Y111" s="60">
        <f t="shared" si="19"/>
        <v>12</v>
      </c>
      <c r="Z111" s="60">
        <f t="shared" si="20"/>
        <v>10</v>
      </c>
      <c r="AA111" s="60">
        <f t="shared" si="21"/>
        <v>8</v>
      </c>
      <c r="AB111" s="60">
        <f t="shared" si="22"/>
        <v>6</v>
      </c>
      <c r="AC111" s="60">
        <f t="shared" si="23"/>
        <v>4</v>
      </c>
      <c r="AD111" s="60">
        <f t="shared" si="24"/>
        <v>2</v>
      </c>
      <c r="AE111" s="60">
        <f t="shared" si="25"/>
        <v>0</v>
      </c>
      <c r="AG111" s="60" cm="1">
        <f t="array" aca="1" ref="AG111" ca="1">SQRT(SUMSQ(_xlfn._xlws.FILTER(S111:AE111,ISNUMBER(S111:AE111)))/COUNT(_xlfn._xlws.FILTER(S111:AE111,ISNUMBER(S111:AE111))))</f>
        <v>7.4049532971743544</v>
      </c>
    </row>
    <row r="112" spans="3:33" x14ac:dyDescent="0.2">
      <c r="C112" s="60" t="s">
        <v>263</v>
      </c>
      <c r="D112" s="60">
        <v>0</v>
      </c>
      <c r="E112" s="60">
        <v>-4</v>
      </c>
      <c r="F112" s="60">
        <v>-6</v>
      </c>
      <c r="G112" s="60">
        <v>-8</v>
      </c>
      <c r="H112" s="60">
        <v>-11</v>
      </c>
      <c r="I112" s="60">
        <v>-14</v>
      </c>
      <c r="J112" s="60">
        <v>-15</v>
      </c>
      <c r="K112" s="60">
        <v>-18</v>
      </c>
      <c r="L112" s="60">
        <v>-19</v>
      </c>
      <c r="M112" s="60">
        <v>6</v>
      </c>
      <c r="N112" s="60">
        <v>3</v>
      </c>
      <c r="O112" s="60">
        <v>1</v>
      </c>
      <c r="P112" s="60">
        <v>0</v>
      </c>
      <c r="S112" s="60" t="e">
        <f t="shared" ca="1" si="13"/>
        <v>#REF!</v>
      </c>
      <c r="T112" s="60">
        <f t="shared" si="14"/>
        <v>4</v>
      </c>
      <c r="U112" s="60">
        <f t="shared" si="15"/>
        <v>6</v>
      </c>
      <c r="V112" s="60">
        <f t="shared" si="16"/>
        <v>8</v>
      </c>
      <c r="W112" s="60">
        <f t="shared" si="17"/>
        <v>11</v>
      </c>
      <c r="X112" s="60">
        <f t="shared" si="18"/>
        <v>14</v>
      </c>
      <c r="Y112" s="60">
        <f t="shared" si="19"/>
        <v>15</v>
      </c>
      <c r="Z112" s="60">
        <f t="shared" si="20"/>
        <v>18</v>
      </c>
      <c r="AA112" s="60">
        <f t="shared" si="21"/>
        <v>19</v>
      </c>
      <c r="AB112" s="60">
        <f t="shared" si="22"/>
        <v>-6</v>
      </c>
      <c r="AC112" s="60">
        <f t="shared" si="23"/>
        <v>-3</v>
      </c>
      <c r="AD112" s="60">
        <f t="shared" si="24"/>
        <v>-1</v>
      </c>
      <c r="AE112" s="60">
        <f t="shared" si="25"/>
        <v>0</v>
      </c>
      <c r="AG112" s="60" cm="1">
        <f t="array" aca="1" ref="AG112" ca="1">SQRT(SUMSQ(_xlfn._xlws.FILTER(S112:AE112,ISNUMBER(S112:AE112)))/COUNT(_xlfn._xlws.FILTER(S112:AE112,ISNUMBER(S112:AE112))))</f>
        <v>10.758717395675006</v>
      </c>
    </row>
    <row r="113" spans="3:33" x14ac:dyDescent="0.2">
      <c r="C113" s="60" t="s">
        <v>264</v>
      </c>
      <c r="D113" s="60">
        <v>0</v>
      </c>
      <c r="E113" s="60">
        <v>-4.173</v>
      </c>
      <c r="F113" s="60">
        <v>-6.0469999999999997</v>
      </c>
      <c r="G113" s="60">
        <v>-8.2260000000000009</v>
      </c>
      <c r="H113" s="60">
        <v>-10.874000000000001</v>
      </c>
      <c r="I113" s="60">
        <v>-13.895</v>
      </c>
      <c r="J113" s="60">
        <v>-14.93</v>
      </c>
      <c r="K113" s="60">
        <v>-17.507999999999999</v>
      </c>
      <c r="L113" s="60">
        <v>-19.428999999999998</v>
      </c>
      <c r="M113" s="60">
        <v>5.8739999999999997</v>
      </c>
      <c r="N113" s="60">
        <v>3.3929999999999998</v>
      </c>
      <c r="O113" s="60">
        <v>0.626</v>
      </c>
      <c r="P113" s="60">
        <v>0</v>
      </c>
      <c r="S113" s="60" t="e">
        <f t="shared" ca="1" si="13"/>
        <v>#REF!</v>
      </c>
      <c r="T113" s="60">
        <f t="shared" si="14"/>
        <v>4.173</v>
      </c>
      <c r="U113" s="60">
        <f t="shared" si="15"/>
        <v>6.0469999999999997</v>
      </c>
      <c r="V113" s="60">
        <f t="shared" si="16"/>
        <v>8.2260000000000009</v>
      </c>
      <c r="W113" s="60">
        <f t="shared" si="17"/>
        <v>10.874000000000001</v>
      </c>
      <c r="X113" s="60">
        <f t="shared" si="18"/>
        <v>13.895</v>
      </c>
      <c r="Y113" s="60">
        <f t="shared" si="19"/>
        <v>14.93</v>
      </c>
      <c r="Z113" s="60">
        <f t="shared" si="20"/>
        <v>17.507999999999999</v>
      </c>
      <c r="AA113" s="60">
        <f t="shared" si="21"/>
        <v>19.428999999999998</v>
      </c>
      <c r="AB113" s="60">
        <f t="shared" si="22"/>
        <v>-5.8739999999999997</v>
      </c>
      <c r="AC113" s="60">
        <f t="shared" si="23"/>
        <v>-3.3929999999999998</v>
      </c>
      <c r="AD113" s="60">
        <f t="shared" si="24"/>
        <v>-0.626</v>
      </c>
      <c r="AE113" s="60">
        <f t="shared" si="25"/>
        <v>0</v>
      </c>
      <c r="AG113" s="60" cm="1">
        <f t="array" aca="1" ref="AG113" ca="1">SQRT(SUMSQ(_xlfn._xlws.FILTER(S113:AE113,ISNUMBER(S113:AE113)))/COUNT(_xlfn._xlws.FILTER(S113:AE113,ISNUMBER(S113:AE113))))</f>
        <v>10.748222027386669</v>
      </c>
    </row>
    <row r="114" spans="3:33" x14ac:dyDescent="0.2">
      <c r="C114" s="60" t="s">
        <v>265</v>
      </c>
      <c r="D114" s="60">
        <v>0</v>
      </c>
      <c r="E114" s="60">
        <v>-6</v>
      </c>
      <c r="F114" s="60">
        <v>-8</v>
      </c>
      <c r="G114" s="60">
        <v>-10</v>
      </c>
      <c r="H114" s="60">
        <v>-13</v>
      </c>
      <c r="I114" s="60">
        <v>-15</v>
      </c>
      <c r="J114" s="60">
        <v>-18</v>
      </c>
      <c r="K114" s="60">
        <v>-21</v>
      </c>
      <c r="L114" s="60">
        <v>-22</v>
      </c>
      <c r="M114" s="60">
        <v>3</v>
      </c>
      <c r="N114" s="60">
        <v>3</v>
      </c>
      <c r="O114" s="60">
        <v>-2</v>
      </c>
      <c r="P114" s="60">
        <v>0</v>
      </c>
      <c r="S114" s="60" t="e">
        <f t="shared" ca="1" si="13"/>
        <v>#REF!</v>
      </c>
      <c r="T114" s="60">
        <f t="shared" si="14"/>
        <v>6</v>
      </c>
      <c r="U114" s="60">
        <f t="shared" si="15"/>
        <v>8</v>
      </c>
      <c r="V114" s="60">
        <f t="shared" si="16"/>
        <v>10</v>
      </c>
      <c r="W114" s="60">
        <f t="shared" si="17"/>
        <v>13</v>
      </c>
      <c r="X114" s="60">
        <f t="shared" si="18"/>
        <v>15</v>
      </c>
      <c r="Y114" s="60">
        <f t="shared" si="19"/>
        <v>18</v>
      </c>
      <c r="Z114" s="60">
        <f t="shared" si="20"/>
        <v>21</v>
      </c>
      <c r="AA114" s="60">
        <f t="shared" si="21"/>
        <v>22</v>
      </c>
      <c r="AB114" s="60">
        <f t="shared" si="22"/>
        <v>-3</v>
      </c>
      <c r="AC114" s="60">
        <f t="shared" si="23"/>
        <v>-3</v>
      </c>
      <c r="AD114" s="60">
        <f t="shared" si="24"/>
        <v>2</v>
      </c>
      <c r="AE114" s="60">
        <f t="shared" si="25"/>
        <v>0</v>
      </c>
      <c r="AG114" s="60" cm="1">
        <f t="array" aca="1" ref="AG114" ca="1">SQRT(SUMSQ(_xlfn._xlws.FILTER(S114:AE114,ISNUMBER(S114:AE114)))/COUNT(_xlfn._xlws.FILTER(S114:AE114,ISNUMBER(S114:AE114))))</f>
        <v>12.466622103307161</v>
      </c>
    </row>
    <row r="115" spans="3:33" x14ac:dyDescent="0.2">
      <c r="C115" s="60" t="s">
        <v>266</v>
      </c>
      <c r="D115" s="60">
        <v>0</v>
      </c>
      <c r="E115" s="60">
        <v>-6.1920000000000002</v>
      </c>
      <c r="F115" s="60">
        <v>-8.0429999999999993</v>
      </c>
      <c r="G115" s="60">
        <v>-9.5060000000000002</v>
      </c>
      <c r="H115" s="60">
        <v>-12.664999999999999</v>
      </c>
      <c r="I115" s="60">
        <v>-14.563000000000001</v>
      </c>
      <c r="J115" s="60">
        <v>-18.303999999999998</v>
      </c>
      <c r="K115" s="60">
        <v>-20.629000000000001</v>
      </c>
      <c r="L115" s="60">
        <v>-21.876999999999999</v>
      </c>
      <c r="M115" s="60">
        <v>2.6240000000000001</v>
      </c>
      <c r="N115" s="60">
        <v>3.3639999999999999</v>
      </c>
      <c r="O115" s="60">
        <v>-1.9550000000000001</v>
      </c>
      <c r="P115" s="60">
        <v>0</v>
      </c>
      <c r="S115" s="60" t="e">
        <f t="shared" ca="1" si="13"/>
        <v>#REF!</v>
      </c>
      <c r="T115" s="60">
        <f t="shared" si="14"/>
        <v>6.1920000000000002</v>
      </c>
      <c r="U115" s="60">
        <f t="shared" si="15"/>
        <v>8.0429999999999993</v>
      </c>
      <c r="V115" s="60">
        <f t="shared" si="16"/>
        <v>9.5060000000000002</v>
      </c>
      <c r="W115" s="60">
        <f t="shared" si="17"/>
        <v>12.664999999999999</v>
      </c>
      <c r="X115" s="60">
        <f t="shared" si="18"/>
        <v>14.563000000000001</v>
      </c>
      <c r="Y115" s="60">
        <f t="shared" si="19"/>
        <v>18.303999999999998</v>
      </c>
      <c r="Z115" s="60">
        <f t="shared" si="20"/>
        <v>20.629000000000001</v>
      </c>
      <c r="AA115" s="60">
        <f t="shared" si="21"/>
        <v>21.876999999999999</v>
      </c>
      <c r="AB115" s="60">
        <f t="shared" si="22"/>
        <v>-2.6240000000000001</v>
      </c>
      <c r="AC115" s="60">
        <f t="shared" si="23"/>
        <v>-3.3639999999999999</v>
      </c>
      <c r="AD115" s="60">
        <f t="shared" si="24"/>
        <v>1.9550000000000001</v>
      </c>
      <c r="AE115" s="60">
        <f t="shared" si="25"/>
        <v>0</v>
      </c>
      <c r="AG115" s="60" cm="1">
        <f t="array" aca="1" ref="AG115" ca="1">SQRT(SUMSQ(_xlfn._xlws.FILTER(S115:AE115,ISNUMBER(S115:AE115)))/COUNT(_xlfn._xlws.FILTER(S115:AE115,ISNUMBER(S115:AE115))))</f>
        <v>12.339290315897424</v>
      </c>
    </row>
    <row r="116" spans="3:33" x14ac:dyDescent="0.2">
      <c r="C116" s="60" t="s">
        <v>267</v>
      </c>
      <c r="D116" s="60">
        <v>0</v>
      </c>
      <c r="E116" s="60">
        <v>1</v>
      </c>
      <c r="F116" s="60">
        <v>0</v>
      </c>
      <c r="G116" s="60">
        <v>0</v>
      </c>
      <c r="H116" s="60">
        <v>0</v>
      </c>
      <c r="I116" s="60">
        <v>1</v>
      </c>
      <c r="J116" s="60">
        <v>1</v>
      </c>
      <c r="K116" s="60">
        <v>0</v>
      </c>
      <c r="L116" s="60">
        <v>0</v>
      </c>
      <c r="M116" s="60">
        <v>-1</v>
      </c>
      <c r="N116" s="60">
        <v>0</v>
      </c>
      <c r="O116" s="60">
        <v>0</v>
      </c>
      <c r="P116" s="60">
        <v>0</v>
      </c>
      <c r="S116" s="60" t="e">
        <f t="shared" ca="1" si="13"/>
        <v>#REF!</v>
      </c>
      <c r="T116" s="60">
        <f t="shared" si="14"/>
        <v>-1</v>
      </c>
      <c r="U116" s="60">
        <f t="shared" si="15"/>
        <v>0</v>
      </c>
      <c r="V116" s="60">
        <f t="shared" si="16"/>
        <v>0</v>
      </c>
      <c r="W116" s="60">
        <f t="shared" si="17"/>
        <v>0</v>
      </c>
      <c r="X116" s="60">
        <f t="shared" si="18"/>
        <v>-1</v>
      </c>
      <c r="Y116" s="60">
        <f t="shared" si="19"/>
        <v>-1</v>
      </c>
      <c r="Z116" s="60">
        <f t="shared" si="20"/>
        <v>0</v>
      </c>
      <c r="AA116" s="60">
        <f t="shared" si="21"/>
        <v>0</v>
      </c>
      <c r="AB116" s="60">
        <f t="shared" si="22"/>
        <v>1</v>
      </c>
      <c r="AC116" s="60">
        <f t="shared" si="23"/>
        <v>0</v>
      </c>
      <c r="AD116" s="60">
        <f t="shared" si="24"/>
        <v>0</v>
      </c>
      <c r="AE116" s="60">
        <f t="shared" si="25"/>
        <v>0</v>
      </c>
      <c r="AG116" s="60" cm="1">
        <f t="array" aca="1" ref="AG116" ca="1">SQRT(SUMSQ(_xlfn._xlws.FILTER(S116:AE116,ISNUMBER(S116:AE116)))/COUNT(_xlfn._xlws.FILTER(S116:AE116,ISNUMBER(S116:AE116))))</f>
        <v>0.57735026918962573</v>
      </c>
    </row>
    <row r="117" spans="3:33" x14ac:dyDescent="0.2">
      <c r="C117" s="60" t="s">
        <v>268</v>
      </c>
      <c r="D117" s="60">
        <v>0</v>
      </c>
      <c r="E117" s="60">
        <v>2</v>
      </c>
      <c r="F117" s="60">
        <v>4</v>
      </c>
      <c r="G117" s="60">
        <v>-16</v>
      </c>
      <c r="H117" s="60">
        <v>-14</v>
      </c>
      <c r="I117" s="60">
        <v>-12</v>
      </c>
      <c r="J117" s="60">
        <v>-10</v>
      </c>
      <c r="K117" s="60">
        <v>-30</v>
      </c>
      <c r="L117" s="60">
        <v>-28</v>
      </c>
      <c r="M117" s="60">
        <v>16</v>
      </c>
      <c r="N117" s="60">
        <v>18</v>
      </c>
      <c r="O117" s="60">
        <v>-2</v>
      </c>
      <c r="P117" s="60">
        <v>0</v>
      </c>
      <c r="S117" s="60" t="e">
        <f t="shared" ca="1" si="13"/>
        <v>#REF!</v>
      </c>
      <c r="T117" s="60">
        <f t="shared" si="14"/>
        <v>-2</v>
      </c>
      <c r="U117" s="60">
        <f t="shared" si="15"/>
        <v>-4</v>
      </c>
      <c r="V117" s="60">
        <f t="shared" si="16"/>
        <v>16</v>
      </c>
      <c r="W117" s="60">
        <f t="shared" si="17"/>
        <v>14</v>
      </c>
      <c r="X117" s="60">
        <f t="shared" si="18"/>
        <v>12</v>
      </c>
      <c r="Y117" s="60">
        <f t="shared" si="19"/>
        <v>10</v>
      </c>
      <c r="Z117" s="60">
        <f t="shared" si="20"/>
        <v>30</v>
      </c>
      <c r="AA117" s="60">
        <f t="shared" si="21"/>
        <v>28</v>
      </c>
      <c r="AB117" s="60">
        <f t="shared" si="22"/>
        <v>-16</v>
      </c>
      <c r="AC117" s="60">
        <f t="shared" si="23"/>
        <v>-18</v>
      </c>
      <c r="AD117" s="60">
        <f t="shared" si="24"/>
        <v>2</v>
      </c>
      <c r="AE117" s="60">
        <f t="shared" si="25"/>
        <v>0</v>
      </c>
      <c r="AG117" s="60" cm="1">
        <f t="array" aca="1" ref="AG117" ca="1">SQRT(SUMSQ(_xlfn._xlws.FILTER(S117:AE117,ISNUMBER(S117:AE117)))/COUNT(_xlfn._xlws.FILTER(S117:AE117,ISNUMBER(S117:AE117))))</f>
        <v>15.769168230019828</v>
      </c>
    </row>
    <row r="118" spans="3:33" x14ac:dyDescent="0.2">
      <c r="C118" s="60" t="s">
        <v>269</v>
      </c>
      <c r="D118" s="60">
        <v>0</v>
      </c>
      <c r="E118" s="60">
        <v>0</v>
      </c>
      <c r="F118" s="60">
        <v>0</v>
      </c>
      <c r="G118" s="60">
        <v>0</v>
      </c>
      <c r="H118" s="60">
        <v>0</v>
      </c>
      <c r="I118" s="60">
        <v>0</v>
      </c>
      <c r="J118" s="60">
        <v>0</v>
      </c>
      <c r="K118" s="60">
        <v>0</v>
      </c>
      <c r="L118" s="60">
        <v>0</v>
      </c>
      <c r="M118" s="60">
        <v>0</v>
      </c>
      <c r="N118" s="60">
        <v>0</v>
      </c>
      <c r="O118" s="60">
        <v>0</v>
      </c>
      <c r="P118" s="60">
        <v>0</v>
      </c>
      <c r="S118" s="60" t="e">
        <f t="shared" ca="1" si="13"/>
        <v>#REF!</v>
      </c>
      <c r="T118" s="60">
        <f t="shared" si="14"/>
        <v>0</v>
      </c>
      <c r="U118" s="60">
        <f t="shared" si="15"/>
        <v>0</v>
      </c>
      <c r="V118" s="60">
        <f t="shared" si="16"/>
        <v>0</v>
      </c>
      <c r="W118" s="60">
        <f t="shared" si="17"/>
        <v>0</v>
      </c>
      <c r="X118" s="60">
        <f t="shared" si="18"/>
        <v>0</v>
      </c>
      <c r="Y118" s="60">
        <f t="shared" si="19"/>
        <v>0</v>
      </c>
      <c r="Z118" s="60">
        <f t="shared" si="20"/>
        <v>0</v>
      </c>
      <c r="AA118" s="60">
        <f t="shared" si="21"/>
        <v>0</v>
      </c>
      <c r="AB118" s="60">
        <f t="shared" si="22"/>
        <v>0</v>
      </c>
      <c r="AC118" s="60">
        <f t="shared" si="23"/>
        <v>0</v>
      </c>
      <c r="AD118" s="60">
        <f t="shared" si="24"/>
        <v>0</v>
      </c>
      <c r="AE118" s="60">
        <f t="shared" si="25"/>
        <v>0</v>
      </c>
      <c r="AG118" s="60" cm="1">
        <f t="array" aca="1" ref="AG118" ca="1">SQRT(SUMSQ(_xlfn._xlws.FILTER(S118:AE118,ISNUMBER(S118:AE118)))/COUNT(_xlfn._xlws.FILTER(S118:AE118,ISNUMBER(S118:AE118))))</f>
        <v>0</v>
      </c>
    </row>
    <row r="119" spans="3:33" x14ac:dyDescent="0.2">
      <c r="C119" s="60" t="s">
        <v>270</v>
      </c>
      <c r="D119" s="60">
        <v>0</v>
      </c>
      <c r="E119" s="60">
        <v>-2</v>
      </c>
      <c r="F119" s="60">
        <v>4</v>
      </c>
      <c r="G119" s="60">
        <v>2</v>
      </c>
      <c r="H119" s="60">
        <v>0</v>
      </c>
      <c r="I119" s="60">
        <v>-2</v>
      </c>
      <c r="J119" s="60">
        <v>4</v>
      </c>
      <c r="K119" s="60">
        <v>2</v>
      </c>
      <c r="L119" s="60">
        <v>0</v>
      </c>
      <c r="M119" s="60">
        <v>-2</v>
      </c>
      <c r="N119" s="60">
        <v>4</v>
      </c>
      <c r="O119" s="60">
        <v>2</v>
      </c>
      <c r="P119" s="60">
        <v>0</v>
      </c>
      <c r="S119" s="60" t="e">
        <f t="shared" ca="1" si="13"/>
        <v>#REF!</v>
      </c>
      <c r="T119" s="60">
        <f t="shared" si="14"/>
        <v>2</v>
      </c>
      <c r="U119" s="60">
        <f t="shared" si="15"/>
        <v>-4</v>
      </c>
      <c r="V119" s="60">
        <f t="shared" si="16"/>
        <v>-2</v>
      </c>
      <c r="W119" s="60">
        <f t="shared" si="17"/>
        <v>0</v>
      </c>
      <c r="X119" s="60">
        <f t="shared" si="18"/>
        <v>2</v>
      </c>
      <c r="Y119" s="60">
        <f t="shared" si="19"/>
        <v>-4</v>
      </c>
      <c r="Z119" s="60">
        <f t="shared" si="20"/>
        <v>-2</v>
      </c>
      <c r="AA119" s="60">
        <f t="shared" si="21"/>
        <v>0</v>
      </c>
      <c r="AB119" s="60">
        <f t="shared" si="22"/>
        <v>2</v>
      </c>
      <c r="AC119" s="60">
        <f t="shared" si="23"/>
        <v>-4</v>
      </c>
      <c r="AD119" s="60">
        <f t="shared" si="24"/>
        <v>-2</v>
      </c>
      <c r="AE119" s="60">
        <f t="shared" si="25"/>
        <v>0</v>
      </c>
      <c r="AG119" s="60" cm="1">
        <f t="array" aca="1" ref="AG119" ca="1">SQRT(SUMSQ(_xlfn._xlws.FILTER(S119:AE119,ISNUMBER(S119:AE119)))/COUNT(_xlfn._xlws.FILTER(S119:AE119,ISNUMBER(S119:AE119))))</f>
        <v>2.4494897427831779</v>
      </c>
    </row>
    <row r="120" spans="3:33" x14ac:dyDescent="0.2">
      <c r="C120" s="60" t="s">
        <v>271</v>
      </c>
      <c r="D120" s="60">
        <v>0</v>
      </c>
      <c r="E120" s="60">
        <v>2</v>
      </c>
      <c r="F120" s="60">
        <v>0</v>
      </c>
      <c r="G120" s="60">
        <v>2</v>
      </c>
      <c r="H120" s="60">
        <v>0</v>
      </c>
      <c r="I120" s="60">
        <v>2</v>
      </c>
      <c r="J120" s="60">
        <v>0</v>
      </c>
      <c r="K120" s="60">
        <v>2</v>
      </c>
      <c r="L120" s="60">
        <v>0</v>
      </c>
      <c r="M120" s="60">
        <v>2</v>
      </c>
      <c r="N120" s="60">
        <v>0</v>
      </c>
      <c r="O120" s="60">
        <v>2</v>
      </c>
      <c r="P120" s="60">
        <v>0</v>
      </c>
      <c r="S120" s="60" t="e">
        <f t="shared" ca="1" si="13"/>
        <v>#REF!</v>
      </c>
      <c r="T120" s="60">
        <f t="shared" si="14"/>
        <v>-2</v>
      </c>
      <c r="U120" s="60">
        <f t="shared" si="15"/>
        <v>0</v>
      </c>
      <c r="V120" s="60">
        <f t="shared" si="16"/>
        <v>-2</v>
      </c>
      <c r="W120" s="60">
        <f t="shared" si="17"/>
        <v>0</v>
      </c>
      <c r="X120" s="60">
        <f t="shared" si="18"/>
        <v>-2</v>
      </c>
      <c r="Y120" s="60">
        <f t="shared" si="19"/>
        <v>0</v>
      </c>
      <c r="Z120" s="60">
        <f t="shared" si="20"/>
        <v>-2</v>
      </c>
      <c r="AA120" s="60">
        <f t="shared" si="21"/>
        <v>0</v>
      </c>
      <c r="AB120" s="60">
        <f t="shared" si="22"/>
        <v>-2</v>
      </c>
      <c r="AC120" s="60">
        <f t="shared" si="23"/>
        <v>0</v>
      </c>
      <c r="AD120" s="60">
        <f t="shared" si="24"/>
        <v>-2</v>
      </c>
      <c r="AE120" s="60">
        <f t="shared" si="25"/>
        <v>0</v>
      </c>
      <c r="AG120" s="60" cm="1">
        <f t="array" aca="1" ref="AG120" ca="1">SQRT(SUMSQ(_xlfn._xlws.FILTER(S120:AE120,ISNUMBER(S120:AE120)))/COUNT(_xlfn._xlws.FILTER(S120:AE120,ISNUMBER(S120:AE120))))</f>
        <v>1.4142135623730951</v>
      </c>
    </row>
    <row r="121" spans="3:33" x14ac:dyDescent="0.2">
      <c r="C121" s="60" t="s">
        <v>272</v>
      </c>
      <c r="D121" s="60">
        <v>0</v>
      </c>
      <c r="E121" s="60">
        <v>-4</v>
      </c>
      <c r="F121" s="60">
        <v>-2</v>
      </c>
      <c r="G121" s="60">
        <v>0</v>
      </c>
      <c r="H121" s="60">
        <v>-4</v>
      </c>
      <c r="I121" s="60">
        <v>-2</v>
      </c>
      <c r="J121" s="60">
        <v>0</v>
      </c>
      <c r="K121" s="60">
        <v>-4</v>
      </c>
      <c r="L121" s="60">
        <v>-2</v>
      </c>
      <c r="M121" s="60">
        <v>0</v>
      </c>
      <c r="N121" s="60">
        <v>-4</v>
      </c>
      <c r="O121" s="60">
        <v>-2</v>
      </c>
      <c r="P121" s="60">
        <v>0</v>
      </c>
      <c r="S121" s="60" t="e">
        <f t="shared" ca="1" si="13"/>
        <v>#REF!</v>
      </c>
      <c r="T121" s="60">
        <f t="shared" si="14"/>
        <v>4</v>
      </c>
      <c r="U121" s="60">
        <f t="shared" si="15"/>
        <v>2</v>
      </c>
      <c r="V121" s="60">
        <f t="shared" si="16"/>
        <v>0</v>
      </c>
      <c r="W121" s="60">
        <f t="shared" si="17"/>
        <v>4</v>
      </c>
      <c r="X121" s="60">
        <f t="shared" si="18"/>
        <v>2</v>
      </c>
      <c r="Y121" s="60">
        <f t="shared" si="19"/>
        <v>0</v>
      </c>
      <c r="Z121" s="60">
        <f t="shared" si="20"/>
        <v>4</v>
      </c>
      <c r="AA121" s="60">
        <f t="shared" si="21"/>
        <v>2</v>
      </c>
      <c r="AB121" s="60">
        <f t="shared" si="22"/>
        <v>0</v>
      </c>
      <c r="AC121" s="60">
        <f t="shared" si="23"/>
        <v>4</v>
      </c>
      <c r="AD121" s="60">
        <f t="shared" si="24"/>
        <v>2</v>
      </c>
      <c r="AE121" s="60">
        <f t="shared" si="25"/>
        <v>0</v>
      </c>
      <c r="AG121" s="60" cm="1">
        <f t="array" aca="1" ref="AG121" ca="1">SQRT(SUMSQ(_xlfn._xlws.FILTER(S121:AE121,ISNUMBER(S121:AE121)))/COUNT(_xlfn._xlws.FILTER(S121:AE121,ISNUMBER(S121:AE121))))</f>
        <v>2.5819888974716112</v>
      </c>
    </row>
    <row r="122" spans="3:33" x14ac:dyDescent="0.2">
      <c r="C122" s="60" t="s">
        <v>273</v>
      </c>
      <c r="D122" s="60">
        <v>0</v>
      </c>
      <c r="E122" s="60">
        <v>0</v>
      </c>
      <c r="F122" s="60">
        <v>0</v>
      </c>
      <c r="G122" s="60">
        <v>-2</v>
      </c>
      <c r="H122" s="60">
        <v>2</v>
      </c>
      <c r="I122" s="60">
        <v>2</v>
      </c>
      <c r="J122" s="60">
        <v>0</v>
      </c>
      <c r="K122" s="60">
        <v>0</v>
      </c>
      <c r="L122" s="60">
        <v>0</v>
      </c>
      <c r="M122" s="60">
        <v>-2</v>
      </c>
      <c r="N122" s="60">
        <v>2</v>
      </c>
      <c r="O122" s="60">
        <v>2</v>
      </c>
      <c r="P122" s="60">
        <v>0</v>
      </c>
      <c r="S122" s="60" t="e">
        <f t="shared" ca="1" si="13"/>
        <v>#REF!</v>
      </c>
      <c r="T122" s="60">
        <f t="shared" si="14"/>
        <v>0</v>
      </c>
      <c r="U122" s="60">
        <f t="shared" si="15"/>
        <v>0</v>
      </c>
      <c r="V122" s="60">
        <f t="shared" si="16"/>
        <v>2</v>
      </c>
      <c r="W122" s="60">
        <f t="shared" si="17"/>
        <v>-2</v>
      </c>
      <c r="X122" s="60">
        <f t="shared" si="18"/>
        <v>-2</v>
      </c>
      <c r="Y122" s="60">
        <f t="shared" si="19"/>
        <v>0</v>
      </c>
      <c r="Z122" s="60">
        <f t="shared" si="20"/>
        <v>0</v>
      </c>
      <c r="AA122" s="60">
        <f t="shared" si="21"/>
        <v>0</v>
      </c>
      <c r="AB122" s="60">
        <f t="shared" si="22"/>
        <v>2</v>
      </c>
      <c r="AC122" s="60">
        <f t="shared" si="23"/>
        <v>-2</v>
      </c>
      <c r="AD122" s="60">
        <f t="shared" si="24"/>
        <v>-2</v>
      </c>
      <c r="AE122" s="60">
        <f t="shared" si="25"/>
        <v>0</v>
      </c>
      <c r="AG122" s="60" cm="1">
        <f t="array" aca="1" ref="AG122" ca="1">SQRT(SUMSQ(_xlfn._xlws.FILTER(S122:AE122,ISNUMBER(S122:AE122)))/COUNT(_xlfn._xlws.FILTER(S122:AE122,ISNUMBER(S122:AE122))))</f>
        <v>1.4142135623730951</v>
      </c>
    </row>
    <row r="123" spans="3:33" x14ac:dyDescent="0.2">
      <c r="C123" s="60" t="s">
        <v>274</v>
      </c>
      <c r="D123" s="60">
        <v>0</v>
      </c>
      <c r="E123" s="60">
        <v>0</v>
      </c>
      <c r="F123" s="60">
        <v>-4</v>
      </c>
      <c r="G123" s="60">
        <v>0</v>
      </c>
      <c r="H123" s="60">
        <v>0</v>
      </c>
      <c r="I123" s="60">
        <v>-4</v>
      </c>
      <c r="J123" s="60">
        <v>0</v>
      </c>
      <c r="K123" s="60">
        <v>0</v>
      </c>
      <c r="L123" s="60">
        <v>-4</v>
      </c>
      <c r="M123" s="60">
        <v>0</v>
      </c>
      <c r="N123" s="60">
        <v>0</v>
      </c>
      <c r="O123" s="60">
        <v>-4</v>
      </c>
      <c r="P123" s="60">
        <v>0</v>
      </c>
      <c r="S123" s="60" t="e">
        <f t="shared" ca="1" si="13"/>
        <v>#REF!</v>
      </c>
      <c r="T123" s="60">
        <f t="shared" si="14"/>
        <v>0</v>
      </c>
      <c r="U123" s="60">
        <f t="shared" si="15"/>
        <v>4</v>
      </c>
      <c r="V123" s="60">
        <f t="shared" si="16"/>
        <v>0</v>
      </c>
      <c r="W123" s="60">
        <f t="shared" si="17"/>
        <v>0</v>
      </c>
      <c r="X123" s="60">
        <f t="shared" si="18"/>
        <v>4</v>
      </c>
      <c r="Y123" s="60">
        <f t="shared" si="19"/>
        <v>0</v>
      </c>
      <c r="Z123" s="60">
        <f t="shared" si="20"/>
        <v>0</v>
      </c>
      <c r="AA123" s="60">
        <f t="shared" si="21"/>
        <v>4</v>
      </c>
      <c r="AB123" s="60">
        <f t="shared" si="22"/>
        <v>0</v>
      </c>
      <c r="AC123" s="60">
        <f t="shared" si="23"/>
        <v>0</v>
      </c>
      <c r="AD123" s="60">
        <f t="shared" si="24"/>
        <v>4</v>
      </c>
      <c r="AE123" s="60">
        <f t="shared" si="25"/>
        <v>0</v>
      </c>
      <c r="AG123" s="60" cm="1">
        <f t="array" aca="1" ref="AG123" ca="1">SQRT(SUMSQ(_xlfn._xlws.FILTER(S123:AE123,ISNUMBER(S123:AE123)))/COUNT(_xlfn._xlws.FILTER(S123:AE123,ISNUMBER(S123:AE123))))</f>
        <v>2.3094010767585029</v>
      </c>
    </row>
    <row r="124" spans="3:33" x14ac:dyDescent="0.2">
      <c r="C124" s="60" t="s">
        <v>275</v>
      </c>
      <c r="D124" s="60">
        <v>0</v>
      </c>
      <c r="E124" s="60">
        <v>-4</v>
      </c>
      <c r="F124" s="60">
        <v>-6</v>
      </c>
      <c r="G124" s="60">
        <v>-8</v>
      </c>
      <c r="H124" s="60">
        <v>0</v>
      </c>
      <c r="I124" s="60">
        <v>-2</v>
      </c>
      <c r="J124" s="60">
        <v>-4</v>
      </c>
      <c r="K124" s="60">
        <v>-6</v>
      </c>
      <c r="L124" s="60">
        <v>0</v>
      </c>
      <c r="M124" s="60">
        <v>-2</v>
      </c>
      <c r="N124" s="60">
        <v>-4</v>
      </c>
      <c r="O124" s="60">
        <v>-6</v>
      </c>
      <c r="P124" s="60">
        <v>0</v>
      </c>
      <c r="S124" s="60" t="e">
        <f t="shared" ca="1" si="13"/>
        <v>#REF!</v>
      </c>
      <c r="T124" s="60">
        <f t="shared" si="14"/>
        <v>4</v>
      </c>
      <c r="U124" s="60">
        <f t="shared" si="15"/>
        <v>6</v>
      </c>
      <c r="V124" s="60">
        <f t="shared" si="16"/>
        <v>8</v>
      </c>
      <c r="W124" s="60">
        <f t="shared" si="17"/>
        <v>0</v>
      </c>
      <c r="X124" s="60">
        <f t="shared" si="18"/>
        <v>2</v>
      </c>
      <c r="Y124" s="60">
        <f t="shared" si="19"/>
        <v>4</v>
      </c>
      <c r="Z124" s="60">
        <f t="shared" si="20"/>
        <v>6</v>
      </c>
      <c r="AA124" s="60">
        <f t="shared" si="21"/>
        <v>0</v>
      </c>
      <c r="AB124" s="60">
        <f t="shared" si="22"/>
        <v>2</v>
      </c>
      <c r="AC124" s="60">
        <f t="shared" si="23"/>
        <v>4</v>
      </c>
      <c r="AD124" s="60">
        <f t="shared" si="24"/>
        <v>6</v>
      </c>
      <c r="AE124" s="60">
        <f t="shared" si="25"/>
        <v>0</v>
      </c>
      <c r="AG124" s="60" cm="1">
        <f t="array" aca="1" ref="AG124" ca="1">SQRT(SUMSQ(_xlfn._xlws.FILTER(S124:AE124,ISNUMBER(S124:AE124)))/COUNT(_xlfn._xlws.FILTER(S124:AE124,ISNUMBER(S124:AE124))))</f>
        <v>4.358898943540674</v>
      </c>
    </row>
    <row r="125" spans="3:33" x14ac:dyDescent="0.2">
      <c r="C125" s="60" t="s">
        <v>276</v>
      </c>
      <c r="D125" s="60">
        <v>0</v>
      </c>
      <c r="E125" s="60">
        <v>-2</v>
      </c>
      <c r="F125" s="60">
        <v>-4</v>
      </c>
      <c r="G125" s="60">
        <v>-6</v>
      </c>
      <c r="H125" s="60">
        <v>-6</v>
      </c>
      <c r="I125" s="60">
        <v>-4</v>
      </c>
      <c r="J125" s="60">
        <v>-4</v>
      </c>
      <c r="K125" s="60">
        <v>-4</v>
      </c>
      <c r="L125" s="60">
        <v>-4</v>
      </c>
      <c r="M125" s="60">
        <v>-2</v>
      </c>
      <c r="N125" s="60">
        <v>0</v>
      </c>
      <c r="O125" s="60">
        <v>0</v>
      </c>
      <c r="P125" s="60">
        <v>0</v>
      </c>
      <c r="S125" s="60" t="e">
        <f t="shared" ca="1" si="13"/>
        <v>#REF!</v>
      </c>
      <c r="T125" s="60">
        <f t="shared" si="14"/>
        <v>2</v>
      </c>
      <c r="U125" s="60">
        <f t="shared" si="15"/>
        <v>4</v>
      </c>
      <c r="V125" s="60">
        <f t="shared" si="16"/>
        <v>6</v>
      </c>
      <c r="W125" s="60">
        <f t="shared" si="17"/>
        <v>6</v>
      </c>
      <c r="X125" s="60">
        <f t="shared" si="18"/>
        <v>4</v>
      </c>
      <c r="Y125" s="60">
        <f t="shared" si="19"/>
        <v>4</v>
      </c>
      <c r="Z125" s="60">
        <f t="shared" si="20"/>
        <v>4</v>
      </c>
      <c r="AA125" s="60">
        <f t="shared" si="21"/>
        <v>4</v>
      </c>
      <c r="AB125" s="60">
        <f t="shared" si="22"/>
        <v>2</v>
      </c>
      <c r="AC125" s="60">
        <f t="shared" si="23"/>
        <v>0</v>
      </c>
      <c r="AD125" s="60">
        <f t="shared" si="24"/>
        <v>0</v>
      </c>
      <c r="AE125" s="60">
        <f t="shared" si="25"/>
        <v>0</v>
      </c>
      <c r="AG125" s="60" cm="1">
        <f t="array" aca="1" ref="AG125" ca="1">SQRT(SUMSQ(_xlfn._xlws.FILTER(S125:AE125,ISNUMBER(S125:AE125)))/COUNT(_xlfn._xlws.FILTER(S125:AE125,ISNUMBER(S125:AE125))))</f>
        <v>3.6514837167011076</v>
      </c>
    </row>
    <row r="126" spans="3:33" x14ac:dyDescent="0.2">
      <c r="C126" s="60" t="s">
        <v>277</v>
      </c>
      <c r="D126" s="60">
        <v>0</v>
      </c>
      <c r="E126" s="60">
        <v>0</v>
      </c>
      <c r="F126" s="60">
        <v>-4</v>
      </c>
      <c r="G126" s="60">
        <v>-2</v>
      </c>
      <c r="H126" s="60">
        <v>0</v>
      </c>
      <c r="I126" s="60">
        <v>0</v>
      </c>
      <c r="J126" s="60">
        <v>-4</v>
      </c>
      <c r="K126" s="60">
        <v>-2</v>
      </c>
      <c r="L126" s="60">
        <v>0</v>
      </c>
      <c r="M126" s="60">
        <v>0</v>
      </c>
      <c r="N126" s="60">
        <v>-4</v>
      </c>
      <c r="O126" s="60">
        <v>-2</v>
      </c>
      <c r="P126" s="60">
        <v>0</v>
      </c>
      <c r="S126" s="60" t="e">
        <f t="shared" ca="1" si="13"/>
        <v>#REF!</v>
      </c>
      <c r="T126" s="60">
        <f t="shared" si="14"/>
        <v>0</v>
      </c>
      <c r="U126" s="60">
        <f t="shared" si="15"/>
        <v>4</v>
      </c>
      <c r="V126" s="60">
        <f t="shared" si="16"/>
        <v>2</v>
      </c>
      <c r="W126" s="60">
        <f t="shared" si="17"/>
        <v>0</v>
      </c>
      <c r="X126" s="60">
        <f t="shared" si="18"/>
        <v>0</v>
      </c>
      <c r="Y126" s="60">
        <f t="shared" si="19"/>
        <v>4</v>
      </c>
      <c r="Z126" s="60">
        <f t="shared" si="20"/>
        <v>2</v>
      </c>
      <c r="AA126" s="60">
        <f t="shared" si="21"/>
        <v>0</v>
      </c>
      <c r="AB126" s="60">
        <f t="shared" si="22"/>
        <v>0</v>
      </c>
      <c r="AC126" s="60">
        <f t="shared" si="23"/>
        <v>4</v>
      </c>
      <c r="AD126" s="60">
        <f t="shared" si="24"/>
        <v>2</v>
      </c>
      <c r="AE126" s="60">
        <f t="shared" si="25"/>
        <v>0</v>
      </c>
      <c r="AG126" s="60" cm="1">
        <f t="array" aca="1" ref="AG126" ca="1">SQRT(SUMSQ(_xlfn._xlws.FILTER(S126:AE126,ISNUMBER(S126:AE126)))/COUNT(_xlfn._xlws.FILTER(S126:AE126,ISNUMBER(S126:AE126))))</f>
        <v>2.2360679774997898</v>
      </c>
    </row>
    <row r="127" spans="3:33" x14ac:dyDescent="0.2">
      <c r="C127" s="60" t="s">
        <v>278</v>
      </c>
      <c r="D127" s="60">
        <v>0</v>
      </c>
      <c r="E127" s="60">
        <v>-4</v>
      </c>
      <c r="F127" s="60">
        <v>-2</v>
      </c>
      <c r="G127" s="60">
        <v>-6</v>
      </c>
      <c r="H127" s="60">
        <v>-8</v>
      </c>
      <c r="I127" s="60">
        <v>-6</v>
      </c>
      <c r="J127" s="60">
        <v>-4</v>
      </c>
      <c r="K127" s="60">
        <v>-6</v>
      </c>
      <c r="L127" s="60">
        <v>-4</v>
      </c>
      <c r="M127" s="60">
        <v>-2</v>
      </c>
      <c r="N127" s="60">
        <v>-4</v>
      </c>
      <c r="O127" s="60">
        <v>-2</v>
      </c>
      <c r="P127" s="60">
        <v>0</v>
      </c>
      <c r="S127" s="60" t="e">
        <f t="shared" ca="1" si="13"/>
        <v>#REF!</v>
      </c>
      <c r="T127" s="60">
        <f t="shared" si="14"/>
        <v>4</v>
      </c>
      <c r="U127" s="60">
        <f t="shared" si="15"/>
        <v>2</v>
      </c>
      <c r="V127" s="60">
        <f t="shared" si="16"/>
        <v>6</v>
      </c>
      <c r="W127" s="60">
        <f t="shared" si="17"/>
        <v>8</v>
      </c>
      <c r="X127" s="60">
        <f t="shared" si="18"/>
        <v>6</v>
      </c>
      <c r="Y127" s="60">
        <f t="shared" si="19"/>
        <v>4</v>
      </c>
      <c r="Z127" s="60">
        <f t="shared" si="20"/>
        <v>6</v>
      </c>
      <c r="AA127" s="60">
        <f t="shared" si="21"/>
        <v>4</v>
      </c>
      <c r="AB127" s="60">
        <f t="shared" si="22"/>
        <v>2</v>
      </c>
      <c r="AC127" s="60">
        <f t="shared" si="23"/>
        <v>4</v>
      </c>
      <c r="AD127" s="60">
        <f t="shared" si="24"/>
        <v>2</v>
      </c>
      <c r="AE127" s="60">
        <f t="shared" si="25"/>
        <v>0</v>
      </c>
      <c r="AG127" s="60" cm="1">
        <f t="array" aca="1" ref="AG127" ca="1">SQRT(SUMSQ(_xlfn._xlws.FILTER(S127:AE127,ISNUMBER(S127:AE127)))/COUNT(_xlfn._xlws.FILTER(S127:AE127,ISNUMBER(S127:AE127))))</f>
        <v>4.5460605656619517</v>
      </c>
    </row>
    <row r="128" spans="3:33" x14ac:dyDescent="0.2">
      <c r="C128" s="60" t="s">
        <v>279</v>
      </c>
      <c r="D128" s="60">
        <v>0</v>
      </c>
      <c r="E128" s="60">
        <v>0</v>
      </c>
      <c r="F128" s="60">
        <v>-2</v>
      </c>
      <c r="G128" s="60">
        <v>-6</v>
      </c>
      <c r="H128" s="60">
        <v>-6</v>
      </c>
      <c r="I128" s="60">
        <v>-2</v>
      </c>
      <c r="J128" s="60">
        <v>-2</v>
      </c>
      <c r="K128" s="60">
        <v>-4</v>
      </c>
      <c r="L128" s="60">
        <v>0</v>
      </c>
      <c r="M128" s="60">
        <v>-4</v>
      </c>
      <c r="N128" s="60">
        <v>-4</v>
      </c>
      <c r="O128" s="60">
        <v>0</v>
      </c>
      <c r="P128" s="60">
        <v>0</v>
      </c>
      <c r="S128" s="60" t="e">
        <f t="shared" ca="1" si="13"/>
        <v>#REF!</v>
      </c>
      <c r="T128" s="60">
        <f t="shared" si="14"/>
        <v>0</v>
      </c>
      <c r="U128" s="60">
        <f t="shared" si="15"/>
        <v>2</v>
      </c>
      <c r="V128" s="60">
        <f t="shared" si="16"/>
        <v>6</v>
      </c>
      <c r="W128" s="60">
        <f t="shared" si="17"/>
        <v>6</v>
      </c>
      <c r="X128" s="60">
        <f t="shared" si="18"/>
        <v>2</v>
      </c>
      <c r="Y128" s="60">
        <f t="shared" si="19"/>
        <v>2</v>
      </c>
      <c r="Z128" s="60">
        <f t="shared" si="20"/>
        <v>4</v>
      </c>
      <c r="AA128" s="60">
        <f t="shared" si="21"/>
        <v>0</v>
      </c>
      <c r="AB128" s="60">
        <f t="shared" si="22"/>
        <v>4</v>
      </c>
      <c r="AC128" s="60">
        <f t="shared" si="23"/>
        <v>4</v>
      </c>
      <c r="AD128" s="60">
        <f t="shared" si="24"/>
        <v>0</v>
      </c>
      <c r="AE128" s="60">
        <f t="shared" si="25"/>
        <v>0</v>
      </c>
      <c r="AG128" s="60" cm="1">
        <f t="array" aca="1" ref="AG128" ca="1">SQRT(SUMSQ(_xlfn._xlws.FILTER(S128:AE128,ISNUMBER(S128:AE128)))/COUNT(_xlfn._xlws.FILTER(S128:AE128,ISNUMBER(S128:AE128))))</f>
        <v>3.3166247903553998</v>
      </c>
    </row>
    <row r="129" spans="3:33" x14ac:dyDescent="0.2">
      <c r="C129" s="60" t="s">
        <v>280</v>
      </c>
      <c r="D129" s="60">
        <v>0</v>
      </c>
      <c r="E129" s="60">
        <v>0</v>
      </c>
      <c r="F129" s="60">
        <v>-2</v>
      </c>
      <c r="G129" s="60">
        <v>0</v>
      </c>
      <c r="H129" s="60">
        <v>-4</v>
      </c>
      <c r="I129" s="60">
        <v>-2</v>
      </c>
      <c r="J129" s="60">
        <v>0</v>
      </c>
      <c r="K129" s="60">
        <v>0</v>
      </c>
      <c r="L129" s="60">
        <v>-2</v>
      </c>
      <c r="M129" s="60">
        <v>0</v>
      </c>
      <c r="N129" s="60">
        <v>-4</v>
      </c>
      <c r="O129" s="60">
        <v>-2</v>
      </c>
      <c r="P129" s="60">
        <v>0</v>
      </c>
      <c r="S129" s="60" t="e">
        <f t="shared" ca="1" si="13"/>
        <v>#REF!</v>
      </c>
      <c r="T129" s="60">
        <f t="shared" si="14"/>
        <v>0</v>
      </c>
      <c r="U129" s="60">
        <f t="shared" si="15"/>
        <v>2</v>
      </c>
      <c r="V129" s="60">
        <f t="shared" si="16"/>
        <v>0</v>
      </c>
      <c r="W129" s="60">
        <f t="shared" si="17"/>
        <v>4</v>
      </c>
      <c r="X129" s="60">
        <f t="shared" si="18"/>
        <v>2</v>
      </c>
      <c r="Y129" s="60">
        <f t="shared" si="19"/>
        <v>0</v>
      </c>
      <c r="Z129" s="60">
        <f t="shared" si="20"/>
        <v>0</v>
      </c>
      <c r="AA129" s="60">
        <f t="shared" si="21"/>
        <v>2</v>
      </c>
      <c r="AB129" s="60">
        <f t="shared" si="22"/>
        <v>0</v>
      </c>
      <c r="AC129" s="60">
        <f t="shared" si="23"/>
        <v>4</v>
      </c>
      <c r="AD129" s="60">
        <f t="shared" si="24"/>
        <v>2</v>
      </c>
      <c r="AE129" s="60">
        <f t="shared" si="25"/>
        <v>0</v>
      </c>
      <c r="AG129" s="60" cm="1">
        <f t="array" aca="1" ref="AG129" ca="1">SQRT(SUMSQ(_xlfn._xlws.FILTER(S129:AE129,ISNUMBER(S129:AE129)))/COUNT(_xlfn._xlws.FILTER(S129:AE129,ISNUMBER(S129:AE129))))</f>
        <v>2</v>
      </c>
    </row>
    <row r="130" spans="3:33" x14ac:dyDescent="0.2">
      <c r="C130" s="60" t="s">
        <v>281</v>
      </c>
      <c r="D130" s="60">
        <v>0</v>
      </c>
      <c r="E130" s="60">
        <v>0</v>
      </c>
      <c r="F130" s="60">
        <v>-2</v>
      </c>
      <c r="G130" s="60">
        <v>-6</v>
      </c>
      <c r="H130" s="60">
        <v>-10</v>
      </c>
      <c r="I130" s="60">
        <v>-8</v>
      </c>
      <c r="J130" s="60">
        <v>-8</v>
      </c>
      <c r="K130" s="60">
        <v>-6</v>
      </c>
      <c r="L130" s="60">
        <v>-6</v>
      </c>
      <c r="M130" s="60">
        <v>-4</v>
      </c>
      <c r="N130" s="60">
        <v>-4</v>
      </c>
      <c r="O130" s="60">
        <v>-2</v>
      </c>
      <c r="P130" s="60">
        <v>0</v>
      </c>
      <c r="S130" s="60" t="e">
        <f t="shared" ca="1" si="13"/>
        <v>#REF!</v>
      </c>
      <c r="T130" s="60">
        <f t="shared" si="14"/>
        <v>0</v>
      </c>
      <c r="U130" s="60">
        <f t="shared" si="15"/>
        <v>2</v>
      </c>
      <c r="V130" s="60">
        <f t="shared" si="16"/>
        <v>6</v>
      </c>
      <c r="W130" s="60">
        <f t="shared" si="17"/>
        <v>10</v>
      </c>
      <c r="X130" s="60">
        <f t="shared" si="18"/>
        <v>8</v>
      </c>
      <c r="Y130" s="60">
        <f t="shared" si="19"/>
        <v>8</v>
      </c>
      <c r="Z130" s="60">
        <f t="shared" si="20"/>
        <v>6</v>
      </c>
      <c r="AA130" s="60">
        <f t="shared" si="21"/>
        <v>6</v>
      </c>
      <c r="AB130" s="60">
        <f t="shared" si="22"/>
        <v>4</v>
      </c>
      <c r="AC130" s="60">
        <f t="shared" si="23"/>
        <v>4</v>
      </c>
      <c r="AD130" s="60">
        <f t="shared" si="24"/>
        <v>2</v>
      </c>
      <c r="AE130" s="60">
        <f t="shared" si="25"/>
        <v>0</v>
      </c>
      <c r="AG130" s="60" cm="1">
        <f t="array" aca="1" ref="AG130" ca="1">SQRT(SUMSQ(_xlfn._xlws.FILTER(S130:AE130,ISNUMBER(S130:AE130)))/COUNT(_xlfn._xlws.FILTER(S130:AE130,ISNUMBER(S130:AE130))))</f>
        <v>5.5976185412488881</v>
      </c>
    </row>
    <row r="131" spans="3:33" x14ac:dyDescent="0.2">
      <c r="C131" s="60" t="s">
        <v>282</v>
      </c>
      <c r="D131" s="60">
        <v>0</v>
      </c>
      <c r="E131" s="60">
        <v>-2</v>
      </c>
      <c r="F131" s="60">
        <v>-4</v>
      </c>
      <c r="G131" s="60">
        <v>-6</v>
      </c>
      <c r="H131" s="60">
        <v>-8</v>
      </c>
      <c r="I131" s="60">
        <v>-8</v>
      </c>
      <c r="J131" s="60">
        <v>-8</v>
      </c>
      <c r="K131" s="60">
        <v>-6</v>
      </c>
      <c r="L131" s="60">
        <v>-4</v>
      </c>
      <c r="M131" s="60">
        <v>-4</v>
      </c>
      <c r="N131" s="60">
        <v>-4</v>
      </c>
      <c r="O131" s="60">
        <v>-2</v>
      </c>
      <c r="P131" s="60">
        <v>0</v>
      </c>
      <c r="S131" s="60" t="e">
        <f t="shared" ca="1" si="13"/>
        <v>#REF!</v>
      </c>
      <c r="T131" s="60">
        <f t="shared" si="14"/>
        <v>2</v>
      </c>
      <c r="U131" s="60">
        <f t="shared" si="15"/>
        <v>4</v>
      </c>
      <c r="V131" s="60">
        <f t="shared" si="16"/>
        <v>6</v>
      </c>
      <c r="W131" s="60">
        <f t="shared" si="17"/>
        <v>8</v>
      </c>
      <c r="X131" s="60">
        <f t="shared" si="18"/>
        <v>8</v>
      </c>
      <c r="Y131" s="60">
        <f t="shared" si="19"/>
        <v>8</v>
      </c>
      <c r="Z131" s="60">
        <f t="shared" si="20"/>
        <v>6</v>
      </c>
      <c r="AA131" s="60">
        <f t="shared" si="21"/>
        <v>4</v>
      </c>
      <c r="AB131" s="60">
        <f t="shared" si="22"/>
        <v>4</v>
      </c>
      <c r="AC131" s="60">
        <f t="shared" si="23"/>
        <v>4</v>
      </c>
      <c r="AD131" s="60">
        <f t="shared" si="24"/>
        <v>2</v>
      </c>
      <c r="AE131" s="60">
        <f t="shared" si="25"/>
        <v>0</v>
      </c>
      <c r="AG131" s="60" cm="1">
        <f t="array" aca="1" ref="AG131" ca="1">SQRT(SUMSQ(_xlfn._xlws.FILTER(S131:AE131,ISNUMBER(S131:AE131)))/COUNT(_xlfn._xlws.FILTER(S131:AE131,ISNUMBER(S131:AE131))))</f>
        <v>5.2915026221291814</v>
      </c>
    </row>
    <row r="132" spans="3:33" x14ac:dyDescent="0.2">
      <c r="C132" s="60" t="s">
        <v>283</v>
      </c>
      <c r="D132" s="60">
        <v>0</v>
      </c>
      <c r="E132" s="60">
        <v>-2</v>
      </c>
      <c r="F132" s="60">
        <v>-4</v>
      </c>
      <c r="G132" s="60">
        <v>-4</v>
      </c>
      <c r="H132" s="60">
        <v>-6</v>
      </c>
      <c r="I132" s="60">
        <v>-8</v>
      </c>
      <c r="J132" s="60">
        <v>-10</v>
      </c>
      <c r="K132" s="60">
        <v>-4</v>
      </c>
      <c r="L132" s="60">
        <v>-4</v>
      </c>
      <c r="M132" s="60">
        <v>-4</v>
      </c>
      <c r="N132" s="60">
        <v>2</v>
      </c>
      <c r="O132" s="60">
        <v>0</v>
      </c>
      <c r="P132" s="60">
        <v>0</v>
      </c>
      <c r="S132" s="60" t="e">
        <f t="shared" ca="1" si="13"/>
        <v>#REF!</v>
      </c>
      <c r="T132" s="60">
        <f t="shared" si="14"/>
        <v>2</v>
      </c>
      <c r="U132" s="60">
        <f t="shared" si="15"/>
        <v>4</v>
      </c>
      <c r="V132" s="60">
        <f t="shared" si="16"/>
        <v>4</v>
      </c>
      <c r="W132" s="60">
        <f t="shared" si="17"/>
        <v>6</v>
      </c>
      <c r="X132" s="60">
        <f t="shared" si="18"/>
        <v>8</v>
      </c>
      <c r="Y132" s="60">
        <f t="shared" si="19"/>
        <v>10</v>
      </c>
      <c r="Z132" s="60">
        <f t="shared" si="20"/>
        <v>4</v>
      </c>
      <c r="AA132" s="60">
        <f t="shared" si="21"/>
        <v>4</v>
      </c>
      <c r="AB132" s="60">
        <f t="shared" si="22"/>
        <v>4</v>
      </c>
      <c r="AC132" s="60">
        <f t="shared" si="23"/>
        <v>-2</v>
      </c>
      <c r="AD132" s="60">
        <f t="shared" si="24"/>
        <v>0</v>
      </c>
      <c r="AE132" s="60">
        <f t="shared" si="25"/>
        <v>0</v>
      </c>
      <c r="AG132" s="60" cm="1">
        <f t="array" aca="1" ref="AG132" ca="1">SQRT(SUMSQ(_xlfn._xlws.FILTER(S132:AE132,ISNUMBER(S132:AE132)))/COUNT(_xlfn._xlws.FILTER(S132:AE132,ISNUMBER(S132:AE132))))</f>
        <v>4.8989794855663558</v>
      </c>
    </row>
    <row r="133" spans="3:33" x14ac:dyDescent="0.2">
      <c r="C133" s="60" t="s">
        <v>284</v>
      </c>
      <c r="D133" s="60">
        <v>0</v>
      </c>
      <c r="E133" s="60">
        <v>-2</v>
      </c>
      <c r="F133" s="60">
        <v>-4</v>
      </c>
      <c r="G133" s="60">
        <v>-6</v>
      </c>
      <c r="H133" s="60">
        <v>-4</v>
      </c>
      <c r="I133" s="60">
        <v>-6</v>
      </c>
      <c r="J133" s="60">
        <v>-4</v>
      </c>
      <c r="K133" s="60">
        <v>-4</v>
      </c>
      <c r="L133" s="60">
        <v>-4</v>
      </c>
      <c r="M133" s="60">
        <v>-4</v>
      </c>
      <c r="N133" s="60">
        <v>0</v>
      </c>
      <c r="O133" s="60">
        <v>-2</v>
      </c>
      <c r="P133" s="60">
        <v>0</v>
      </c>
      <c r="S133" s="60" t="e">
        <f t="shared" ca="1" si="13"/>
        <v>#REF!</v>
      </c>
      <c r="T133" s="60">
        <f t="shared" si="14"/>
        <v>2</v>
      </c>
      <c r="U133" s="60">
        <f t="shared" si="15"/>
        <v>4</v>
      </c>
      <c r="V133" s="60">
        <f t="shared" si="16"/>
        <v>6</v>
      </c>
      <c r="W133" s="60">
        <f t="shared" si="17"/>
        <v>4</v>
      </c>
      <c r="X133" s="60">
        <f t="shared" si="18"/>
        <v>6</v>
      </c>
      <c r="Y133" s="60">
        <f t="shared" si="19"/>
        <v>4</v>
      </c>
      <c r="Z133" s="60">
        <f t="shared" si="20"/>
        <v>4</v>
      </c>
      <c r="AA133" s="60">
        <f t="shared" si="21"/>
        <v>4</v>
      </c>
      <c r="AB133" s="60">
        <f t="shared" si="22"/>
        <v>4</v>
      </c>
      <c r="AC133" s="60">
        <f t="shared" si="23"/>
        <v>0</v>
      </c>
      <c r="AD133" s="60">
        <f t="shared" si="24"/>
        <v>2</v>
      </c>
      <c r="AE133" s="60">
        <f t="shared" si="25"/>
        <v>0</v>
      </c>
      <c r="AG133" s="60" cm="1">
        <f t="array" aca="1" ref="AG133" ca="1">SQRT(SUMSQ(_xlfn._xlws.FILTER(S133:AE133,ISNUMBER(S133:AE133)))/COUNT(_xlfn._xlws.FILTER(S133:AE133,ISNUMBER(S133:AE133))))</f>
        <v>3.8297084310253524</v>
      </c>
    </row>
    <row r="134" spans="3:33" x14ac:dyDescent="0.2">
      <c r="C134" s="60" t="s">
        <v>285</v>
      </c>
      <c r="D134" s="60">
        <v>0</v>
      </c>
      <c r="E134" s="60">
        <v>0</v>
      </c>
      <c r="F134" s="60">
        <v>0</v>
      </c>
      <c r="G134" s="60">
        <v>0</v>
      </c>
      <c r="H134" s="60">
        <v>-2</v>
      </c>
      <c r="I134" s="60">
        <v>-2</v>
      </c>
      <c r="J134" s="60">
        <v>-2</v>
      </c>
      <c r="K134" s="60">
        <v>0</v>
      </c>
      <c r="L134" s="60">
        <v>0</v>
      </c>
      <c r="M134" s="60">
        <v>0</v>
      </c>
      <c r="N134" s="60">
        <v>0</v>
      </c>
      <c r="O134" s="60">
        <v>2</v>
      </c>
      <c r="P134" s="60">
        <v>0</v>
      </c>
      <c r="S134" s="60" t="e">
        <f t="shared" ca="1" si="13"/>
        <v>#REF!</v>
      </c>
      <c r="T134" s="60">
        <f t="shared" si="14"/>
        <v>0</v>
      </c>
      <c r="U134" s="60">
        <f t="shared" si="15"/>
        <v>0</v>
      </c>
      <c r="V134" s="60">
        <f t="shared" si="16"/>
        <v>0</v>
      </c>
      <c r="W134" s="60">
        <f t="shared" si="17"/>
        <v>2</v>
      </c>
      <c r="X134" s="60">
        <f t="shared" si="18"/>
        <v>2</v>
      </c>
      <c r="Y134" s="60">
        <f t="shared" si="19"/>
        <v>2</v>
      </c>
      <c r="Z134" s="60">
        <f t="shared" si="20"/>
        <v>0</v>
      </c>
      <c r="AA134" s="60">
        <f t="shared" si="21"/>
        <v>0</v>
      </c>
      <c r="AB134" s="60">
        <f t="shared" si="22"/>
        <v>0</v>
      </c>
      <c r="AC134" s="60">
        <f t="shared" si="23"/>
        <v>0</v>
      </c>
      <c r="AD134" s="60">
        <f t="shared" si="24"/>
        <v>-2</v>
      </c>
      <c r="AE134" s="60">
        <f t="shared" si="25"/>
        <v>0</v>
      </c>
      <c r="AG134" s="60" cm="1">
        <f t="array" aca="1" ref="AG134" ca="1">SQRT(SUMSQ(_xlfn._xlws.FILTER(S134:AE134,ISNUMBER(S134:AE134)))/COUNT(_xlfn._xlws.FILTER(S134:AE134,ISNUMBER(S134:AE134))))</f>
        <v>1.1547005383792515</v>
      </c>
    </row>
    <row r="135" spans="3:33" x14ac:dyDescent="0.2">
      <c r="C135" s="60" t="s">
        <v>286</v>
      </c>
      <c r="D135" s="60">
        <v>0</v>
      </c>
      <c r="E135" s="60">
        <v>-2</v>
      </c>
      <c r="F135" s="60">
        <v>-4</v>
      </c>
      <c r="G135" s="60">
        <v>-6</v>
      </c>
      <c r="H135" s="60">
        <v>-8</v>
      </c>
      <c r="I135" s="60">
        <v>-6</v>
      </c>
      <c r="J135" s="60">
        <v>-4</v>
      </c>
      <c r="K135" s="60">
        <v>-2</v>
      </c>
      <c r="L135" s="60">
        <v>-4</v>
      </c>
      <c r="M135" s="60">
        <v>-6</v>
      </c>
      <c r="N135" s="60">
        <v>-4</v>
      </c>
      <c r="O135" s="60">
        <v>-2</v>
      </c>
      <c r="P135" s="60">
        <v>0</v>
      </c>
      <c r="S135" s="60" t="e">
        <f t="shared" ca="1" si="13"/>
        <v>#REF!</v>
      </c>
      <c r="T135" s="60">
        <f t="shared" si="14"/>
        <v>2</v>
      </c>
      <c r="U135" s="60">
        <f t="shared" si="15"/>
        <v>4</v>
      </c>
      <c r="V135" s="60">
        <f t="shared" si="16"/>
        <v>6</v>
      </c>
      <c r="W135" s="60">
        <f t="shared" si="17"/>
        <v>8</v>
      </c>
      <c r="X135" s="60">
        <f t="shared" si="18"/>
        <v>6</v>
      </c>
      <c r="Y135" s="60">
        <f t="shared" si="19"/>
        <v>4</v>
      </c>
      <c r="Z135" s="60">
        <f t="shared" si="20"/>
        <v>2</v>
      </c>
      <c r="AA135" s="60">
        <f t="shared" si="21"/>
        <v>4</v>
      </c>
      <c r="AB135" s="60">
        <f t="shared" si="22"/>
        <v>6</v>
      </c>
      <c r="AC135" s="60">
        <f t="shared" si="23"/>
        <v>4</v>
      </c>
      <c r="AD135" s="60">
        <f t="shared" si="24"/>
        <v>2</v>
      </c>
      <c r="AE135" s="60">
        <f t="shared" si="25"/>
        <v>0</v>
      </c>
      <c r="AG135" s="60" cm="1">
        <f t="array" aca="1" ref="AG135" ca="1">SQRT(SUMSQ(_xlfn._xlws.FILTER(S135:AE135,ISNUMBER(S135:AE135)))/COUNT(_xlfn._xlws.FILTER(S135:AE135,ISNUMBER(S135:AE135))))</f>
        <v>4.5460605656619517</v>
      </c>
    </row>
    <row r="136" spans="3:33" x14ac:dyDescent="0.2">
      <c r="C136" s="60" t="s">
        <v>287</v>
      </c>
      <c r="D136" s="60">
        <v>0</v>
      </c>
      <c r="E136" s="60">
        <v>-2</v>
      </c>
      <c r="F136" s="60">
        <v>-5</v>
      </c>
      <c r="G136" s="60">
        <v>-7</v>
      </c>
      <c r="H136" s="60">
        <v>-10</v>
      </c>
      <c r="I136" s="60">
        <v>-8</v>
      </c>
      <c r="J136" s="60">
        <v>-6</v>
      </c>
      <c r="K136" s="60">
        <v>-4</v>
      </c>
      <c r="L136" s="60">
        <v>-5</v>
      </c>
      <c r="M136" s="60">
        <v>-6</v>
      </c>
      <c r="N136" s="60">
        <v>-4</v>
      </c>
      <c r="O136" s="60">
        <v>-2</v>
      </c>
      <c r="P136" s="60">
        <v>0</v>
      </c>
      <c r="S136" s="60" t="e">
        <f t="shared" ref="S136:S199" ca="1" si="26">S$4-D136</f>
        <v>#REF!</v>
      </c>
      <c r="T136" s="60">
        <f t="shared" ref="T136:T199" si="27">T$4-E136</f>
        <v>2</v>
      </c>
      <c r="U136" s="60">
        <f t="shared" ref="U136:U199" si="28">U$4-F136</f>
        <v>5</v>
      </c>
      <c r="V136" s="60">
        <f t="shared" ref="V136:V199" si="29">V$4-G136</f>
        <v>7</v>
      </c>
      <c r="W136" s="60">
        <f t="shared" ref="W136:W199" si="30">W$4-H136</f>
        <v>10</v>
      </c>
      <c r="X136" s="60">
        <f t="shared" ref="X136:X199" si="31">X$4-I136</f>
        <v>8</v>
      </c>
      <c r="Y136" s="60">
        <f t="shared" ref="Y136:Y199" si="32">Y$4-J136</f>
        <v>6</v>
      </c>
      <c r="Z136" s="60">
        <f t="shared" ref="Z136:Z199" si="33">Z$4-K136</f>
        <v>4</v>
      </c>
      <c r="AA136" s="60">
        <f t="shared" ref="AA136:AA199" si="34">AA$4-L136</f>
        <v>5</v>
      </c>
      <c r="AB136" s="60">
        <f t="shared" ref="AB136:AB199" si="35">AB$4-M136</f>
        <v>6</v>
      </c>
      <c r="AC136" s="60">
        <f t="shared" ref="AC136:AC199" si="36">AC$4-N136</f>
        <v>4</v>
      </c>
      <c r="AD136" s="60">
        <f t="shared" ref="AD136:AD199" si="37">AD$4-O136</f>
        <v>2</v>
      </c>
      <c r="AE136" s="60">
        <f t="shared" ref="AE136:AE199" si="38">AE$4-P136</f>
        <v>0</v>
      </c>
      <c r="AG136" s="60" cm="1">
        <f t="array" aca="1" ref="AG136" ca="1">SQRT(SUMSQ(_xlfn._xlws.FILTER(S136:AE136,ISNUMBER(S136:AE136)))/COUNT(_xlfn._xlws.FILTER(S136:AE136,ISNUMBER(S136:AE136))))</f>
        <v>5.5901699437494745</v>
      </c>
    </row>
    <row r="137" spans="3:33" x14ac:dyDescent="0.2">
      <c r="C137" s="60" t="s">
        <v>288</v>
      </c>
      <c r="D137" s="60">
        <v>0</v>
      </c>
      <c r="E137" s="60">
        <v>-3</v>
      </c>
      <c r="F137" s="60">
        <v>-7</v>
      </c>
      <c r="G137" s="60">
        <v>-10</v>
      </c>
      <c r="H137" s="60">
        <v>-14</v>
      </c>
      <c r="I137" s="60">
        <v>-17</v>
      </c>
      <c r="J137" s="60">
        <v>0</v>
      </c>
      <c r="K137" s="60">
        <v>-3</v>
      </c>
      <c r="L137" s="60">
        <v>-7</v>
      </c>
      <c r="M137" s="60">
        <v>-10</v>
      </c>
      <c r="N137" s="60">
        <v>-14</v>
      </c>
      <c r="O137" s="60">
        <v>3</v>
      </c>
      <c r="P137" s="60">
        <v>0</v>
      </c>
      <c r="S137" s="60" t="e">
        <f t="shared" ca="1" si="26"/>
        <v>#REF!</v>
      </c>
      <c r="T137" s="60">
        <f t="shared" si="27"/>
        <v>3</v>
      </c>
      <c r="U137" s="60">
        <f t="shared" si="28"/>
        <v>7</v>
      </c>
      <c r="V137" s="60">
        <f t="shared" si="29"/>
        <v>10</v>
      </c>
      <c r="W137" s="60">
        <f t="shared" si="30"/>
        <v>14</v>
      </c>
      <c r="X137" s="60">
        <f t="shared" si="31"/>
        <v>17</v>
      </c>
      <c r="Y137" s="60">
        <f t="shared" si="32"/>
        <v>0</v>
      </c>
      <c r="Z137" s="60">
        <f t="shared" si="33"/>
        <v>3</v>
      </c>
      <c r="AA137" s="60">
        <f t="shared" si="34"/>
        <v>7</v>
      </c>
      <c r="AB137" s="60">
        <f t="shared" si="35"/>
        <v>10</v>
      </c>
      <c r="AC137" s="60">
        <f t="shared" si="36"/>
        <v>14</v>
      </c>
      <c r="AD137" s="60">
        <f t="shared" si="37"/>
        <v>-3</v>
      </c>
      <c r="AE137" s="60">
        <f t="shared" si="38"/>
        <v>0</v>
      </c>
      <c r="AG137" s="60" cm="1">
        <f t="array" aca="1" ref="AG137" ca="1">SQRT(SUMSQ(_xlfn._xlws.FILTER(S137:AE137,ISNUMBER(S137:AE137)))/COUNT(_xlfn._xlws.FILTER(S137:AE137,ISNUMBER(S137:AE137))))</f>
        <v>9.1560544632135805</v>
      </c>
    </row>
    <row r="138" spans="3:33" x14ac:dyDescent="0.2">
      <c r="C138" s="60" t="s">
        <v>289</v>
      </c>
      <c r="D138" s="60">
        <v>0</v>
      </c>
      <c r="E138" s="60">
        <v>2</v>
      </c>
      <c r="F138" s="60">
        <v>4</v>
      </c>
      <c r="G138" s="60">
        <v>-16</v>
      </c>
      <c r="H138" s="60">
        <v>-14</v>
      </c>
      <c r="I138" s="60">
        <v>-12</v>
      </c>
      <c r="J138" s="60">
        <v>-10</v>
      </c>
      <c r="K138" s="60">
        <v>-30</v>
      </c>
      <c r="L138" s="60">
        <v>-28</v>
      </c>
      <c r="M138" s="60">
        <v>-26</v>
      </c>
      <c r="N138" s="60">
        <v>18</v>
      </c>
      <c r="O138" s="60">
        <v>-2</v>
      </c>
      <c r="P138" s="60">
        <v>0</v>
      </c>
      <c r="S138" s="60" t="e">
        <f t="shared" ca="1" si="26"/>
        <v>#REF!</v>
      </c>
      <c r="T138" s="60">
        <f t="shared" si="27"/>
        <v>-2</v>
      </c>
      <c r="U138" s="60">
        <f t="shared" si="28"/>
        <v>-4</v>
      </c>
      <c r="V138" s="60">
        <f t="shared" si="29"/>
        <v>16</v>
      </c>
      <c r="W138" s="60">
        <f t="shared" si="30"/>
        <v>14</v>
      </c>
      <c r="X138" s="60">
        <f t="shared" si="31"/>
        <v>12</v>
      </c>
      <c r="Y138" s="60">
        <f t="shared" si="32"/>
        <v>10</v>
      </c>
      <c r="Z138" s="60">
        <f t="shared" si="33"/>
        <v>30</v>
      </c>
      <c r="AA138" s="60">
        <f t="shared" si="34"/>
        <v>28</v>
      </c>
      <c r="AB138" s="60">
        <f t="shared" si="35"/>
        <v>26</v>
      </c>
      <c r="AC138" s="60">
        <f t="shared" si="36"/>
        <v>-18</v>
      </c>
      <c r="AD138" s="60">
        <f t="shared" si="37"/>
        <v>2</v>
      </c>
      <c r="AE138" s="60">
        <f t="shared" si="38"/>
        <v>0</v>
      </c>
      <c r="AG138" s="60" cm="1">
        <f t="array" aca="1" ref="AG138" ca="1">SQRT(SUMSQ(_xlfn._xlws.FILTER(S138:AE138,ISNUMBER(S138:AE138)))/COUNT(_xlfn._xlws.FILTER(S138:AE138,ISNUMBER(S138:AE138))))</f>
        <v>16.842406795546374</v>
      </c>
    </row>
    <row r="139" spans="3:33" x14ac:dyDescent="0.2">
      <c r="C139" s="60" t="s">
        <v>290</v>
      </c>
      <c r="D139" s="60">
        <v>0</v>
      </c>
      <c r="E139" s="60">
        <v>-2</v>
      </c>
      <c r="F139" s="60">
        <v>-3</v>
      </c>
      <c r="G139" s="60">
        <v>-5</v>
      </c>
      <c r="H139" s="60">
        <v>-7</v>
      </c>
      <c r="I139" s="60">
        <v>-6</v>
      </c>
      <c r="J139" s="60">
        <v>-6</v>
      </c>
      <c r="K139" s="60">
        <v>-6</v>
      </c>
      <c r="L139" s="60">
        <v>-6</v>
      </c>
      <c r="M139" s="60">
        <v>-4</v>
      </c>
      <c r="N139" s="60">
        <v>-2</v>
      </c>
      <c r="O139" s="60">
        <v>0</v>
      </c>
      <c r="P139" s="60">
        <v>0</v>
      </c>
      <c r="S139" s="60" t="e">
        <f t="shared" ca="1" si="26"/>
        <v>#REF!</v>
      </c>
      <c r="T139" s="60">
        <f t="shared" si="27"/>
        <v>2</v>
      </c>
      <c r="U139" s="60">
        <f t="shared" si="28"/>
        <v>3</v>
      </c>
      <c r="V139" s="60">
        <f t="shared" si="29"/>
        <v>5</v>
      </c>
      <c r="W139" s="60">
        <f t="shared" si="30"/>
        <v>7</v>
      </c>
      <c r="X139" s="60">
        <f t="shared" si="31"/>
        <v>6</v>
      </c>
      <c r="Y139" s="60">
        <f t="shared" si="32"/>
        <v>6</v>
      </c>
      <c r="Z139" s="60">
        <f t="shared" si="33"/>
        <v>6</v>
      </c>
      <c r="AA139" s="60">
        <f t="shared" si="34"/>
        <v>6</v>
      </c>
      <c r="AB139" s="60">
        <f t="shared" si="35"/>
        <v>4</v>
      </c>
      <c r="AC139" s="60">
        <f t="shared" si="36"/>
        <v>2</v>
      </c>
      <c r="AD139" s="60">
        <f t="shared" si="37"/>
        <v>0</v>
      </c>
      <c r="AE139" s="60">
        <f t="shared" si="38"/>
        <v>0</v>
      </c>
      <c r="AG139" s="60" cm="1">
        <f t="array" aca="1" ref="AG139" ca="1">SQRT(SUMSQ(_xlfn._xlws.FILTER(S139:AE139,ISNUMBER(S139:AE139)))/COUNT(_xlfn._xlws.FILTER(S139:AE139,ISNUMBER(S139:AE139))))</f>
        <v>4.5734742446707477</v>
      </c>
    </row>
    <row r="140" spans="3:33" x14ac:dyDescent="0.2">
      <c r="C140" s="60" t="s">
        <v>291</v>
      </c>
      <c r="D140" s="60">
        <v>0</v>
      </c>
      <c r="E140" s="60">
        <v>2</v>
      </c>
      <c r="F140" s="60">
        <v>4</v>
      </c>
      <c r="G140" s="60">
        <v>-16</v>
      </c>
      <c r="H140" s="60">
        <v>-14</v>
      </c>
      <c r="I140" s="60">
        <v>-12</v>
      </c>
      <c r="J140" s="60">
        <v>-10</v>
      </c>
      <c r="K140" s="60">
        <v>12</v>
      </c>
      <c r="L140" s="60">
        <v>14</v>
      </c>
      <c r="M140" s="60">
        <v>16</v>
      </c>
      <c r="N140" s="60">
        <v>-4</v>
      </c>
      <c r="O140" s="60">
        <v>-2</v>
      </c>
      <c r="P140" s="60">
        <v>0</v>
      </c>
      <c r="S140" s="60" t="e">
        <f t="shared" ca="1" si="26"/>
        <v>#REF!</v>
      </c>
      <c r="T140" s="60">
        <f t="shared" si="27"/>
        <v>-2</v>
      </c>
      <c r="U140" s="60">
        <f t="shared" si="28"/>
        <v>-4</v>
      </c>
      <c r="V140" s="60">
        <f t="shared" si="29"/>
        <v>16</v>
      </c>
      <c r="W140" s="60">
        <f t="shared" si="30"/>
        <v>14</v>
      </c>
      <c r="X140" s="60">
        <f t="shared" si="31"/>
        <v>12</v>
      </c>
      <c r="Y140" s="60">
        <f t="shared" si="32"/>
        <v>10</v>
      </c>
      <c r="Z140" s="60">
        <f t="shared" si="33"/>
        <v>-12</v>
      </c>
      <c r="AA140" s="60">
        <f t="shared" si="34"/>
        <v>-14</v>
      </c>
      <c r="AB140" s="60">
        <f t="shared" si="35"/>
        <v>-16</v>
      </c>
      <c r="AC140" s="60">
        <f t="shared" si="36"/>
        <v>4</v>
      </c>
      <c r="AD140" s="60">
        <f t="shared" si="37"/>
        <v>2</v>
      </c>
      <c r="AE140" s="60">
        <f t="shared" si="38"/>
        <v>0</v>
      </c>
      <c r="AG140" s="60" cm="1">
        <f t="array" aca="1" ref="AG140" ca="1">SQRT(SUMSQ(_xlfn._xlws.FILTER(S140:AE140,ISNUMBER(S140:AE140)))/COUNT(_xlfn._xlws.FILTER(S140:AE140,ISNUMBER(S140:AE140))))</f>
        <v>10.535653752852738</v>
      </c>
    </row>
    <row r="141" spans="3:33" x14ac:dyDescent="0.2">
      <c r="C141" s="60" t="s">
        <v>292</v>
      </c>
      <c r="D141" s="60">
        <v>0</v>
      </c>
      <c r="E141" s="60">
        <v>-9</v>
      </c>
      <c r="F141" s="60">
        <v>-7</v>
      </c>
      <c r="G141" s="60">
        <v>-5</v>
      </c>
      <c r="H141" s="60">
        <v>-14</v>
      </c>
      <c r="I141" s="60">
        <v>-2</v>
      </c>
      <c r="J141" s="60">
        <v>-10</v>
      </c>
      <c r="K141" s="60">
        <v>-3</v>
      </c>
      <c r="L141" s="60">
        <v>-7</v>
      </c>
      <c r="M141" s="60">
        <v>-10</v>
      </c>
      <c r="N141" s="60">
        <v>-3</v>
      </c>
      <c r="O141" s="60">
        <v>-12</v>
      </c>
      <c r="P141" s="60">
        <v>0</v>
      </c>
      <c r="S141" s="60" t="e">
        <f t="shared" ca="1" si="26"/>
        <v>#REF!</v>
      </c>
      <c r="T141" s="60">
        <f t="shared" si="27"/>
        <v>9</v>
      </c>
      <c r="U141" s="60">
        <f t="shared" si="28"/>
        <v>7</v>
      </c>
      <c r="V141" s="60">
        <f t="shared" si="29"/>
        <v>5</v>
      </c>
      <c r="W141" s="60">
        <f t="shared" si="30"/>
        <v>14</v>
      </c>
      <c r="X141" s="60">
        <f t="shared" si="31"/>
        <v>2</v>
      </c>
      <c r="Y141" s="60">
        <f t="shared" si="32"/>
        <v>10</v>
      </c>
      <c r="Z141" s="60">
        <f t="shared" si="33"/>
        <v>3</v>
      </c>
      <c r="AA141" s="60">
        <f t="shared" si="34"/>
        <v>7</v>
      </c>
      <c r="AB141" s="60">
        <f t="shared" si="35"/>
        <v>10</v>
      </c>
      <c r="AC141" s="60">
        <f t="shared" si="36"/>
        <v>3</v>
      </c>
      <c r="AD141" s="60">
        <f t="shared" si="37"/>
        <v>12</v>
      </c>
      <c r="AE141" s="60">
        <f t="shared" si="38"/>
        <v>0</v>
      </c>
      <c r="AG141" s="60" cm="1">
        <f t="array" aca="1" ref="AG141" ca="1">SQRT(SUMSQ(_xlfn._xlws.FILTER(S141:AE141,ISNUMBER(S141:AE141)))/COUNT(_xlfn._xlws.FILTER(S141:AE141,ISNUMBER(S141:AE141))))</f>
        <v>7.9895765428045893</v>
      </c>
    </row>
    <row r="142" spans="3:33" x14ac:dyDescent="0.2">
      <c r="C142" s="60" t="s">
        <v>293</v>
      </c>
      <c r="D142" s="60">
        <v>0</v>
      </c>
      <c r="E142" s="60">
        <v>-8.5549999999999997</v>
      </c>
      <c r="F142" s="60">
        <v>-6.8440000000000003</v>
      </c>
      <c r="G142" s="60">
        <v>-5.133</v>
      </c>
      <c r="H142" s="60">
        <v>-13.688000000000001</v>
      </c>
      <c r="I142" s="60">
        <v>-1.7110000000000001</v>
      </c>
      <c r="J142" s="60">
        <v>-10.266</v>
      </c>
      <c r="K142" s="60">
        <v>-3.4220000000000002</v>
      </c>
      <c r="L142" s="60">
        <v>-6.8440000000000003</v>
      </c>
      <c r="M142" s="60">
        <v>-10.266</v>
      </c>
      <c r="N142" s="60">
        <v>-3.4220000000000002</v>
      </c>
      <c r="O142" s="60">
        <v>-11.977</v>
      </c>
      <c r="P142" s="60">
        <v>0</v>
      </c>
      <c r="S142" s="60" t="e">
        <f t="shared" ca="1" si="26"/>
        <v>#REF!</v>
      </c>
      <c r="T142" s="60">
        <f t="shared" si="27"/>
        <v>8.5549999999999997</v>
      </c>
      <c r="U142" s="60">
        <f t="shared" si="28"/>
        <v>6.8440000000000003</v>
      </c>
      <c r="V142" s="60">
        <f t="shared" si="29"/>
        <v>5.133</v>
      </c>
      <c r="W142" s="60">
        <f t="shared" si="30"/>
        <v>13.688000000000001</v>
      </c>
      <c r="X142" s="60">
        <f t="shared" si="31"/>
        <v>1.7110000000000001</v>
      </c>
      <c r="Y142" s="60">
        <f t="shared" si="32"/>
        <v>10.266</v>
      </c>
      <c r="Z142" s="60">
        <f t="shared" si="33"/>
        <v>3.4220000000000002</v>
      </c>
      <c r="AA142" s="60">
        <f t="shared" si="34"/>
        <v>6.8440000000000003</v>
      </c>
      <c r="AB142" s="60">
        <f t="shared" si="35"/>
        <v>10.266</v>
      </c>
      <c r="AC142" s="60">
        <f t="shared" si="36"/>
        <v>3.4220000000000002</v>
      </c>
      <c r="AD142" s="60">
        <f t="shared" si="37"/>
        <v>11.977</v>
      </c>
      <c r="AE142" s="60">
        <f t="shared" si="38"/>
        <v>0</v>
      </c>
      <c r="AG142" s="60" cm="1">
        <f t="array" aca="1" ref="AG142" ca="1">SQRT(SUMSQ(_xlfn._xlws.FILTER(S142:AE142,ISNUMBER(S142:AE142)))/COUNT(_xlfn._xlws.FILTER(S142:AE142,ISNUMBER(S142:AE142))))</f>
        <v>7.9642715716295527</v>
      </c>
    </row>
    <row r="143" spans="3:33" x14ac:dyDescent="0.2">
      <c r="C143" s="60" t="s">
        <v>294</v>
      </c>
      <c r="D143" s="60">
        <v>0</v>
      </c>
      <c r="E143" s="60">
        <v>1</v>
      </c>
      <c r="F143" s="60">
        <v>1</v>
      </c>
      <c r="G143" s="60">
        <v>1</v>
      </c>
      <c r="H143" s="60">
        <v>2</v>
      </c>
      <c r="I143" s="60">
        <v>0</v>
      </c>
      <c r="J143" s="60">
        <v>1</v>
      </c>
      <c r="K143" s="60">
        <v>0</v>
      </c>
      <c r="L143" s="60">
        <v>1</v>
      </c>
      <c r="M143" s="60">
        <v>1</v>
      </c>
      <c r="N143" s="60">
        <v>0</v>
      </c>
      <c r="O143" s="60">
        <v>2</v>
      </c>
      <c r="P143" s="60">
        <v>0</v>
      </c>
      <c r="S143" s="60" t="e">
        <f t="shared" ca="1" si="26"/>
        <v>#REF!</v>
      </c>
      <c r="T143" s="60">
        <f t="shared" si="27"/>
        <v>-1</v>
      </c>
      <c r="U143" s="60">
        <f t="shared" si="28"/>
        <v>-1</v>
      </c>
      <c r="V143" s="60">
        <f t="shared" si="29"/>
        <v>-1</v>
      </c>
      <c r="W143" s="60">
        <f t="shared" si="30"/>
        <v>-2</v>
      </c>
      <c r="X143" s="60">
        <f t="shared" si="31"/>
        <v>0</v>
      </c>
      <c r="Y143" s="60">
        <f t="shared" si="32"/>
        <v>-1</v>
      </c>
      <c r="Z143" s="60">
        <f t="shared" si="33"/>
        <v>0</v>
      </c>
      <c r="AA143" s="60">
        <f t="shared" si="34"/>
        <v>-1</v>
      </c>
      <c r="AB143" s="60">
        <f t="shared" si="35"/>
        <v>-1</v>
      </c>
      <c r="AC143" s="60">
        <f t="shared" si="36"/>
        <v>0</v>
      </c>
      <c r="AD143" s="60">
        <f t="shared" si="37"/>
        <v>-2</v>
      </c>
      <c r="AE143" s="60">
        <f t="shared" si="38"/>
        <v>0</v>
      </c>
      <c r="AG143" s="60" cm="1">
        <f t="array" aca="1" ref="AG143" ca="1">SQRT(SUMSQ(_xlfn._xlws.FILTER(S143:AE143,ISNUMBER(S143:AE143)))/COUNT(_xlfn._xlws.FILTER(S143:AE143,ISNUMBER(S143:AE143))))</f>
        <v>1.0801234497346435</v>
      </c>
    </row>
    <row r="144" spans="3:33" x14ac:dyDescent="0.2">
      <c r="C144" s="60" t="s">
        <v>295</v>
      </c>
      <c r="D144" s="60">
        <v>0</v>
      </c>
      <c r="E144" s="60">
        <v>2</v>
      </c>
      <c r="F144" s="60">
        <v>4</v>
      </c>
      <c r="G144" s="60">
        <v>4</v>
      </c>
      <c r="H144" s="60">
        <v>6</v>
      </c>
      <c r="I144" s="60">
        <v>8</v>
      </c>
      <c r="J144" s="60">
        <v>10</v>
      </c>
      <c r="K144" s="60">
        <v>-10</v>
      </c>
      <c r="L144" s="60">
        <v>-8</v>
      </c>
      <c r="M144" s="60">
        <v>-6</v>
      </c>
      <c r="N144" s="60">
        <v>-4</v>
      </c>
      <c r="O144" s="60">
        <v>-2</v>
      </c>
      <c r="P144" s="60">
        <v>0</v>
      </c>
      <c r="S144" s="60" t="e">
        <f t="shared" ca="1" si="26"/>
        <v>#REF!</v>
      </c>
      <c r="T144" s="60">
        <f t="shared" si="27"/>
        <v>-2</v>
      </c>
      <c r="U144" s="60">
        <f t="shared" si="28"/>
        <v>-4</v>
      </c>
      <c r="V144" s="60">
        <f t="shared" si="29"/>
        <v>-4</v>
      </c>
      <c r="W144" s="60">
        <f t="shared" si="30"/>
        <v>-6</v>
      </c>
      <c r="X144" s="60">
        <f t="shared" si="31"/>
        <v>-8</v>
      </c>
      <c r="Y144" s="60">
        <f t="shared" si="32"/>
        <v>-10</v>
      </c>
      <c r="Z144" s="60">
        <f t="shared" si="33"/>
        <v>10</v>
      </c>
      <c r="AA144" s="60">
        <f t="shared" si="34"/>
        <v>8</v>
      </c>
      <c r="AB144" s="60">
        <f t="shared" si="35"/>
        <v>6</v>
      </c>
      <c r="AC144" s="60">
        <f t="shared" si="36"/>
        <v>4</v>
      </c>
      <c r="AD144" s="60">
        <f t="shared" si="37"/>
        <v>2</v>
      </c>
      <c r="AE144" s="60">
        <f t="shared" si="38"/>
        <v>0</v>
      </c>
      <c r="AG144" s="60" cm="1">
        <f t="array" aca="1" ref="AG144" ca="1">SQRT(SUMSQ(_xlfn._xlws.FILTER(S144:AE144,ISNUMBER(S144:AE144)))/COUNT(_xlfn._xlws.FILTER(S144:AE144,ISNUMBER(S144:AE144))))</f>
        <v>6.164414002968976</v>
      </c>
    </row>
    <row r="145" spans="3:33" x14ac:dyDescent="0.2">
      <c r="C145" s="60" t="s">
        <v>491</v>
      </c>
      <c r="D145" s="60">
        <v>0</v>
      </c>
      <c r="E145" s="60">
        <v>-3</v>
      </c>
      <c r="F145" s="60">
        <v>-7</v>
      </c>
      <c r="G145" s="60">
        <v>-10</v>
      </c>
      <c r="H145" s="60">
        <v>-14</v>
      </c>
      <c r="I145" s="60">
        <v>-17</v>
      </c>
      <c r="J145" s="60">
        <v>-21</v>
      </c>
      <c r="K145" s="60">
        <v>-24</v>
      </c>
      <c r="L145" s="60">
        <v>-28</v>
      </c>
      <c r="M145" s="60">
        <v>11</v>
      </c>
      <c r="N145" s="60">
        <v>7</v>
      </c>
      <c r="O145" s="60">
        <v>4</v>
      </c>
      <c r="P145" s="60">
        <v>0</v>
      </c>
      <c r="S145" s="60" t="e">
        <f t="shared" ca="1" si="26"/>
        <v>#REF!</v>
      </c>
      <c r="T145" s="60">
        <f t="shared" si="27"/>
        <v>3</v>
      </c>
      <c r="U145" s="60">
        <f t="shared" si="28"/>
        <v>7</v>
      </c>
      <c r="V145" s="60">
        <f t="shared" si="29"/>
        <v>10</v>
      </c>
      <c r="W145" s="60">
        <f t="shared" si="30"/>
        <v>14</v>
      </c>
      <c r="X145" s="60">
        <f t="shared" si="31"/>
        <v>17</v>
      </c>
      <c r="Y145" s="60">
        <f t="shared" si="32"/>
        <v>21</v>
      </c>
      <c r="Z145" s="60">
        <f t="shared" si="33"/>
        <v>24</v>
      </c>
      <c r="AA145" s="60">
        <f t="shared" si="34"/>
        <v>28</v>
      </c>
      <c r="AB145" s="60">
        <f t="shared" si="35"/>
        <v>-11</v>
      </c>
      <c r="AC145" s="60">
        <f t="shared" si="36"/>
        <v>-7</v>
      </c>
      <c r="AD145" s="60">
        <f t="shared" si="37"/>
        <v>-4</v>
      </c>
      <c r="AE145" s="60">
        <f t="shared" si="38"/>
        <v>0</v>
      </c>
      <c r="AG145" s="60" cm="1">
        <f t="array" aca="1" ref="AG145" ca="1">SQRT(SUMSQ(_xlfn._xlws.FILTER(S145:AE145,ISNUMBER(S145:AE145)))/COUNT(_xlfn._xlws.FILTER(S145:AE145,ISNUMBER(S145:AE145))))</f>
        <v>14.804278660801636</v>
      </c>
    </row>
    <row r="146" spans="3:33" x14ac:dyDescent="0.2">
      <c r="C146" s="60" t="s">
        <v>492</v>
      </c>
      <c r="D146" s="60">
        <v>0</v>
      </c>
      <c r="E146" s="60">
        <v>-3.4220000000000002</v>
      </c>
      <c r="F146" s="60">
        <v>-6.843</v>
      </c>
      <c r="G146" s="60">
        <v>-10.265000000000001</v>
      </c>
      <c r="H146" s="60">
        <v>-13.686</v>
      </c>
      <c r="I146" s="60">
        <v>-17.108000000000001</v>
      </c>
      <c r="J146" s="60">
        <v>-20.529</v>
      </c>
      <c r="K146" s="60">
        <v>-23.951000000000001</v>
      </c>
      <c r="L146" s="60">
        <v>-27.372</v>
      </c>
      <c r="M146" s="60">
        <v>10.265000000000001</v>
      </c>
      <c r="N146" s="60">
        <v>6.843</v>
      </c>
      <c r="O146" s="60">
        <v>3.4220000000000002</v>
      </c>
      <c r="P146" s="60">
        <v>0</v>
      </c>
      <c r="S146" s="60" t="e">
        <f t="shared" ca="1" si="26"/>
        <v>#REF!</v>
      </c>
      <c r="T146" s="60">
        <f t="shared" si="27"/>
        <v>3.4220000000000002</v>
      </c>
      <c r="U146" s="60">
        <f t="shared" si="28"/>
        <v>6.843</v>
      </c>
      <c r="V146" s="60">
        <f t="shared" si="29"/>
        <v>10.265000000000001</v>
      </c>
      <c r="W146" s="60">
        <f t="shared" si="30"/>
        <v>13.686</v>
      </c>
      <c r="X146" s="60">
        <f t="shared" si="31"/>
        <v>17.108000000000001</v>
      </c>
      <c r="Y146" s="60">
        <f t="shared" si="32"/>
        <v>20.529</v>
      </c>
      <c r="Z146" s="60">
        <f t="shared" si="33"/>
        <v>23.951000000000001</v>
      </c>
      <c r="AA146" s="60">
        <f t="shared" si="34"/>
        <v>27.372</v>
      </c>
      <c r="AB146" s="60">
        <f t="shared" si="35"/>
        <v>-10.265000000000001</v>
      </c>
      <c r="AC146" s="60">
        <f t="shared" si="36"/>
        <v>-6.843</v>
      </c>
      <c r="AD146" s="60">
        <f t="shared" si="37"/>
        <v>-3.4220000000000002</v>
      </c>
      <c r="AE146" s="60">
        <f t="shared" si="38"/>
        <v>0</v>
      </c>
      <c r="AG146" s="60" cm="1">
        <f t="array" aca="1" ref="AG146" ca="1">SQRT(SUMSQ(_xlfn._xlws.FILTER(S146:AE146,ISNUMBER(S146:AE146)))/COUNT(_xlfn._xlws.FILTER(S146:AE146,ISNUMBER(S146:AE146))))</f>
        <v>14.58344038627374</v>
      </c>
    </row>
    <row r="147" spans="3:33" x14ac:dyDescent="0.2">
      <c r="C147" s="60" t="s">
        <v>493</v>
      </c>
      <c r="D147" s="60">
        <v>0</v>
      </c>
      <c r="E147" s="60">
        <v>-3</v>
      </c>
      <c r="F147" s="60">
        <v>-7</v>
      </c>
      <c r="G147" s="60">
        <v>-10</v>
      </c>
      <c r="H147" s="60">
        <v>-14</v>
      </c>
      <c r="I147" s="60">
        <v>-17</v>
      </c>
      <c r="J147" s="60">
        <v>-21</v>
      </c>
      <c r="K147" s="60">
        <v>-24</v>
      </c>
      <c r="L147" s="60">
        <v>-7</v>
      </c>
      <c r="M147" s="60">
        <v>-10</v>
      </c>
      <c r="N147" s="60">
        <v>7</v>
      </c>
      <c r="O147" s="60">
        <v>4</v>
      </c>
      <c r="P147" s="60">
        <v>0</v>
      </c>
      <c r="S147" s="60" t="e">
        <f t="shared" ca="1" si="26"/>
        <v>#REF!</v>
      </c>
      <c r="T147" s="60">
        <f t="shared" si="27"/>
        <v>3</v>
      </c>
      <c r="U147" s="60">
        <f t="shared" si="28"/>
        <v>7</v>
      </c>
      <c r="V147" s="60">
        <f t="shared" si="29"/>
        <v>10</v>
      </c>
      <c r="W147" s="60">
        <f t="shared" si="30"/>
        <v>14</v>
      </c>
      <c r="X147" s="60">
        <f t="shared" si="31"/>
        <v>17</v>
      </c>
      <c r="Y147" s="60">
        <f t="shared" si="32"/>
        <v>21</v>
      </c>
      <c r="Z147" s="60">
        <f t="shared" si="33"/>
        <v>24</v>
      </c>
      <c r="AA147" s="60">
        <f t="shared" si="34"/>
        <v>7</v>
      </c>
      <c r="AB147" s="60">
        <f t="shared" si="35"/>
        <v>10</v>
      </c>
      <c r="AC147" s="60">
        <f t="shared" si="36"/>
        <v>-7</v>
      </c>
      <c r="AD147" s="60">
        <f t="shared" si="37"/>
        <v>-4</v>
      </c>
      <c r="AE147" s="60">
        <f t="shared" si="38"/>
        <v>0</v>
      </c>
      <c r="AG147" s="60" cm="1">
        <f t="array" aca="1" ref="AG147" ca="1">SQRT(SUMSQ(_xlfn._xlws.FILTER(S147:AE147,ISNUMBER(S147:AE147)))/COUNT(_xlfn._xlws.FILTER(S147:AE147,ISNUMBER(S147:AE147))))</f>
        <v>12.496666222103665</v>
      </c>
    </row>
    <row r="148" spans="3:33" x14ac:dyDescent="0.2">
      <c r="C148" s="60" t="s">
        <v>494</v>
      </c>
      <c r="D148" s="60">
        <v>0</v>
      </c>
      <c r="E148" s="60">
        <v>-3</v>
      </c>
      <c r="F148" s="60">
        <v>-6</v>
      </c>
      <c r="G148" s="60">
        <v>-9</v>
      </c>
      <c r="H148" s="60">
        <v>-12</v>
      </c>
      <c r="I148" s="60">
        <v>-15</v>
      </c>
      <c r="J148" s="60">
        <v>-17</v>
      </c>
      <c r="K148" s="60">
        <v>-19</v>
      </c>
      <c r="L148" s="60">
        <v>-20</v>
      </c>
      <c r="M148" s="60">
        <v>7</v>
      </c>
      <c r="N148" s="60">
        <v>5</v>
      </c>
      <c r="O148" s="60">
        <v>3</v>
      </c>
      <c r="P148" s="60">
        <v>0</v>
      </c>
      <c r="S148" s="60" t="e">
        <f t="shared" ca="1" si="26"/>
        <v>#REF!</v>
      </c>
      <c r="T148" s="60">
        <f t="shared" si="27"/>
        <v>3</v>
      </c>
      <c r="U148" s="60">
        <f t="shared" si="28"/>
        <v>6</v>
      </c>
      <c r="V148" s="60">
        <f t="shared" si="29"/>
        <v>9</v>
      </c>
      <c r="W148" s="60">
        <f t="shared" si="30"/>
        <v>12</v>
      </c>
      <c r="X148" s="60">
        <f t="shared" si="31"/>
        <v>15</v>
      </c>
      <c r="Y148" s="60">
        <f t="shared" si="32"/>
        <v>17</v>
      </c>
      <c r="Z148" s="60">
        <f t="shared" si="33"/>
        <v>19</v>
      </c>
      <c r="AA148" s="60">
        <f t="shared" si="34"/>
        <v>20</v>
      </c>
      <c r="AB148" s="60">
        <f t="shared" si="35"/>
        <v>-7</v>
      </c>
      <c r="AC148" s="60">
        <f t="shared" si="36"/>
        <v>-5</v>
      </c>
      <c r="AD148" s="60">
        <f t="shared" si="37"/>
        <v>-3</v>
      </c>
      <c r="AE148" s="60">
        <f t="shared" si="38"/>
        <v>0</v>
      </c>
      <c r="AG148" s="60" cm="1">
        <f t="array" aca="1" ref="AG148" ca="1">SQRT(SUMSQ(_xlfn._xlws.FILTER(S148:AE148,ISNUMBER(S148:AE148)))/COUNT(_xlfn._xlws.FILTER(S148:AE148,ISNUMBER(S148:AE148))))</f>
        <v>11.647603473104098</v>
      </c>
    </row>
    <row r="149" spans="3:33" x14ac:dyDescent="0.2">
      <c r="C149" s="60" t="s">
        <v>495</v>
      </c>
      <c r="D149" s="60">
        <v>0</v>
      </c>
      <c r="E149" s="60">
        <v>-3</v>
      </c>
      <c r="F149" s="60">
        <v>-7</v>
      </c>
      <c r="G149" s="60">
        <v>-10</v>
      </c>
      <c r="H149" s="60">
        <v>-14</v>
      </c>
      <c r="I149" s="60">
        <v>-17</v>
      </c>
      <c r="J149" s="60">
        <v>-20</v>
      </c>
      <c r="K149" s="60">
        <v>-24</v>
      </c>
      <c r="L149" s="60">
        <v>-22</v>
      </c>
      <c r="M149" s="60">
        <v>0</v>
      </c>
      <c r="N149" s="60">
        <v>1</v>
      </c>
      <c r="O149" s="60">
        <v>3</v>
      </c>
      <c r="P149" s="60">
        <v>0</v>
      </c>
      <c r="S149" s="60" t="e">
        <f t="shared" ca="1" si="26"/>
        <v>#REF!</v>
      </c>
      <c r="T149" s="60">
        <f t="shared" si="27"/>
        <v>3</v>
      </c>
      <c r="U149" s="60">
        <f t="shared" si="28"/>
        <v>7</v>
      </c>
      <c r="V149" s="60">
        <f t="shared" si="29"/>
        <v>10</v>
      </c>
      <c r="W149" s="60">
        <f t="shared" si="30"/>
        <v>14</v>
      </c>
      <c r="X149" s="60">
        <f t="shared" si="31"/>
        <v>17</v>
      </c>
      <c r="Y149" s="60">
        <f t="shared" si="32"/>
        <v>20</v>
      </c>
      <c r="Z149" s="60">
        <f t="shared" si="33"/>
        <v>24</v>
      </c>
      <c r="AA149" s="60">
        <f t="shared" si="34"/>
        <v>22</v>
      </c>
      <c r="AB149" s="60">
        <f t="shared" si="35"/>
        <v>0</v>
      </c>
      <c r="AC149" s="60">
        <f t="shared" si="36"/>
        <v>-1</v>
      </c>
      <c r="AD149" s="60">
        <f t="shared" si="37"/>
        <v>-3</v>
      </c>
      <c r="AE149" s="60">
        <f t="shared" si="38"/>
        <v>0</v>
      </c>
      <c r="AG149" s="60" cm="1">
        <f t="array" aca="1" ref="AG149" ca="1">SQRT(SUMSQ(_xlfn._xlws.FILTER(S149:AE149,ISNUMBER(S149:AE149)))/COUNT(_xlfn._xlws.FILTER(S149:AE149,ISNUMBER(S149:AE149))))</f>
        <v>13.269639532908696</v>
      </c>
    </row>
    <row r="150" spans="3:33" x14ac:dyDescent="0.2">
      <c r="C150" s="60" t="s">
        <v>496</v>
      </c>
      <c r="D150" s="60">
        <v>0</v>
      </c>
      <c r="E150" s="60">
        <v>-3</v>
      </c>
      <c r="F150" s="60">
        <v>-7</v>
      </c>
      <c r="G150" s="60">
        <v>-10</v>
      </c>
      <c r="H150" s="60">
        <v>-14</v>
      </c>
      <c r="I150" s="60">
        <v>-17</v>
      </c>
      <c r="J150" s="60">
        <v>-20</v>
      </c>
      <c r="K150" s="60">
        <v>-19</v>
      </c>
      <c r="L150" s="60">
        <v>-17</v>
      </c>
      <c r="M150" s="60">
        <v>-10</v>
      </c>
      <c r="N150" s="60">
        <v>-4</v>
      </c>
      <c r="O150" s="60">
        <v>-2</v>
      </c>
      <c r="P150" s="60">
        <v>0</v>
      </c>
      <c r="S150" s="60" t="e">
        <f t="shared" ca="1" si="26"/>
        <v>#REF!</v>
      </c>
      <c r="T150" s="60">
        <f t="shared" si="27"/>
        <v>3</v>
      </c>
      <c r="U150" s="60">
        <f t="shared" si="28"/>
        <v>7</v>
      </c>
      <c r="V150" s="60">
        <f t="shared" si="29"/>
        <v>10</v>
      </c>
      <c r="W150" s="60">
        <f t="shared" si="30"/>
        <v>14</v>
      </c>
      <c r="X150" s="60">
        <f t="shared" si="31"/>
        <v>17</v>
      </c>
      <c r="Y150" s="60">
        <f t="shared" si="32"/>
        <v>20</v>
      </c>
      <c r="Z150" s="60">
        <f t="shared" si="33"/>
        <v>19</v>
      </c>
      <c r="AA150" s="60">
        <f t="shared" si="34"/>
        <v>17</v>
      </c>
      <c r="AB150" s="60">
        <f t="shared" si="35"/>
        <v>10</v>
      </c>
      <c r="AC150" s="60">
        <f t="shared" si="36"/>
        <v>4</v>
      </c>
      <c r="AD150" s="60">
        <f t="shared" si="37"/>
        <v>2</v>
      </c>
      <c r="AE150" s="60">
        <f t="shared" si="38"/>
        <v>0</v>
      </c>
      <c r="AG150" s="60" cm="1">
        <f t="array" aca="1" ref="AG150" ca="1">SQRT(SUMSQ(_xlfn._xlws.FILTER(S150:AE150,ISNUMBER(S150:AE150)))/COUNT(_xlfn._xlws.FILTER(S150:AE150,ISNUMBER(S150:AE150))))</f>
        <v>12.291596044994863</v>
      </c>
    </row>
    <row r="151" spans="3:33" x14ac:dyDescent="0.2">
      <c r="C151" s="60" t="s">
        <v>296</v>
      </c>
      <c r="D151" s="60">
        <v>0</v>
      </c>
      <c r="E151" s="60">
        <v>-1</v>
      </c>
      <c r="F151" s="60">
        <v>-5</v>
      </c>
      <c r="G151" s="60">
        <v>-9</v>
      </c>
      <c r="H151" s="60">
        <v>-12</v>
      </c>
      <c r="I151" s="60">
        <v>-15</v>
      </c>
      <c r="J151" s="60">
        <v>-18</v>
      </c>
      <c r="K151" s="60">
        <v>-20</v>
      </c>
      <c r="L151" s="60">
        <v>-21</v>
      </c>
      <c r="M151" s="60">
        <v>6</v>
      </c>
      <c r="N151" s="60">
        <v>1</v>
      </c>
      <c r="O151" s="60">
        <v>2</v>
      </c>
      <c r="P151" s="60">
        <v>0</v>
      </c>
      <c r="S151" s="60" t="e">
        <f t="shared" ca="1" si="26"/>
        <v>#REF!</v>
      </c>
      <c r="T151" s="60">
        <f t="shared" si="27"/>
        <v>1</v>
      </c>
      <c r="U151" s="60">
        <f t="shared" si="28"/>
        <v>5</v>
      </c>
      <c r="V151" s="60">
        <f t="shared" si="29"/>
        <v>9</v>
      </c>
      <c r="W151" s="60">
        <f t="shared" si="30"/>
        <v>12</v>
      </c>
      <c r="X151" s="60">
        <f t="shared" si="31"/>
        <v>15</v>
      </c>
      <c r="Y151" s="60">
        <f t="shared" si="32"/>
        <v>18</v>
      </c>
      <c r="Z151" s="60">
        <f t="shared" si="33"/>
        <v>20</v>
      </c>
      <c r="AA151" s="60">
        <f t="shared" si="34"/>
        <v>21</v>
      </c>
      <c r="AB151" s="60">
        <f t="shared" si="35"/>
        <v>-6</v>
      </c>
      <c r="AC151" s="60">
        <f t="shared" si="36"/>
        <v>-1</v>
      </c>
      <c r="AD151" s="60">
        <f t="shared" si="37"/>
        <v>-2</v>
      </c>
      <c r="AE151" s="60">
        <f t="shared" si="38"/>
        <v>0</v>
      </c>
      <c r="AG151" s="60" cm="1">
        <f t="array" aca="1" ref="AG151" ca="1">SQRT(SUMSQ(_xlfn._xlws.FILTER(S151:AE151,ISNUMBER(S151:AE151)))/COUNT(_xlfn._xlws.FILTER(S151:AE151,ISNUMBER(S151:AE151))))</f>
        <v>11.839200423452027</v>
      </c>
    </row>
    <row r="152" spans="3:33" x14ac:dyDescent="0.2">
      <c r="C152" s="60" t="s">
        <v>297</v>
      </c>
      <c r="D152" s="60">
        <v>0</v>
      </c>
      <c r="E152" s="60">
        <v>0</v>
      </c>
      <c r="F152" s="60">
        <v>-2</v>
      </c>
      <c r="G152" s="60">
        <v>-5</v>
      </c>
      <c r="H152" s="60">
        <v>-7</v>
      </c>
      <c r="I152" s="60">
        <v>-9</v>
      </c>
      <c r="J152" s="60">
        <v>-12</v>
      </c>
      <c r="K152" s="60">
        <v>-14</v>
      </c>
      <c r="L152" s="60">
        <v>-16</v>
      </c>
      <c r="M152" s="60">
        <v>0</v>
      </c>
      <c r="N152" s="60">
        <v>0</v>
      </c>
      <c r="O152" s="60">
        <v>0</v>
      </c>
      <c r="P152" s="60">
        <v>0</v>
      </c>
      <c r="S152" s="60" t="e">
        <f t="shared" ca="1" si="26"/>
        <v>#REF!</v>
      </c>
      <c r="T152" s="60">
        <f t="shared" si="27"/>
        <v>0</v>
      </c>
      <c r="U152" s="60">
        <f t="shared" si="28"/>
        <v>2</v>
      </c>
      <c r="V152" s="60">
        <f t="shared" si="29"/>
        <v>5</v>
      </c>
      <c r="W152" s="60">
        <f t="shared" si="30"/>
        <v>7</v>
      </c>
      <c r="X152" s="60">
        <f t="shared" si="31"/>
        <v>9</v>
      </c>
      <c r="Y152" s="60">
        <f t="shared" si="32"/>
        <v>12</v>
      </c>
      <c r="Z152" s="60">
        <f t="shared" si="33"/>
        <v>14</v>
      </c>
      <c r="AA152" s="60">
        <f t="shared" si="34"/>
        <v>16</v>
      </c>
      <c r="AB152" s="60">
        <f t="shared" si="35"/>
        <v>0</v>
      </c>
      <c r="AC152" s="60">
        <f t="shared" si="36"/>
        <v>0</v>
      </c>
      <c r="AD152" s="60">
        <f t="shared" si="37"/>
        <v>0</v>
      </c>
      <c r="AE152" s="60">
        <f t="shared" si="38"/>
        <v>0</v>
      </c>
      <c r="AG152" s="60" cm="1">
        <f t="array" aca="1" ref="AG152" ca="1">SQRT(SUMSQ(_xlfn._xlws.FILTER(S152:AE152,ISNUMBER(S152:AE152)))/COUNT(_xlfn._xlws.FILTER(S152:AE152,ISNUMBER(S152:AE152))))</f>
        <v>7.932002689527196</v>
      </c>
    </row>
    <row r="153" spans="3:33" x14ac:dyDescent="0.2">
      <c r="C153" s="60" t="s">
        <v>298</v>
      </c>
      <c r="D153" s="60">
        <v>0</v>
      </c>
      <c r="E153" s="60">
        <v>-2</v>
      </c>
      <c r="F153" s="60">
        <v>-3</v>
      </c>
      <c r="G153" s="60">
        <v>-4</v>
      </c>
      <c r="H153" s="60">
        <v>-4</v>
      </c>
      <c r="I153" s="60">
        <v>-5</v>
      </c>
      <c r="J153" s="60">
        <v>-5</v>
      </c>
      <c r="K153" s="60">
        <v>-6</v>
      </c>
      <c r="L153" s="60">
        <v>-4</v>
      </c>
      <c r="M153" s="60">
        <v>-1</v>
      </c>
      <c r="N153" s="60">
        <v>1</v>
      </c>
      <c r="O153" s="60">
        <v>1</v>
      </c>
      <c r="P153" s="60">
        <v>0</v>
      </c>
      <c r="S153" s="60" t="e">
        <f t="shared" ca="1" si="26"/>
        <v>#REF!</v>
      </c>
      <c r="T153" s="60">
        <f t="shared" si="27"/>
        <v>2</v>
      </c>
      <c r="U153" s="60">
        <f t="shared" si="28"/>
        <v>3</v>
      </c>
      <c r="V153" s="60">
        <f t="shared" si="29"/>
        <v>4</v>
      </c>
      <c r="W153" s="60">
        <f t="shared" si="30"/>
        <v>4</v>
      </c>
      <c r="X153" s="60">
        <f t="shared" si="31"/>
        <v>5</v>
      </c>
      <c r="Y153" s="60">
        <f t="shared" si="32"/>
        <v>5</v>
      </c>
      <c r="Z153" s="60">
        <f t="shared" si="33"/>
        <v>6</v>
      </c>
      <c r="AA153" s="60">
        <f t="shared" si="34"/>
        <v>4</v>
      </c>
      <c r="AB153" s="60">
        <f t="shared" si="35"/>
        <v>1</v>
      </c>
      <c r="AC153" s="60">
        <f t="shared" si="36"/>
        <v>-1</v>
      </c>
      <c r="AD153" s="60">
        <f t="shared" si="37"/>
        <v>-1</v>
      </c>
      <c r="AE153" s="60">
        <f t="shared" si="38"/>
        <v>0</v>
      </c>
      <c r="AG153" s="60" cm="1">
        <f t="array" aca="1" ref="AG153" ca="1">SQRT(SUMSQ(_xlfn._xlws.FILTER(S153:AE153,ISNUMBER(S153:AE153)))/COUNT(_xlfn._xlws.FILTER(S153:AE153,ISNUMBER(S153:AE153))))</f>
        <v>3.5355339059327378</v>
      </c>
    </row>
    <row r="154" spans="3:33" x14ac:dyDescent="0.2">
      <c r="C154" s="60" t="s">
        <v>499</v>
      </c>
      <c r="D154" s="60">
        <v>0</v>
      </c>
      <c r="E154" s="60">
        <v>0</v>
      </c>
      <c r="F154" s="60">
        <v>0</v>
      </c>
      <c r="G154" s="60">
        <v>0</v>
      </c>
      <c r="H154" s="60">
        <v>0</v>
      </c>
      <c r="I154" s="60">
        <v>0</v>
      </c>
      <c r="J154" s="60">
        <v>0</v>
      </c>
      <c r="K154" s="60">
        <v>0</v>
      </c>
      <c r="L154" s="60">
        <v>0</v>
      </c>
      <c r="M154" s="60">
        <v>0</v>
      </c>
      <c r="N154" s="60">
        <v>0</v>
      </c>
      <c r="O154" s="60">
        <v>0</v>
      </c>
      <c r="P154" s="60">
        <v>0</v>
      </c>
      <c r="S154" s="60" t="e">
        <f t="shared" ca="1" si="26"/>
        <v>#REF!</v>
      </c>
      <c r="T154" s="60">
        <f t="shared" si="27"/>
        <v>0</v>
      </c>
      <c r="U154" s="60">
        <f t="shared" si="28"/>
        <v>0</v>
      </c>
      <c r="V154" s="60">
        <f t="shared" si="29"/>
        <v>0</v>
      </c>
      <c r="W154" s="60">
        <f t="shared" si="30"/>
        <v>0</v>
      </c>
      <c r="X154" s="60">
        <f t="shared" si="31"/>
        <v>0</v>
      </c>
      <c r="Y154" s="60">
        <f t="shared" si="32"/>
        <v>0</v>
      </c>
      <c r="Z154" s="60">
        <f t="shared" si="33"/>
        <v>0</v>
      </c>
      <c r="AA154" s="60">
        <f t="shared" si="34"/>
        <v>0</v>
      </c>
      <c r="AB154" s="60">
        <f t="shared" si="35"/>
        <v>0</v>
      </c>
      <c r="AC154" s="60">
        <f t="shared" si="36"/>
        <v>0</v>
      </c>
      <c r="AD154" s="60">
        <f t="shared" si="37"/>
        <v>0</v>
      </c>
      <c r="AE154" s="60">
        <f t="shared" si="38"/>
        <v>0</v>
      </c>
      <c r="AG154" s="60" cm="1">
        <f t="array" aca="1" ref="AG154" ca="1">SQRT(SUMSQ(_xlfn._xlws.FILTER(S154:AE154,ISNUMBER(S154:AE154)))/COUNT(_xlfn._xlws.FILTER(S154:AE154,ISNUMBER(S154:AE154))))</f>
        <v>0</v>
      </c>
    </row>
    <row r="155" spans="3:33" x14ac:dyDescent="0.2">
      <c r="C155" s="60" t="s">
        <v>500</v>
      </c>
      <c r="D155" s="60">
        <v>0</v>
      </c>
      <c r="E155" s="60">
        <v>0</v>
      </c>
      <c r="F155" s="60">
        <v>-2</v>
      </c>
      <c r="G155" s="60">
        <v>-6</v>
      </c>
      <c r="H155" s="60">
        <v>-10</v>
      </c>
      <c r="I155" s="60">
        <v>-8</v>
      </c>
      <c r="J155" s="60">
        <v>-8</v>
      </c>
      <c r="K155" s="60">
        <v>-6</v>
      </c>
      <c r="L155" s="60">
        <v>-6</v>
      </c>
      <c r="M155" s="60">
        <v>-4</v>
      </c>
      <c r="N155" s="60">
        <v>-2</v>
      </c>
      <c r="O155" s="60">
        <v>-2</v>
      </c>
      <c r="P155" s="60">
        <v>0</v>
      </c>
      <c r="S155" s="60" t="e">
        <f t="shared" ca="1" si="26"/>
        <v>#REF!</v>
      </c>
      <c r="T155" s="60">
        <f t="shared" si="27"/>
        <v>0</v>
      </c>
      <c r="U155" s="60">
        <f t="shared" si="28"/>
        <v>2</v>
      </c>
      <c r="V155" s="60">
        <f t="shared" si="29"/>
        <v>6</v>
      </c>
      <c r="W155" s="60">
        <f t="shared" si="30"/>
        <v>10</v>
      </c>
      <c r="X155" s="60">
        <f t="shared" si="31"/>
        <v>8</v>
      </c>
      <c r="Y155" s="60">
        <f t="shared" si="32"/>
        <v>8</v>
      </c>
      <c r="Z155" s="60">
        <f t="shared" si="33"/>
        <v>6</v>
      </c>
      <c r="AA155" s="60">
        <f t="shared" si="34"/>
        <v>6</v>
      </c>
      <c r="AB155" s="60">
        <f t="shared" si="35"/>
        <v>4</v>
      </c>
      <c r="AC155" s="60">
        <f t="shared" si="36"/>
        <v>2</v>
      </c>
      <c r="AD155" s="60">
        <f t="shared" si="37"/>
        <v>2</v>
      </c>
      <c r="AE155" s="60">
        <f t="shared" si="38"/>
        <v>0</v>
      </c>
      <c r="AG155" s="60" cm="1">
        <f t="array" aca="1" ref="AG155" ca="1">SQRT(SUMSQ(_xlfn._xlws.FILTER(S155:AE155,ISNUMBER(S155:AE155)))/COUNT(_xlfn._xlws.FILTER(S155:AE155,ISNUMBER(S155:AE155))))</f>
        <v>5.5075705472861021</v>
      </c>
    </row>
    <row r="156" spans="3:33" x14ac:dyDescent="0.2">
      <c r="C156" s="60" t="s">
        <v>501</v>
      </c>
      <c r="D156" s="60">
        <v>0</v>
      </c>
      <c r="E156" s="60">
        <v>0.01</v>
      </c>
      <c r="F156" s="60">
        <v>-1.94</v>
      </c>
      <c r="G156" s="60">
        <v>-5.85</v>
      </c>
      <c r="H156" s="60">
        <v>-9.76</v>
      </c>
      <c r="I156" s="60">
        <v>-7.8</v>
      </c>
      <c r="J156" s="60">
        <v>-7.65</v>
      </c>
      <c r="K156" s="60">
        <v>-5.86</v>
      </c>
      <c r="L156" s="60">
        <v>-5.86</v>
      </c>
      <c r="M156" s="60">
        <v>-3.9</v>
      </c>
      <c r="N156" s="60">
        <v>-1.94</v>
      </c>
      <c r="O156" s="60">
        <v>-1.96</v>
      </c>
      <c r="P156" s="60">
        <v>0</v>
      </c>
      <c r="S156" s="60" t="e">
        <f t="shared" ca="1" si="26"/>
        <v>#REF!</v>
      </c>
      <c r="T156" s="60">
        <f t="shared" si="27"/>
        <v>-0.01</v>
      </c>
      <c r="U156" s="60">
        <f t="shared" si="28"/>
        <v>1.94</v>
      </c>
      <c r="V156" s="60">
        <f t="shared" si="29"/>
        <v>5.85</v>
      </c>
      <c r="W156" s="60">
        <f t="shared" si="30"/>
        <v>9.76</v>
      </c>
      <c r="X156" s="60">
        <f t="shared" si="31"/>
        <v>7.8</v>
      </c>
      <c r="Y156" s="60">
        <f t="shared" si="32"/>
        <v>7.65</v>
      </c>
      <c r="Z156" s="60">
        <f t="shared" si="33"/>
        <v>5.86</v>
      </c>
      <c r="AA156" s="60">
        <f t="shared" si="34"/>
        <v>5.86</v>
      </c>
      <c r="AB156" s="60">
        <f t="shared" si="35"/>
        <v>3.9</v>
      </c>
      <c r="AC156" s="60">
        <f t="shared" si="36"/>
        <v>1.94</v>
      </c>
      <c r="AD156" s="60">
        <f t="shared" si="37"/>
        <v>1.96</v>
      </c>
      <c r="AE156" s="60">
        <f t="shared" si="38"/>
        <v>0</v>
      </c>
      <c r="AG156" s="60" cm="1">
        <f t="array" aca="1" ref="AG156" ca="1">SQRT(SUMSQ(_xlfn._xlws.FILTER(S156:AE156,ISNUMBER(S156:AE156)))/COUNT(_xlfn._xlws.FILTER(S156:AE156,ISNUMBER(S156:AE156))))</f>
        <v>5.3549097409137838</v>
      </c>
    </row>
    <row r="157" spans="3:33" x14ac:dyDescent="0.2">
      <c r="C157" s="60" t="s">
        <v>502</v>
      </c>
      <c r="D157" s="60">
        <v>0</v>
      </c>
      <c r="E157" s="60">
        <v>-2</v>
      </c>
      <c r="F157" s="60">
        <v>-4</v>
      </c>
      <c r="G157" s="60">
        <v>-6</v>
      </c>
      <c r="H157" s="60">
        <v>-6</v>
      </c>
      <c r="I157" s="60">
        <v>-4</v>
      </c>
      <c r="J157" s="60">
        <v>-4</v>
      </c>
      <c r="K157" s="60">
        <v>-4</v>
      </c>
      <c r="L157" s="60">
        <v>-4</v>
      </c>
      <c r="M157" s="60">
        <v>-2</v>
      </c>
      <c r="N157" s="60">
        <v>0</v>
      </c>
      <c r="O157" s="60">
        <v>0</v>
      </c>
      <c r="P157" s="60">
        <v>0</v>
      </c>
      <c r="S157" s="60" t="e">
        <f t="shared" ca="1" si="26"/>
        <v>#REF!</v>
      </c>
      <c r="T157" s="60">
        <f t="shared" si="27"/>
        <v>2</v>
      </c>
      <c r="U157" s="60">
        <f t="shared" si="28"/>
        <v>4</v>
      </c>
      <c r="V157" s="60">
        <f t="shared" si="29"/>
        <v>6</v>
      </c>
      <c r="W157" s="60">
        <f t="shared" si="30"/>
        <v>6</v>
      </c>
      <c r="X157" s="60">
        <f t="shared" si="31"/>
        <v>4</v>
      </c>
      <c r="Y157" s="60">
        <f t="shared" si="32"/>
        <v>4</v>
      </c>
      <c r="Z157" s="60">
        <f t="shared" si="33"/>
        <v>4</v>
      </c>
      <c r="AA157" s="60">
        <f t="shared" si="34"/>
        <v>4</v>
      </c>
      <c r="AB157" s="60">
        <f t="shared" si="35"/>
        <v>2</v>
      </c>
      <c r="AC157" s="60">
        <f t="shared" si="36"/>
        <v>0</v>
      </c>
      <c r="AD157" s="60">
        <f t="shared" si="37"/>
        <v>0</v>
      </c>
      <c r="AE157" s="60">
        <f t="shared" si="38"/>
        <v>0</v>
      </c>
      <c r="AG157" s="60" cm="1">
        <f t="array" aca="1" ref="AG157" ca="1">SQRT(SUMSQ(_xlfn._xlws.FILTER(S157:AE157,ISNUMBER(S157:AE157)))/COUNT(_xlfn._xlws.FILTER(S157:AE157,ISNUMBER(S157:AE157))))</f>
        <v>3.6514837167011076</v>
      </c>
    </row>
    <row r="158" spans="3:33" x14ac:dyDescent="0.2">
      <c r="C158" s="60" t="s">
        <v>503</v>
      </c>
      <c r="D158" s="60">
        <v>0</v>
      </c>
      <c r="E158" s="60">
        <v>-1.94</v>
      </c>
      <c r="F158" s="60">
        <v>-3.9</v>
      </c>
      <c r="G158" s="60">
        <v>-5.85</v>
      </c>
      <c r="H158" s="60">
        <v>-5.86</v>
      </c>
      <c r="I158" s="60">
        <v>-3.9</v>
      </c>
      <c r="J158" s="60">
        <v>-3.9</v>
      </c>
      <c r="K158" s="60">
        <v>-3.9</v>
      </c>
      <c r="L158" s="60">
        <v>-3.9</v>
      </c>
      <c r="M158" s="60">
        <v>-1.94</v>
      </c>
      <c r="N158" s="60">
        <v>0.02</v>
      </c>
      <c r="O158" s="60">
        <v>0.01</v>
      </c>
      <c r="P158" s="60">
        <v>0</v>
      </c>
      <c r="S158" s="60" t="e">
        <f t="shared" ca="1" si="26"/>
        <v>#REF!</v>
      </c>
      <c r="T158" s="60">
        <f t="shared" si="27"/>
        <v>1.94</v>
      </c>
      <c r="U158" s="60">
        <f t="shared" si="28"/>
        <v>3.9</v>
      </c>
      <c r="V158" s="60">
        <f t="shared" si="29"/>
        <v>5.85</v>
      </c>
      <c r="W158" s="60">
        <f t="shared" si="30"/>
        <v>5.86</v>
      </c>
      <c r="X158" s="60">
        <f t="shared" si="31"/>
        <v>3.9</v>
      </c>
      <c r="Y158" s="60">
        <f t="shared" si="32"/>
        <v>3.9</v>
      </c>
      <c r="Z158" s="60">
        <f t="shared" si="33"/>
        <v>3.9</v>
      </c>
      <c r="AA158" s="60">
        <f t="shared" si="34"/>
        <v>3.9</v>
      </c>
      <c r="AB158" s="60">
        <f t="shared" si="35"/>
        <v>1.94</v>
      </c>
      <c r="AC158" s="60">
        <f t="shared" si="36"/>
        <v>-0.02</v>
      </c>
      <c r="AD158" s="60">
        <f t="shared" si="37"/>
        <v>-0.01</v>
      </c>
      <c r="AE158" s="60">
        <f t="shared" si="38"/>
        <v>0</v>
      </c>
      <c r="AG158" s="60" cm="1">
        <f t="array" aca="1" ref="AG158" ca="1">SQRT(SUMSQ(_xlfn._xlws.FILTER(S158:AE158,ISNUMBER(S158:AE158)))/COUNT(_xlfn._xlws.FILTER(S158:AE158,ISNUMBER(S158:AE158))))</f>
        <v>3.5606623915595632</v>
      </c>
    </row>
    <row r="159" spans="3:33" x14ac:dyDescent="0.2">
      <c r="C159" s="60" t="s">
        <v>504</v>
      </c>
      <c r="D159" s="60">
        <v>0</v>
      </c>
      <c r="E159" s="60">
        <v>-2</v>
      </c>
      <c r="F159" s="60">
        <v>-4</v>
      </c>
      <c r="G159" s="60">
        <v>-6</v>
      </c>
      <c r="H159" s="60">
        <v>-8</v>
      </c>
      <c r="I159" s="60">
        <v>-8</v>
      </c>
      <c r="J159" s="60">
        <v>-8</v>
      </c>
      <c r="K159" s="60">
        <v>-6</v>
      </c>
      <c r="L159" s="60">
        <v>-4</v>
      </c>
      <c r="M159" s="60">
        <v>-4</v>
      </c>
      <c r="N159" s="60">
        <v>-4</v>
      </c>
      <c r="O159" s="60">
        <v>-2</v>
      </c>
      <c r="P159" s="60">
        <v>0</v>
      </c>
      <c r="S159" s="60" t="e">
        <f t="shared" ca="1" si="26"/>
        <v>#REF!</v>
      </c>
      <c r="T159" s="60">
        <f t="shared" si="27"/>
        <v>2</v>
      </c>
      <c r="U159" s="60">
        <f t="shared" si="28"/>
        <v>4</v>
      </c>
      <c r="V159" s="60">
        <f t="shared" si="29"/>
        <v>6</v>
      </c>
      <c r="W159" s="60">
        <f t="shared" si="30"/>
        <v>8</v>
      </c>
      <c r="X159" s="60">
        <f t="shared" si="31"/>
        <v>8</v>
      </c>
      <c r="Y159" s="60">
        <f t="shared" si="32"/>
        <v>8</v>
      </c>
      <c r="Z159" s="60">
        <f t="shared" si="33"/>
        <v>6</v>
      </c>
      <c r="AA159" s="60">
        <f t="shared" si="34"/>
        <v>4</v>
      </c>
      <c r="AB159" s="60">
        <f t="shared" si="35"/>
        <v>4</v>
      </c>
      <c r="AC159" s="60">
        <f t="shared" si="36"/>
        <v>4</v>
      </c>
      <c r="AD159" s="60">
        <f t="shared" si="37"/>
        <v>2</v>
      </c>
      <c r="AE159" s="60">
        <f t="shared" si="38"/>
        <v>0</v>
      </c>
      <c r="AG159" s="60" cm="1">
        <f t="array" aca="1" ref="AG159" ca="1">SQRT(SUMSQ(_xlfn._xlws.FILTER(S159:AE159,ISNUMBER(S159:AE159)))/COUNT(_xlfn._xlws.FILTER(S159:AE159,ISNUMBER(S159:AE159))))</f>
        <v>5.2915026221291814</v>
      </c>
    </row>
    <row r="160" spans="3:33" x14ac:dyDescent="0.2">
      <c r="C160" s="60" t="s">
        <v>505</v>
      </c>
      <c r="D160" s="60">
        <v>0</v>
      </c>
      <c r="E160" s="60">
        <v>-1.94</v>
      </c>
      <c r="F160" s="60">
        <v>-3.9</v>
      </c>
      <c r="G160" s="60">
        <v>-5.85</v>
      </c>
      <c r="H160" s="60">
        <v>-7.81</v>
      </c>
      <c r="I160" s="60">
        <v>-7.8</v>
      </c>
      <c r="J160" s="60">
        <v>-7.81</v>
      </c>
      <c r="K160" s="60">
        <v>-5.86</v>
      </c>
      <c r="L160" s="60">
        <v>-3.9</v>
      </c>
      <c r="M160" s="60">
        <v>-3.9</v>
      </c>
      <c r="N160" s="60">
        <v>-3.91</v>
      </c>
      <c r="O160" s="60">
        <v>-1.96</v>
      </c>
      <c r="P160" s="60">
        <v>0</v>
      </c>
      <c r="S160" s="60" t="e">
        <f t="shared" ca="1" si="26"/>
        <v>#REF!</v>
      </c>
      <c r="T160" s="60">
        <f t="shared" si="27"/>
        <v>1.94</v>
      </c>
      <c r="U160" s="60">
        <f t="shared" si="28"/>
        <v>3.9</v>
      </c>
      <c r="V160" s="60">
        <f t="shared" si="29"/>
        <v>5.85</v>
      </c>
      <c r="W160" s="60">
        <f t="shared" si="30"/>
        <v>7.81</v>
      </c>
      <c r="X160" s="60">
        <f t="shared" si="31"/>
        <v>7.8</v>
      </c>
      <c r="Y160" s="60">
        <f t="shared" si="32"/>
        <v>7.81</v>
      </c>
      <c r="Z160" s="60">
        <f t="shared" si="33"/>
        <v>5.86</v>
      </c>
      <c r="AA160" s="60">
        <f t="shared" si="34"/>
        <v>3.9</v>
      </c>
      <c r="AB160" s="60">
        <f t="shared" si="35"/>
        <v>3.9</v>
      </c>
      <c r="AC160" s="60">
        <f t="shared" si="36"/>
        <v>3.91</v>
      </c>
      <c r="AD160" s="60">
        <f t="shared" si="37"/>
        <v>1.96</v>
      </c>
      <c r="AE160" s="60">
        <f t="shared" si="38"/>
        <v>0</v>
      </c>
      <c r="AG160" s="60" cm="1">
        <f t="array" aca="1" ref="AG160" ca="1">SQRT(SUMSQ(_xlfn._xlws.FILTER(S160:AE160,ISNUMBER(S160:AE160)))/COUNT(_xlfn._xlws.FILTER(S160:AE160,ISNUMBER(S160:AE160))))</f>
        <v>5.1633128899961109</v>
      </c>
    </row>
    <row r="161" spans="3:33" x14ac:dyDescent="0.2">
      <c r="C161" s="60" t="s">
        <v>299</v>
      </c>
      <c r="D161" s="60">
        <v>0</v>
      </c>
      <c r="E161" s="60">
        <v>-4</v>
      </c>
      <c r="F161" s="60">
        <v>-2</v>
      </c>
      <c r="G161" s="60">
        <v>0</v>
      </c>
      <c r="H161" s="60">
        <v>-4</v>
      </c>
      <c r="I161" s="60">
        <v>-2</v>
      </c>
      <c r="J161" s="60">
        <v>0</v>
      </c>
      <c r="K161" s="60">
        <v>-4</v>
      </c>
      <c r="L161" s="60">
        <v>-2</v>
      </c>
      <c r="M161" s="60">
        <v>0</v>
      </c>
      <c r="N161" s="60">
        <v>-4</v>
      </c>
      <c r="O161" s="60">
        <v>-2</v>
      </c>
      <c r="P161" s="60">
        <v>0</v>
      </c>
      <c r="S161" s="60" t="e">
        <f t="shared" ca="1" si="26"/>
        <v>#REF!</v>
      </c>
      <c r="T161" s="60">
        <f t="shared" si="27"/>
        <v>4</v>
      </c>
      <c r="U161" s="60">
        <f t="shared" si="28"/>
        <v>2</v>
      </c>
      <c r="V161" s="60">
        <f t="shared" si="29"/>
        <v>0</v>
      </c>
      <c r="W161" s="60">
        <f t="shared" si="30"/>
        <v>4</v>
      </c>
      <c r="X161" s="60">
        <f t="shared" si="31"/>
        <v>2</v>
      </c>
      <c r="Y161" s="60">
        <f t="shared" si="32"/>
        <v>0</v>
      </c>
      <c r="Z161" s="60">
        <f t="shared" si="33"/>
        <v>4</v>
      </c>
      <c r="AA161" s="60">
        <f t="shared" si="34"/>
        <v>2</v>
      </c>
      <c r="AB161" s="60">
        <f t="shared" si="35"/>
        <v>0</v>
      </c>
      <c r="AC161" s="60">
        <f t="shared" si="36"/>
        <v>4</v>
      </c>
      <c r="AD161" s="60">
        <f t="shared" si="37"/>
        <v>2</v>
      </c>
      <c r="AE161" s="60">
        <f t="shared" si="38"/>
        <v>0</v>
      </c>
      <c r="AG161" s="60" cm="1">
        <f t="array" aca="1" ref="AG161" ca="1">SQRT(SUMSQ(_xlfn._xlws.FILTER(S161:AE161,ISNUMBER(S161:AE161)))/COUNT(_xlfn._xlws.FILTER(S161:AE161,ISNUMBER(S161:AE161))))</f>
        <v>2.5819888974716112</v>
      </c>
    </row>
    <row r="162" spans="3:33" x14ac:dyDescent="0.2">
      <c r="C162" s="60" t="s">
        <v>300</v>
      </c>
      <c r="D162" s="60">
        <v>0</v>
      </c>
      <c r="E162" s="60">
        <v>2</v>
      </c>
      <c r="F162" s="60">
        <v>0</v>
      </c>
      <c r="G162" s="60">
        <v>2</v>
      </c>
      <c r="H162" s="60">
        <v>0</v>
      </c>
      <c r="I162" s="60">
        <v>2</v>
      </c>
      <c r="J162" s="60">
        <v>0</v>
      </c>
      <c r="K162" s="60">
        <v>2</v>
      </c>
      <c r="L162" s="60">
        <v>0</v>
      </c>
      <c r="M162" s="60">
        <v>2</v>
      </c>
      <c r="N162" s="60">
        <v>0</v>
      </c>
      <c r="O162" s="60">
        <v>2</v>
      </c>
      <c r="P162" s="60">
        <v>0</v>
      </c>
      <c r="S162" s="60" t="e">
        <f t="shared" ca="1" si="26"/>
        <v>#REF!</v>
      </c>
      <c r="T162" s="60">
        <f t="shared" si="27"/>
        <v>-2</v>
      </c>
      <c r="U162" s="60">
        <f t="shared" si="28"/>
        <v>0</v>
      </c>
      <c r="V162" s="60">
        <f t="shared" si="29"/>
        <v>-2</v>
      </c>
      <c r="W162" s="60">
        <f t="shared" si="30"/>
        <v>0</v>
      </c>
      <c r="X162" s="60">
        <f t="shared" si="31"/>
        <v>-2</v>
      </c>
      <c r="Y162" s="60">
        <f t="shared" si="32"/>
        <v>0</v>
      </c>
      <c r="Z162" s="60">
        <f t="shared" si="33"/>
        <v>-2</v>
      </c>
      <c r="AA162" s="60">
        <f t="shared" si="34"/>
        <v>0</v>
      </c>
      <c r="AB162" s="60">
        <f t="shared" si="35"/>
        <v>-2</v>
      </c>
      <c r="AC162" s="60">
        <f t="shared" si="36"/>
        <v>0</v>
      </c>
      <c r="AD162" s="60">
        <f t="shared" si="37"/>
        <v>-2</v>
      </c>
      <c r="AE162" s="60">
        <f t="shared" si="38"/>
        <v>0</v>
      </c>
      <c r="AG162" s="60" cm="1">
        <f t="array" aca="1" ref="AG162" ca="1">SQRT(SUMSQ(_xlfn._xlws.FILTER(S162:AE162,ISNUMBER(S162:AE162)))/COUNT(_xlfn._xlws.FILTER(S162:AE162,ISNUMBER(S162:AE162))))</f>
        <v>1.4142135623730951</v>
      </c>
    </row>
    <row r="163" spans="3:33" x14ac:dyDescent="0.2">
      <c r="C163" s="60" t="s">
        <v>301</v>
      </c>
      <c r="D163" s="60">
        <v>0</v>
      </c>
      <c r="E163" s="60">
        <v>-2</v>
      </c>
      <c r="F163" s="60">
        <v>-4</v>
      </c>
      <c r="G163" s="60">
        <v>-8</v>
      </c>
      <c r="H163" s="60">
        <v>-12</v>
      </c>
      <c r="I163" s="60">
        <v>-10</v>
      </c>
      <c r="J163" s="60">
        <v>-8</v>
      </c>
      <c r="K163" s="60">
        <v>-8</v>
      </c>
      <c r="L163" s="60">
        <v>-6</v>
      </c>
      <c r="M163" s="60">
        <v>-4</v>
      </c>
      <c r="N163" s="60">
        <v>-4</v>
      </c>
      <c r="O163" s="60">
        <v>-2</v>
      </c>
      <c r="P163" s="60">
        <v>0</v>
      </c>
      <c r="S163" s="60" t="e">
        <f t="shared" ca="1" si="26"/>
        <v>#REF!</v>
      </c>
      <c r="T163" s="60">
        <f t="shared" si="27"/>
        <v>2</v>
      </c>
      <c r="U163" s="60">
        <f t="shared" si="28"/>
        <v>4</v>
      </c>
      <c r="V163" s="60">
        <f t="shared" si="29"/>
        <v>8</v>
      </c>
      <c r="W163" s="60">
        <f t="shared" si="30"/>
        <v>12</v>
      </c>
      <c r="X163" s="60">
        <f t="shared" si="31"/>
        <v>10</v>
      </c>
      <c r="Y163" s="60">
        <f t="shared" si="32"/>
        <v>8</v>
      </c>
      <c r="Z163" s="60">
        <f t="shared" si="33"/>
        <v>8</v>
      </c>
      <c r="AA163" s="60">
        <f t="shared" si="34"/>
        <v>6</v>
      </c>
      <c r="AB163" s="60">
        <f t="shared" si="35"/>
        <v>4</v>
      </c>
      <c r="AC163" s="60">
        <f t="shared" si="36"/>
        <v>4</v>
      </c>
      <c r="AD163" s="60">
        <f t="shared" si="37"/>
        <v>2</v>
      </c>
      <c r="AE163" s="60">
        <f t="shared" si="38"/>
        <v>0</v>
      </c>
      <c r="AG163" s="60" cm="1">
        <f t="array" aca="1" ref="AG163" ca="1">SQRT(SUMSQ(_xlfn._xlws.FILTER(S163:AE163,ISNUMBER(S163:AE163)))/COUNT(_xlfn._xlws.FILTER(S163:AE163,ISNUMBER(S163:AE163))))</f>
        <v>6.6332495807107996</v>
      </c>
    </row>
    <row r="164" spans="3:33" x14ac:dyDescent="0.2">
      <c r="C164" s="60" t="s">
        <v>302</v>
      </c>
      <c r="D164" s="60">
        <v>0</v>
      </c>
      <c r="E164" s="60">
        <v>-2</v>
      </c>
      <c r="F164" s="60">
        <v>-4</v>
      </c>
      <c r="G164" s="60">
        <v>-6</v>
      </c>
      <c r="H164" s="60">
        <v>-4</v>
      </c>
      <c r="I164" s="60">
        <v>-6</v>
      </c>
      <c r="J164" s="60">
        <v>-4</v>
      </c>
      <c r="K164" s="60">
        <v>-4</v>
      </c>
      <c r="L164" s="60">
        <v>-4</v>
      </c>
      <c r="M164" s="60">
        <v>-4</v>
      </c>
      <c r="N164" s="60">
        <v>0</v>
      </c>
      <c r="O164" s="60">
        <v>-2</v>
      </c>
      <c r="P164" s="60">
        <v>0</v>
      </c>
      <c r="S164" s="60" t="e">
        <f t="shared" ca="1" si="26"/>
        <v>#REF!</v>
      </c>
      <c r="T164" s="60">
        <f t="shared" si="27"/>
        <v>2</v>
      </c>
      <c r="U164" s="60">
        <f t="shared" si="28"/>
        <v>4</v>
      </c>
      <c r="V164" s="60">
        <f t="shared" si="29"/>
        <v>6</v>
      </c>
      <c r="W164" s="60">
        <f t="shared" si="30"/>
        <v>4</v>
      </c>
      <c r="X164" s="60">
        <f t="shared" si="31"/>
        <v>6</v>
      </c>
      <c r="Y164" s="60">
        <f t="shared" si="32"/>
        <v>4</v>
      </c>
      <c r="Z164" s="60">
        <f t="shared" si="33"/>
        <v>4</v>
      </c>
      <c r="AA164" s="60">
        <f t="shared" si="34"/>
        <v>4</v>
      </c>
      <c r="AB164" s="60">
        <f t="shared" si="35"/>
        <v>4</v>
      </c>
      <c r="AC164" s="60">
        <f t="shared" si="36"/>
        <v>0</v>
      </c>
      <c r="AD164" s="60">
        <f t="shared" si="37"/>
        <v>2</v>
      </c>
      <c r="AE164" s="60">
        <f t="shared" si="38"/>
        <v>0</v>
      </c>
      <c r="AG164" s="60" cm="1">
        <f t="array" aca="1" ref="AG164" ca="1">SQRT(SUMSQ(_xlfn._xlws.FILTER(S164:AE164,ISNUMBER(S164:AE164)))/COUNT(_xlfn._xlws.FILTER(S164:AE164,ISNUMBER(S164:AE164))))</f>
        <v>3.8297084310253524</v>
      </c>
    </row>
    <row r="165" spans="3:33" x14ac:dyDescent="0.2">
      <c r="C165" s="60" t="s">
        <v>303</v>
      </c>
      <c r="D165" s="60">
        <v>0</v>
      </c>
      <c r="E165" s="60">
        <v>0</v>
      </c>
      <c r="F165" s="60">
        <v>-2</v>
      </c>
      <c r="G165" s="60">
        <v>-6</v>
      </c>
      <c r="H165" s="60">
        <v>-10</v>
      </c>
      <c r="I165" s="60">
        <v>-8</v>
      </c>
      <c r="J165" s="60">
        <v>-8</v>
      </c>
      <c r="K165" s="60">
        <v>-6</v>
      </c>
      <c r="L165" s="60">
        <v>-6</v>
      </c>
      <c r="M165" s="60">
        <v>-4</v>
      </c>
      <c r="N165" s="60">
        <v>-2</v>
      </c>
      <c r="O165" s="60">
        <v>-2</v>
      </c>
      <c r="P165" s="60">
        <v>0</v>
      </c>
      <c r="S165" s="60" t="e">
        <f t="shared" ca="1" si="26"/>
        <v>#REF!</v>
      </c>
      <c r="T165" s="60">
        <f t="shared" si="27"/>
        <v>0</v>
      </c>
      <c r="U165" s="60">
        <f t="shared" si="28"/>
        <v>2</v>
      </c>
      <c r="V165" s="60">
        <f t="shared" si="29"/>
        <v>6</v>
      </c>
      <c r="W165" s="60">
        <f t="shared" si="30"/>
        <v>10</v>
      </c>
      <c r="X165" s="60">
        <f t="shared" si="31"/>
        <v>8</v>
      </c>
      <c r="Y165" s="60">
        <f t="shared" si="32"/>
        <v>8</v>
      </c>
      <c r="Z165" s="60">
        <f t="shared" si="33"/>
        <v>6</v>
      </c>
      <c r="AA165" s="60">
        <f t="shared" si="34"/>
        <v>6</v>
      </c>
      <c r="AB165" s="60">
        <f t="shared" si="35"/>
        <v>4</v>
      </c>
      <c r="AC165" s="60">
        <f t="shared" si="36"/>
        <v>2</v>
      </c>
      <c r="AD165" s="60">
        <f t="shared" si="37"/>
        <v>2</v>
      </c>
      <c r="AE165" s="60">
        <f t="shared" si="38"/>
        <v>0</v>
      </c>
      <c r="AG165" s="60" cm="1">
        <f t="array" aca="1" ref="AG165" ca="1">SQRT(SUMSQ(_xlfn._xlws.FILTER(S165:AE165,ISNUMBER(S165:AE165)))/COUNT(_xlfn._xlws.FILTER(S165:AE165,ISNUMBER(S165:AE165))))</f>
        <v>5.5075705472861021</v>
      </c>
    </row>
    <row r="166" spans="3:33" x14ac:dyDescent="0.2">
      <c r="C166" s="60" t="s">
        <v>304</v>
      </c>
      <c r="D166" s="60">
        <v>0</v>
      </c>
      <c r="E166" s="60">
        <v>0</v>
      </c>
      <c r="F166" s="60">
        <v>-1.9550000000000001</v>
      </c>
      <c r="G166" s="60">
        <v>-5.8650000000000002</v>
      </c>
      <c r="H166" s="60">
        <v>-9.7750000000000004</v>
      </c>
      <c r="I166" s="60">
        <v>-7.82</v>
      </c>
      <c r="J166" s="60">
        <v>-7.82</v>
      </c>
      <c r="K166" s="60">
        <v>-5.8650000000000002</v>
      </c>
      <c r="L166" s="60">
        <v>-5.8650000000000002</v>
      </c>
      <c r="M166" s="60">
        <v>-3.91</v>
      </c>
      <c r="N166" s="60">
        <v>-1.9550000000000001</v>
      </c>
      <c r="O166" s="60">
        <v>-1.9550000000000001</v>
      </c>
      <c r="P166" s="60">
        <v>0</v>
      </c>
      <c r="S166" s="60" t="e">
        <f t="shared" ca="1" si="26"/>
        <v>#REF!</v>
      </c>
      <c r="T166" s="60">
        <f t="shared" si="27"/>
        <v>0</v>
      </c>
      <c r="U166" s="60">
        <f t="shared" si="28"/>
        <v>1.9550000000000001</v>
      </c>
      <c r="V166" s="60">
        <f t="shared" si="29"/>
        <v>5.8650000000000002</v>
      </c>
      <c r="W166" s="60">
        <f t="shared" si="30"/>
        <v>9.7750000000000004</v>
      </c>
      <c r="X166" s="60">
        <f t="shared" si="31"/>
        <v>7.82</v>
      </c>
      <c r="Y166" s="60">
        <f t="shared" si="32"/>
        <v>7.82</v>
      </c>
      <c r="Z166" s="60">
        <f t="shared" si="33"/>
        <v>5.8650000000000002</v>
      </c>
      <c r="AA166" s="60">
        <f t="shared" si="34"/>
        <v>5.8650000000000002</v>
      </c>
      <c r="AB166" s="60">
        <f t="shared" si="35"/>
        <v>3.91</v>
      </c>
      <c r="AC166" s="60">
        <f t="shared" si="36"/>
        <v>1.9550000000000001</v>
      </c>
      <c r="AD166" s="60">
        <f t="shared" si="37"/>
        <v>1.9550000000000001</v>
      </c>
      <c r="AE166" s="60">
        <f t="shared" si="38"/>
        <v>0</v>
      </c>
      <c r="AG166" s="60" cm="1">
        <f t="array" aca="1" ref="AG166" ca="1">SQRT(SUMSQ(_xlfn._xlws.FILTER(S166:AE166,ISNUMBER(S166:AE166)))/COUNT(_xlfn._xlws.FILTER(S166:AE166,ISNUMBER(S166:AE166))))</f>
        <v>5.3836502099721653</v>
      </c>
    </row>
    <row r="167" spans="3:33" x14ac:dyDescent="0.2">
      <c r="C167" s="60" t="s">
        <v>305</v>
      </c>
      <c r="D167" s="60">
        <v>0</v>
      </c>
      <c r="E167" s="60">
        <v>-1</v>
      </c>
      <c r="F167" s="60">
        <v>-2</v>
      </c>
      <c r="G167" s="60">
        <v>-4</v>
      </c>
      <c r="H167" s="60">
        <v>-6</v>
      </c>
      <c r="I167" s="60">
        <v>-6</v>
      </c>
      <c r="J167" s="60">
        <v>-6</v>
      </c>
      <c r="K167" s="60">
        <v>-6</v>
      </c>
      <c r="L167" s="60">
        <v>-4</v>
      </c>
      <c r="M167" s="60">
        <v>-2</v>
      </c>
      <c r="N167" s="60">
        <v>0</v>
      </c>
      <c r="O167" s="60">
        <v>0</v>
      </c>
      <c r="P167" s="60">
        <v>0</v>
      </c>
      <c r="S167" s="60" t="e">
        <f t="shared" ca="1" si="26"/>
        <v>#REF!</v>
      </c>
      <c r="T167" s="60">
        <f t="shared" si="27"/>
        <v>1</v>
      </c>
      <c r="U167" s="60">
        <f t="shared" si="28"/>
        <v>2</v>
      </c>
      <c r="V167" s="60">
        <f t="shared" si="29"/>
        <v>4</v>
      </c>
      <c r="W167" s="60">
        <f t="shared" si="30"/>
        <v>6</v>
      </c>
      <c r="X167" s="60">
        <f t="shared" si="31"/>
        <v>6</v>
      </c>
      <c r="Y167" s="60">
        <f t="shared" si="32"/>
        <v>6</v>
      </c>
      <c r="Z167" s="60">
        <f t="shared" si="33"/>
        <v>6</v>
      </c>
      <c r="AA167" s="60">
        <f t="shared" si="34"/>
        <v>4</v>
      </c>
      <c r="AB167" s="60">
        <f t="shared" si="35"/>
        <v>2</v>
      </c>
      <c r="AC167" s="60">
        <f t="shared" si="36"/>
        <v>0</v>
      </c>
      <c r="AD167" s="60">
        <f t="shared" si="37"/>
        <v>0</v>
      </c>
      <c r="AE167" s="60">
        <f t="shared" si="38"/>
        <v>0</v>
      </c>
      <c r="AG167" s="60" cm="1">
        <f t="array" aca="1" ref="AG167" ca="1">SQRT(SUMSQ(_xlfn._xlws.FILTER(S167:AE167,ISNUMBER(S167:AE167)))/COUNT(_xlfn._xlws.FILTER(S167:AE167,ISNUMBER(S167:AE167))))</f>
        <v>3.9264063297965821</v>
      </c>
    </row>
    <row r="168" spans="3:33" x14ac:dyDescent="0.2">
      <c r="C168" s="60" t="s">
        <v>306</v>
      </c>
      <c r="D168" s="60">
        <v>0</v>
      </c>
      <c r="E168" s="60">
        <v>2</v>
      </c>
      <c r="F168" s="60">
        <v>4</v>
      </c>
      <c r="G168" s="60">
        <v>6</v>
      </c>
      <c r="H168" s="60">
        <v>8</v>
      </c>
      <c r="I168" s="60">
        <v>10</v>
      </c>
      <c r="J168" s="60">
        <v>12</v>
      </c>
      <c r="K168" s="60">
        <v>14</v>
      </c>
      <c r="L168" s="60">
        <v>16</v>
      </c>
      <c r="M168" s="60">
        <v>-6</v>
      </c>
      <c r="N168" s="60">
        <v>-4</v>
      </c>
      <c r="O168" s="60">
        <v>-2</v>
      </c>
      <c r="P168" s="60">
        <v>0</v>
      </c>
      <c r="S168" s="60" t="e">
        <f t="shared" ca="1" si="26"/>
        <v>#REF!</v>
      </c>
      <c r="T168" s="60">
        <f t="shared" si="27"/>
        <v>-2</v>
      </c>
      <c r="U168" s="60">
        <f t="shared" si="28"/>
        <v>-4</v>
      </c>
      <c r="V168" s="60">
        <f t="shared" si="29"/>
        <v>-6</v>
      </c>
      <c r="W168" s="60">
        <f t="shared" si="30"/>
        <v>-8</v>
      </c>
      <c r="X168" s="60">
        <f t="shared" si="31"/>
        <v>-10</v>
      </c>
      <c r="Y168" s="60">
        <f t="shared" si="32"/>
        <v>-12</v>
      </c>
      <c r="Z168" s="60">
        <f t="shared" si="33"/>
        <v>-14</v>
      </c>
      <c r="AA168" s="60">
        <f t="shared" si="34"/>
        <v>-16</v>
      </c>
      <c r="AB168" s="60">
        <f t="shared" si="35"/>
        <v>6</v>
      </c>
      <c r="AC168" s="60">
        <f t="shared" si="36"/>
        <v>4</v>
      </c>
      <c r="AD168" s="60">
        <f t="shared" si="37"/>
        <v>2</v>
      </c>
      <c r="AE168" s="60">
        <f t="shared" si="38"/>
        <v>0</v>
      </c>
      <c r="AG168" s="60" cm="1">
        <f t="array" aca="1" ref="AG168" ca="1">SQRT(SUMSQ(_xlfn._xlws.FILTER(S168:AE168,ISNUMBER(S168:AE168)))/COUNT(_xlfn._xlws.FILTER(S168:AE168,ISNUMBER(S168:AE168))))</f>
        <v>8.5244745683629475</v>
      </c>
    </row>
    <row r="169" spans="3:33" x14ac:dyDescent="0.2">
      <c r="C169" s="60" t="s">
        <v>307</v>
      </c>
      <c r="D169" s="60">
        <v>0</v>
      </c>
      <c r="E169" s="60">
        <v>1.9550000000000001</v>
      </c>
      <c r="F169" s="60">
        <v>3.91</v>
      </c>
      <c r="G169" s="60">
        <v>5.8650000000000002</v>
      </c>
      <c r="H169" s="60">
        <v>7.82</v>
      </c>
      <c r="I169" s="60">
        <v>9.7750000000000004</v>
      </c>
      <c r="J169" s="60">
        <v>11.73</v>
      </c>
      <c r="K169" s="60">
        <v>13.685</v>
      </c>
      <c r="L169" s="60">
        <v>15.64</v>
      </c>
      <c r="M169" s="60">
        <v>-5.8650000000000002</v>
      </c>
      <c r="N169" s="60">
        <v>-3.91</v>
      </c>
      <c r="O169" s="60">
        <v>-1.9550000000000001</v>
      </c>
      <c r="P169" s="60">
        <v>0</v>
      </c>
      <c r="S169" s="60" t="e">
        <f t="shared" ca="1" si="26"/>
        <v>#REF!</v>
      </c>
      <c r="T169" s="60">
        <f t="shared" si="27"/>
        <v>-1.9550000000000001</v>
      </c>
      <c r="U169" s="60">
        <f t="shared" si="28"/>
        <v>-3.91</v>
      </c>
      <c r="V169" s="60">
        <f t="shared" si="29"/>
        <v>-5.8650000000000002</v>
      </c>
      <c r="W169" s="60">
        <f t="shared" si="30"/>
        <v>-7.82</v>
      </c>
      <c r="X169" s="60">
        <f t="shared" si="31"/>
        <v>-9.7750000000000004</v>
      </c>
      <c r="Y169" s="60">
        <f t="shared" si="32"/>
        <v>-11.73</v>
      </c>
      <c r="Z169" s="60">
        <f t="shared" si="33"/>
        <v>-13.685</v>
      </c>
      <c r="AA169" s="60">
        <f t="shared" si="34"/>
        <v>-15.64</v>
      </c>
      <c r="AB169" s="60">
        <f t="shared" si="35"/>
        <v>5.8650000000000002</v>
      </c>
      <c r="AC169" s="60">
        <f t="shared" si="36"/>
        <v>3.91</v>
      </c>
      <c r="AD169" s="60">
        <f t="shared" si="37"/>
        <v>1.9550000000000001</v>
      </c>
      <c r="AE169" s="60">
        <f t="shared" si="38"/>
        <v>0</v>
      </c>
      <c r="AG169" s="60" cm="1">
        <f t="array" aca="1" ref="AG169" ca="1">SQRT(SUMSQ(_xlfn._xlws.FILTER(S169:AE169,ISNUMBER(S169:AE169)))/COUNT(_xlfn._xlws.FILTER(S169:AE169,ISNUMBER(S169:AE169))))</f>
        <v>8.3326738905747817</v>
      </c>
    </row>
    <row r="170" spans="3:33" x14ac:dyDescent="0.2">
      <c r="C170" s="60" t="s">
        <v>308</v>
      </c>
      <c r="D170" s="60">
        <v>0</v>
      </c>
      <c r="E170" s="60">
        <v>-2</v>
      </c>
      <c r="F170" s="60">
        <v>-3</v>
      </c>
      <c r="G170" s="60">
        <v>-5</v>
      </c>
      <c r="H170" s="60">
        <v>-7</v>
      </c>
      <c r="I170" s="60">
        <v>-8</v>
      </c>
      <c r="J170" s="60">
        <v>-10</v>
      </c>
      <c r="K170" s="60">
        <v>-11</v>
      </c>
      <c r="L170" s="60">
        <v>-13</v>
      </c>
      <c r="M170" s="60">
        <v>5</v>
      </c>
      <c r="N170" s="60">
        <v>3</v>
      </c>
      <c r="O170" s="60">
        <v>2</v>
      </c>
      <c r="P170" s="60">
        <v>0</v>
      </c>
      <c r="S170" s="60" t="e">
        <f t="shared" ca="1" si="26"/>
        <v>#REF!</v>
      </c>
      <c r="T170" s="60">
        <f t="shared" si="27"/>
        <v>2</v>
      </c>
      <c r="U170" s="60">
        <f t="shared" si="28"/>
        <v>3</v>
      </c>
      <c r="V170" s="60">
        <f t="shared" si="29"/>
        <v>5</v>
      </c>
      <c r="W170" s="60">
        <f t="shared" si="30"/>
        <v>7</v>
      </c>
      <c r="X170" s="60">
        <f t="shared" si="31"/>
        <v>8</v>
      </c>
      <c r="Y170" s="60">
        <f t="shared" si="32"/>
        <v>10</v>
      </c>
      <c r="Z170" s="60">
        <f t="shared" si="33"/>
        <v>11</v>
      </c>
      <c r="AA170" s="60">
        <f t="shared" si="34"/>
        <v>13</v>
      </c>
      <c r="AB170" s="60">
        <f t="shared" si="35"/>
        <v>-5</v>
      </c>
      <c r="AC170" s="60">
        <f t="shared" si="36"/>
        <v>-3</v>
      </c>
      <c r="AD170" s="60">
        <f t="shared" si="37"/>
        <v>-2</v>
      </c>
      <c r="AE170" s="60">
        <f t="shared" si="38"/>
        <v>0</v>
      </c>
      <c r="AG170" s="60" cm="1">
        <f t="array" aca="1" ref="AG170" ca="1">SQRT(SUMSQ(_xlfn._xlws.FILTER(S170:AE170,ISNUMBER(S170:AE170)))/COUNT(_xlfn._xlws.FILTER(S170:AE170,ISNUMBER(S170:AE170))))</f>
        <v>6.946221994724902</v>
      </c>
    </row>
    <row r="171" spans="3:33" x14ac:dyDescent="0.2">
      <c r="C171" s="60" t="s">
        <v>309</v>
      </c>
      <c r="D171" s="60">
        <v>0</v>
      </c>
      <c r="E171" s="60">
        <v>-1.629</v>
      </c>
      <c r="F171" s="60">
        <v>-3.2589999999999999</v>
      </c>
      <c r="G171" s="60">
        <v>-4.8879999999999999</v>
      </c>
      <c r="H171" s="60">
        <v>-6.5179999999999998</v>
      </c>
      <c r="I171" s="60">
        <v>-8.1470000000000002</v>
      </c>
      <c r="J171" s="60">
        <v>-9.7759999999999998</v>
      </c>
      <c r="K171" s="60">
        <v>-11.406000000000001</v>
      </c>
      <c r="L171" s="60">
        <v>-13.035</v>
      </c>
      <c r="M171" s="60">
        <v>4.8879999999999999</v>
      </c>
      <c r="N171" s="60">
        <v>3.2589999999999999</v>
      </c>
      <c r="O171" s="60">
        <v>1.629</v>
      </c>
      <c r="P171" s="60">
        <v>0</v>
      </c>
      <c r="S171" s="60" t="e">
        <f t="shared" ca="1" si="26"/>
        <v>#REF!</v>
      </c>
      <c r="T171" s="60">
        <f t="shared" si="27"/>
        <v>1.629</v>
      </c>
      <c r="U171" s="60">
        <f t="shared" si="28"/>
        <v>3.2589999999999999</v>
      </c>
      <c r="V171" s="60">
        <f t="shared" si="29"/>
        <v>4.8879999999999999</v>
      </c>
      <c r="W171" s="60">
        <f t="shared" si="30"/>
        <v>6.5179999999999998</v>
      </c>
      <c r="X171" s="60">
        <f t="shared" si="31"/>
        <v>8.1470000000000002</v>
      </c>
      <c r="Y171" s="60">
        <f t="shared" si="32"/>
        <v>9.7759999999999998</v>
      </c>
      <c r="Z171" s="60">
        <f t="shared" si="33"/>
        <v>11.406000000000001</v>
      </c>
      <c r="AA171" s="60">
        <f t="shared" si="34"/>
        <v>13.035</v>
      </c>
      <c r="AB171" s="60">
        <f t="shared" si="35"/>
        <v>-4.8879999999999999</v>
      </c>
      <c r="AC171" s="60">
        <f t="shared" si="36"/>
        <v>-3.2589999999999999</v>
      </c>
      <c r="AD171" s="60">
        <f t="shared" si="37"/>
        <v>-1.629</v>
      </c>
      <c r="AE171" s="60">
        <f t="shared" si="38"/>
        <v>0</v>
      </c>
      <c r="AG171" s="60" cm="1">
        <f t="array" aca="1" ref="AG171" ca="1">SQRT(SUMSQ(_xlfn._xlws.FILTER(S171:AE171,ISNUMBER(S171:AE171)))/COUNT(_xlfn._xlws.FILTER(S171:AE171,ISNUMBER(S171:AE171))))</f>
        <v>6.9448464225880002</v>
      </c>
    </row>
    <row r="172" spans="3:33" x14ac:dyDescent="0.2">
      <c r="C172" s="60" t="s">
        <v>310</v>
      </c>
      <c r="D172" s="60">
        <v>0</v>
      </c>
      <c r="E172" s="60">
        <v>0</v>
      </c>
      <c r="F172" s="60">
        <v>0</v>
      </c>
      <c r="G172" s="60">
        <v>0</v>
      </c>
      <c r="H172" s="60">
        <v>0</v>
      </c>
      <c r="I172" s="60">
        <v>0</v>
      </c>
      <c r="J172" s="60">
        <v>0</v>
      </c>
      <c r="K172" s="60">
        <v>0</v>
      </c>
      <c r="L172" s="60">
        <v>0</v>
      </c>
      <c r="M172" s="60">
        <v>0</v>
      </c>
      <c r="N172" s="60">
        <v>0</v>
      </c>
      <c r="O172" s="60">
        <v>0</v>
      </c>
      <c r="P172" s="60">
        <v>0</v>
      </c>
      <c r="S172" s="60" t="e">
        <f t="shared" ca="1" si="26"/>
        <v>#REF!</v>
      </c>
      <c r="T172" s="60">
        <f t="shared" si="27"/>
        <v>0</v>
      </c>
      <c r="U172" s="60">
        <f t="shared" si="28"/>
        <v>0</v>
      </c>
      <c r="V172" s="60">
        <f t="shared" si="29"/>
        <v>0</v>
      </c>
      <c r="W172" s="60">
        <f t="shared" si="30"/>
        <v>0</v>
      </c>
      <c r="X172" s="60">
        <f t="shared" si="31"/>
        <v>0</v>
      </c>
      <c r="Y172" s="60">
        <f t="shared" si="32"/>
        <v>0</v>
      </c>
      <c r="Z172" s="60">
        <f t="shared" si="33"/>
        <v>0</v>
      </c>
      <c r="AA172" s="60">
        <f t="shared" si="34"/>
        <v>0</v>
      </c>
      <c r="AB172" s="60">
        <f t="shared" si="35"/>
        <v>0</v>
      </c>
      <c r="AC172" s="60">
        <f t="shared" si="36"/>
        <v>0</v>
      </c>
      <c r="AD172" s="60">
        <f t="shared" si="37"/>
        <v>0</v>
      </c>
      <c r="AE172" s="60">
        <f t="shared" si="38"/>
        <v>0</v>
      </c>
      <c r="AG172" s="60" cm="1">
        <f t="array" aca="1" ref="AG172" ca="1">SQRT(SUMSQ(_xlfn._xlws.FILTER(S172:AE172,ISNUMBER(S172:AE172)))/COUNT(_xlfn._xlws.FILTER(S172:AE172,ISNUMBER(S172:AE172))))</f>
        <v>0</v>
      </c>
    </row>
    <row r="173" spans="3:33" x14ac:dyDescent="0.2">
      <c r="C173" s="60" t="s">
        <v>311</v>
      </c>
      <c r="D173" s="60">
        <v>0</v>
      </c>
      <c r="E173" s="60">
        <v>-2</v>
      </c>
      <c r="F173" s="60">
        <v>-5</v>
      </c>
      <c r="G173" s="60">
        <v>-7</v>
      </c>
      <c r="H173" s="60">
        <v>-10</v>
      </c>
      <c r="I173" s="60">
        <v>-12</v>
      </c>
      <c r="J173" s="60">
        <v>-13</v>
      </c>
      <c r="K173" s="60">
        <v>-12</v>
      </c>
      <c r="L173" s="60">
        <v>-10</v>
      </c>
      <c r="M173" s="60">
        <v>-6</v>
      </c>
      <c r="N173" s="60">
        <v>-2</v>
      </c>
      <c r="O173" s="60">
        <v>3</v>
      </c>
      <c r="P173" s="60">
        <v>0</v>
      </c>
      <c r="S173" s="60" t="e">
        <f t="shared" ca="1" si="26"/>
        <v>#REF!</v>
      </c>
      <c r="T173" s="60">
        <f t="shared" si="27"/>
        <v>2</v>
      </c>
      <c r="U173" s="60">
        <f t="shared" si="28"/>
        <v>5</v>
      </c>
      <c r="V173" s="60">
        <f t="shared" si="29"/>
        <v>7</v>
      </c>
      <c r="W173" s="60">
        <f t="shared" si="30"/>
        <v>10</v>
      </c>
      <c r="X173" s="60">
        <f t="shared" si="31"/>
        <v>12</v>
      </c>
      <c r="Y173" s="60">
        <f t="shared" si="32"/>
        <v>13</v>
      </c>
      <c r="Z173" s="60">
        <f t="shared" si="33"/>
        <v>12</v>
      </c>
      <c r="AA173" s="60">
        <f t="shared" si="34"/>
        <v>10</v>
      </c>
      <c r="AB173" s="60">
        <f t="shared" si="35"/>
        <v>6</v>
      </c>
      <c r="AC173" s="60">
        <f t="shared" si="36"/>
        <v>2</v>
      </c>
      <c r="AD173" s="60">
        <f t="shared" si="37"/>
        <v>-3</v>
      </c>
      <c r="AE173" s="60">
        <f t="shared" si="38"/>
        <v>0</v>
      </c>
      <c r="AG173" s="60" cm="1">
        <f t="array" aca="1" ref="AG173" ca="1">SQRT(SUMSQ(_xlfn._xlws.FILTER(S173:AE173,ISNUMBER(S173:AE173)))/COUNT(_xlfn._xlws.FILTER(S173:AE173,ISNUMBER(S173:AE173))))</f>
        <v>8.0829037686547611</v>
      </c>
    </row>
    <row r="174" spans="3:33" x14ac:dyDescent="0.2">
      <c r="C174" s="60" t="s">
        <v>312</v>
      </c>
      <c r="D174" s="60">
        <v>0</v>
      </c>
      <c r="E174" s="60">
        <v>-3</v>
      </c>
      <c r="F174" s="60">
        <v>-7</v>
      </c>
      <c r="G174" s="60">
        <v>-10</v>
      </c>
      <c r="H174" s="60">
        <v>-14</v>
      </c>
      <c r="I174" s="60">
        <v>-17</v>
      </c>
      <c r="J174" s="60">
        <v>-20</v>
      </c>
      <c r="K174" s="60">
        <v>-24</v>
      </c>
      <c r="L174" s="60">
        <v>-25</v>
      </c>
      <c r="M174" s="60">
        <v>-9</v>
      </c>
      <c r="N174" s="60">
        <v>-2</v>
      </c>
      <c r="O174" s="60">
        <v>0</v>
      </c>
      <c r="P174" s="60">
        <v>0</v>
      </c>
      <c r="S174" s="60" t="e">
        <f t="shared" ca="1" si="26"/>
        <v>#REF!</v>
      </c>
      <c r="T174" s="60">
        <f t="shared" si="27"/>
        <v>3</v>
      </c>
      <c r="U174" s="60">
        <f t="shared" si="28"/>
        <v>7</v>
      </c>
      <c r="V174" s="60">
        <f t="shared" si="29"/>
        <v>10</v>
      </c>
      <c r="W174" s="60">
        <f t="shared" si="30"/>
        <v>14</v>
      </c>
      <c r="X174" s="60">
        <f t="shared" si="31"/>
        <v>17</v>
      </c>
      <c r="Y174" s="60">
        <f t="shared" si="32"/>
        <v>20</v>
      </c>
      <c r="Z174" s="60">
        <f t="shared" si="33"/>
        <v>24</v>
      </c>
      <c r="AA174" s="60">
        <f t="shared" si="34"/>
        <v>25</v>
      </c>
      <c r="AB174" s="60">
        <f t="shared" si="35"/>
        <v>9</v>
      </c>
      <c r="AC174" s="60">
        <f t="shared" si="36"/>
        <v>2</v>
      </c>
      <c r="AD174" s="60">
        <f t="shared" si="37"/>
        <v>0</v>
      </c>
      <c r="AE174" s="60">
        <f t="shared" si="38"/>
        <v>0</v>
      </c>
      <c r="AG174" s="60" cm="1">
        <f t="array" aca="1" ref="AG174" ca="1">SQRT(SUMSQ(_xlfn._xlws.FILTER(S174:AE174,ISNUMBER(S174:AE174)))/COUNT(_xlfn._xlws.FILTER(S174:AE174,ISNUMBER(S174:AE174))))</f>
        <v>13.931379448329348</v>
      </c>
    </row>
    <row r="175" spans="3:33" x14ac:dyDescent="0.2">
      <c r="C175" s="60" t="s">
        <v>313</v>
      </c>
      <c r="D175" s="60">
        <v>0</v>
      </c>
      <c r="E175" s="60">
        <v>-3</v>
      </c>
      <c r="F175" s="60">
        <v>-7</v>
      </c>
      <c r="G175" s="60">
        <v>-10</v>
      </c>
      <c r="H175" s="60">
        <v>-14</v>
      </c>
      <c r="I175" s="60">
        <v>-17</v>
      </c>
      <c r="J175" s="60">
        <v>-20</v>
      </c>
      <c r="K175" s="60">
        <v>-24</v>
      </c>
      <c r="L175" s="60">
        <v>-24</v>
      </c>
      <c r="M175" s="60">
        <v>-13</v>
      </c>
      <c r="N175" s="60">
        <v>-6</v>
      </c>
      <c r="O175" s="60">
        <v>-2</v>
      </c>
      <c r="P175" s="60">
        <v>0</v>
      </c>
      <c r="S175" s="60" t="e">
        <f t="shared" ca="1" si="26"/>
        <v>#REF!</v>
      </c>
      <c r="T175" s="60">
        <f t="shared" si="27"/>
        <v>3</v>
      </c>
      <c r="U175" s="60">
        <f t="shared" si="28"/>
        <v>7</v>
      </c>
      <c r="V175" s="60">
        <f t="shared" si="29"/>
        <v>10</v>
      </c>
      <c r="W175" s="60">
        <f t="shared" si="30"/>
        <v>14</v>
      </c>
      <c r="X175" s="60">
        <f t="shared" si="31"/>
        <v>17</v>
      </c>
      <c r="Y175" s="60">
        <f t="shared" si="32"/>
        <v>20</v>
      </c>
      <c r="Z175" s="60">
        <f t="shared" si="33"/>
        <v>24</v>
      </c>
      <c r="AA175" s="60">
        <f t="shared" si="34"/>
        <v>24</v>
      </c>
      <c r="AB175" s="60">
        <f t="shared" si="35"/>
        <v>13</v>
      </c>
      <c r="AC175" s="60">
        <f t="shared" si="36"/>
        <v>6</v>
      </c>
      <c r="AD175" s="60">
        <f t="shared" si="37"/>
        <v>2</v>
      </c>
      <c r="AE175" s="60">
        <f t="shared" si="38"/>
        <v>0</v>
      </c>
      <c r="AG175" s="60" cm="1">
        <f t="array" aca="1" ref="AG175" ca="1">SQRT(SUMSQ(_xlfn._xlws.FILTER(S175:AE175,ISNUMBER(S175:AE175)))/COUNT(_xlfn._xlws.FILTER(S175:AE175,ISNUMBER(S175:AE175))))</f>
        <v>14.153915830374764</v>
      </c>
    </row>
    <row r="176" spans="3:33" x14ac:dyDescent="0.2">
      <c r="C176" s="60" t="s">
        <v>314</v>
      </c>
      <c r="D176" s="60">
        <v>0</v>
      </c>
      <c r="E176" s="60">
        <v>-3</v>
      </c>
      <c r="F176" s="60">
        <v>-7</v>
      </c>
      <c r="G176" s="60">
        <v>-10</v>
      </c>
      <c r="H176" s="60">
        <v>-14</v>
      </c>
      <c r="I176" s="60">
        <v>-17</v>
      </c>
      <c r="J176" s="60">
        <v>-20</v>
      </c>
      <c r="K176" s="60">
        <v>-24</v>
      </c>
      <c r="L176" s="60">
        <v>-27</v>
      </c>
      <c r="M176" s="60">
        <v>-20</v>
      </c>
      <c r="N176" s="60">
        <v>-14</v>
      </c>
      <c r="O176" s="60">
        <v>-7</v>
      </c>
      <c r="P176" s="60">
        <v>0</v>
      </c>
      <c r="S176" s="60" t="e">
        <f t="shared" ca="1" si="26"/>
        <v>#REF!</v>
      </c>
      <c r="T176" s="60">
        <f t="shared" si="27"/>
        <v>3</v>
      </c>
      <c r="U176" s="60">
        <f t="shared" si="28"/>
        <v>7</v>
      </c>
      <c r="V176" s="60">
        <f t="shared" si="29"/>
        <v>10</v>
      </c>
      <c r="W176" s="60">
        <f t="shared" si="30"/>
        <v>14</v>
      </c>
      <c r="X176" s="60">
        <f t="shared" si="31"/>
        <v>17</v>
      </c>
      <c r="Y176" s="60">
        <f t="shared" si="32"/>
        <v>20</v>
      </c>
      <c r="Z176" s="60">
        <f t="shared" si="33"/>
        <v>24</v>
      </c>
      <c r="AA176" s="60">
        <f t="shared" si="34"/>
        <v>27</v>
      </c>
      <c r="AB176" s="60">
        <f t="shared" si="35"/>
        <v>20</v>
      </c>
      <c r="AC176" s="60">
        <f t="shared" si="36"/>
        <v>14</v>
      </c>
      <c r="AD176" s="60">
        <f t="shared" si="37"/>
        <v>7</v>
      </c>
      <c r="AE176" s="60">
        <f t="shared" si="38"/>
        <v>0</v>
      </c>
      <c r="AG176" s="60" cm="1">
        <f t="array" aca="1" ref="AG176" ca="1">SQRT(SUMSQ(_xlfn._xlws.FILTER(S176:AE176,ISNUMBER(S176:AE176)))/COUNT(_xlfn._xlws.FILTER(S176:AE176,ISNUMBER(S176:AE176))))</f>
        <v>15.792930908057144</v>
      </c>
    </row>
    <row r="177" spans="3:33" x14ac:dyDescent="0.2">
      <c r="C177" s="60" t="s">
        <v>497</v>
      </c>
      <c r="D177" s="60">
        <v>0</v>
      </c>
      <c r="E177" s="60">
        <v>-3</v>
      </c>
      <c r="F177" s="60">
        <v>-7</v>
      </c>
      <c r="G177" s="60">
        <v>-10</v>
      </c>
      <c r="H177" s="60">
        <v>-14</v>
      </c>
      <c r="I177" s="60">
        <v>-17</v>
      </c>
      <c r="J177" s="60">
        <v>-17</v>
      </c>
      <c r="K177" s="60">
        <v>-16</v>
      </c>
      <c r="L177" s="60">
        <v>-14</v>
      </c>
      <c r="M177" s="60">
        <v>-6</v>
      </c>
      <c r="N177" s="60">
        <v>7</v>
      </c>
      <c r="O177" s="60">
        <v>3</v>
      </c>
      <c r="P177" s="60">
        <v>0</v>
      </c>
      <c r="S177" s="60" t="e">
        <f t="shared" ca="1" si="26"/>
        <v>#REF!</v>
      </c>
      <c r="T177" s="60">
        <f t="shared" si="27"/>
        <v>3</v>
      </c>
      <c r="U177" s="60">
        <f t="shared" si="28"/>
        <v>7</v>
      </c>
      <c r="V177" s="60">
        <f t="shared" si="29"/>
        <v>10</v>
      </c>
      <c r="W177" s="60">
        <f t="shared" si="30"/>
        <v>14</v>
      </c>
      <c r="X177" s="60">
        <f t="shared" si="31"/>
        <v>17</v>
      </c>
      <c r="Y177" s="60">
        <f t="shared" si="32"/>
        <v>17</v>
      </c>
      <c r="Z177" s="60">
        <f t="shared" si="33"/>
        <v>16</v>
      </c>
      <c r="AA177" s="60">
        <f t="shared" si="34"/>
        <v>14</v>
      </c>
      <c r="AB177" s="60">
        <f t="shared" si="35"/>
        <v>6</v>
      </c>
      <c r="AC177" s="60">
        <f t="shared" si="36"/>
        <v>-7</v>
      </c>
      <c r="AD177" s="60">
        <f t="shared" si="37"/>
        <v>-3</v>
      </c>
      <c r="AE177" s="60">
        <f t="shared" si="38"/>
        <v>0</v>
      </c>
      <c r="AG177" s="60" cm="1">
        <f t="array" aca="1" ref="AG177" ca="1">SQRT(SUMSQ(_xlfn._xlws.FILTER(S177:AE177,ISNUMBER(S177:AE177)))/COUNT(_xlfn._xlws.FILTER(S177:AE177,ISNUMBER(S177:AE177))))</f>
        <v>11.098047876390995</v>
      </c>
    </row>
    <row r="178" spans="3:33" x14ac:dyDescent="0.2">
      <c r="C178" s="60" t="s">
        <v>315</v>
      </c>
      <c r="D178" s="60">
        <v>0</v>
      </c>
      <c r="E178" s="60">
        <v>2</v>
      </c>
      <c r="F178" s="60">
        <v>-18</v>
      </c>
      <c r="G178" s="60">
        <v>-16</v>
      </c>
      <c r="H178" s="60">
        <v>-14</v>
      </c>
      <c r="I178" s="60">
        <v>-12</v>
      </c>
      <c r="J178" s="60">
        <v>-10</v>
      </c>
      <c r="K178" s="60">
        <v>-8</v>
      </c>
      <c r="L178" s="60">
        <v>-8</v>
      </c>
      <c r="M178" s="60">
        <v>-6</v>
      </c>
      <c r="N178" s="60">
        <v>-4</v>
      </c>
      <c r="O178" s="60">
        <v>-2</v>
      </c>
      <c r="P178" s="60">
        <v>0</v>
      </c>
      <c r="S178" s="60" t="e">
        <f t="shared" ca="1" si="26"/>
        <v>#REF!</v>
      </c>
      <c r="T178" s="60">
        <f t="shared" si="27"/>
        <v>-2</v>
      </c>
      <c r="U178" s="60">
        <f t="shared" si="28"/>
        <v>18</v>
      </c>
      <c r="V178" s="60">
        <f t="shared" si="29"/>
        <v>16</v>
      </c>
      <c r="W178" s="60">
        <f t="shared" si="30"/>
        <v>14</v>
      </c>
      <c r="X178" s="60">
        <f t="shared" si="31"/>
        <v>12</v>
      </c>
      <c r="Y178" s="60">
        <f t="shared" si="32"/>
        <v>10</v>
      </c>
      <c r="Z178" s="60">
        <f t="shared" si="33"/>
        <v>8</v>
      </c>
      <c r="AA178" s="60">
        <f t="shared" si="34"/>
        <v>8</v>
      </c>
      <c r="AB178" s="60">
        <f t="shared" si="35"/>
        <v>6</v>
      </c>
      <c r="AC178" s="60">
        <f t="shared" si="36"/>
        <v>4</v>
      </c>
      <c r="AD178" s="60">
        <f t="shared" si="37"/>
        <v>2</v>
      </c>
      <c r="AE178" s="60">
        <f t="shared" si="38"/>
        <v>0</v>
      </c>
      <c r="AG178" s="60" cm="1">
        <f t="array" aca="1" ref="AG178" ca="1">SQRT(SUMSQ(_xlfn._xlws.FILTER(S178:AE178,ISNUMBER(S178:AE178)))/COUNT(_xlfn._xlws.FILTER(S178:AE178,ISNUMBER(S178:AE178))))</f>
        <v>10.033277962194941</v>
      </c>
    </row>
    <row r="179" spans="3:33" x14ac:dyDescent="0.2">
      <c r="C179" s="60" t="s">
        <v>316</v>
      </c>
      <c r="D179" s="60">
        <v>0</v>
      </c>
      <c r="E179" s="60">
        <v>1.9550000000000001</v>
      </c>
      <c r="F179" s="60">
        <v>-17.596</v>
      </c>
      <c r="G179" s="60">
        <v>-15.641</v>
      </c>
      <c r="H179" s="60">
        <v>-13.686</v>
      </c>
      <c r="I179" s="60">
        <v>-11.731</v>
      </c>
      <c r="J179" s="60">
        <v>-9.7759999999999998</v>
      </c>
      <c r="K179" s="60">
        <v>-7.8209999999999997</v>
      </c>
      <c r="L179" s="60">
        <v>-7.82</v>
      </c>
      <c r="M179" s="60">
        <v>-5.8650000000000002</v>
      </c>
      <c r="N179" s="60">
        <v>-3.91</v>
      </c>
      <c r="O179" s="60">
        <v>-1.9550000000000001</v>
      </c>
      <c r="P179" s="60">
        <v>0</v>
      </c>
      <c r="S179" s="60" t="e">
        <f t="shared" ca="1" si="26"/>
        <v>#REF!</v>
      </c>
      <c r="T179" s="60">
        <f t="shared" si="27"/>
        <v>-1.9550000000000001</v>
      </c>
      <c r="U179" s="60">
        <f t="shared" si="28"/>
        <v>17.596</v>
      </c>
      <c r="V179" s="60">
        <f t="shared" si="29"/>
        <v>15.641</v>
      </c>
      <c r="W179" s="60">
        <f t="shared" si="30"/>
        <v>13.686</v>
      </c>
      <c r="X179" s="60">
        <f t="shared" si="31"/>
        <v>11.731</v>
      </c>
      <c r="Y179" s="60">
        <f t="shared" si="32"/>
        <v>9.7759999999999998</v>
      </c>
      <c r="Z179" s="60">
        <f t="shared" si="33"/>
        <v>7.8209999999999997</v>
      </c>
      <c r="AA179" s="60">
        <f t="shared" si="34"/>
        <v>7.82</v>
      </c>
      <c r="AB179" s="60">
        <f t="shared" si="35"/>
        <v>5.8650000000000002</v>
      </c>
      <c r="AC179" s="60">
        <f t="shared" si="36"/>
        <v>3.91</v>
      </c>
      <c r="AD179" s="60">
        <f t="shared" si="37"/>
        <v>1.9550000000000001</v>
      </c>
      <c r="AE179" s="60">
        <f t="shared" si="38"/>
        <v>0</v>
      </c>
      <c r="AG179" s="60" cm="1">
        <f t="array" aca="1" ref="AG179" ca="1">SQRT(SUMSQ(_xlfn._xlws.FILTER(S179:AE179,ISNUMBER(S179:AE179)))/COUNT(_xlfn._xlws.FILTER(S179:AE179,ISNUMBER(S179:AE179))))</f>
        <v>9.808177056245805</v>
      </c>
    </row>
    <row r="180" spans="3:33" x14ac:dyDescent="0.2">
      <c r="C180" s="60" t="s">
        <v>317</v>
      </c>
      <c r="D180" s="60">
        <v>0</v>
      </c>
      <c r="E180" s="60">
        <v>-4</v>
      </c>
      <c r="F180" s="60">
        <v>-8</v>
      </c>
      <c r="G180" s="60">
        <v>-12</v>
      </c>
      <c r="H180" s="60">
        <v>-16</v>
      </c>
      <c r="I180" s="60">
        <v>-20</v>
      </c>
      <c r="J180" s="60">
        <v>-23</v>
      </c>
      <c r="K180" s="60">
        <v>-27</v>
      </c>
      <c r="L180" s="60">
        <v>-31</v>
      </c>
      <c r="M180" s="60">
        <v>12</v>
      </c>
      <c r="N180" s="60">
        <v>8</v>
      </c>
      <c r="O180" s="60">
        <v>4</v>
      </c>
      <c r="P180" s="60">
        <v>0</v>
      </c>
      <c r="S180" s="60" t="e">
        <f t="shared" ca="1" si="26"/>
        <v>#REF!</v>
      </c>
      <c r="T180" s="60">
        <f t="shared" si="27"/>
        <v>4</v>
      </c>
      <c r="U180" s="60">
        <f t="shared" si="28"/>
        <v>8</v>
      </c>
      <c r="V180" s="60">
        <f t="shared" si="29"/>
        <v>12</v>
      </c>
      <c r="W180" s="60">
        <f t="shared" si="30"/>
        <v>16</v>
      </c>
      <c r="X180" s="60">
        <f t="shared" si="31"/>
        <v>20</v>
      </c>
      <c r="Y180" s="60">
        <f t="shared" si="32"/>
        <v>23</v>
      </c>
      <c r="Z180" s="60">
        <f t="shared" si="33"/>
        <v>27</v>
      </c>
      <c r="AA180" s="60">
        <f t="shared" si="34"/>
        <v>31</v>
      </c>
      <c r="AB180" s="60">
        <f t="shared" si="35"/>
        <v>-12</v>
      </c>
      <c r="AC180" s="60">
        <f t="shared" si="36"/>
        <v>-8</v>
      </c>
      <c r="AD180" s="60">
        <f t="shared" si="37"/>
        <v>-4</v>
      </c>
      <c r="AE180" s="60">
        <f t="shared" si="38"/>
        <v>0</v>
      </c>
      <c r="AG180" s="60" cm="1">
        <f t="array" aca="1" ref="AG180" ca="1">SQRT(SUMSQ(_xlfn._xlws.FILTER(S180:AE180,ISNUMBER(S180:AE180)))/COUNT(_xlfn._xlws.FILTER(S180:AE180,ISNUMBER(S180:AE180))))</f>
        <v>16.640813281407453</v>
      </c>
    </row>
    <row r="181" spans="3:33" x14ac:dyDescent="0.2">
      <c r="C181" s="60" t="s">
        <v>318</v>
      </c>
      <c r="D181" s="60">
        <v>0</v>
      </c>
      <c r="E181" s="60">
        <v>-3.91</v>
      </c>
      <c r="F181" s="60">
        <v>-7.8209999999999997</v>
      </c>
      <c r="G181" s="60">
        <v>-11.731</v>
      </c>
      <c r="H181" s="60">
        <v>-15.641</v>
      </c>
      <c r="I181" s="60">
        <v>-19.552</v>
      </c>
      <c r="J181" s="60">
        <v>-23.462</v>
      </c>
      <c r="K181" s="60">
        <v>-27.372</v>
      </c>
      <c r="L181" s="60">
        <v>-31.283000000000001</v>
      </c>
      <c r="M181" s="60">
        <v>11.731</v>
      </c>
      <c r="N181" s="60">
        <v>7.8209999999999997</v>
      </c>
      <c r="O181" s="60">
        <v>3.91</v>
      </c>
      <c r="P181" s="60">
        <v>0</v>
      </c>
      <c r="S181" s="60" t="e">
        <f t="shared" ca="1" si="26"/>
        <v>#REF!</v>
      </c>
      <c r="T181" s="60">
        <f t="shared" si="27"/>
        <v>3.91</v>
      </c>
      <c r="U181" s="60">
        <f t="shared" si="28"/>
        <v>7.8209999999999997</v>
      </c>
      <c r="V181" s="60">
        <f t="shared" si="29"/>
        <v>11.731</v>
      </c>
      <c r="W181" s="60">
        <f t="shared" si="30"/>
        <v>15.641</v>
      </c>
      <c r="X181" s="60">
        <f t="shared" si="31"/>
        <v>19.552</v>
      </c>
      <c r="Y181" s="60">
        <f t="shared" si="32"/>
        <v>23.462</v>
      </c>
      <c r="Z181" s="60">
        <f t="shared" si="33"/>
        <v>27.372</v>
      </c>
      <c r="AA181" s="60">
        <f t="shared" si="34"/>
        <v>31.283000000000001</v>
      </c>
      <c r="AB181" s="60">
        <f t="shared" si="35"/>
        <v>-11.731</v>
      </c>
      <c r="AC181" s="60">
        <f t="shared" si="36"/>
        <v>-7.8209999999999997</v>
      </c>
      <c r="AD181" s="60">
        <f t="shared" si="37"/>
        <v>-3.91</v>
      </c>
      <c r="AE181" s="60">
        <f t="shared" si="38"/>
        <v>0</v>
      </c>
      <c r="AG181" s="60" cm="1">
        <f t="array" aca="1" ref="AG181" ca="1">SQRT(SUMSQ(_xlfn._xlws.FILTER(S181:AE181,ISNUMBER(S181:AE181)))/COUNT(_xlfn._xlws.FILTER(S181:AE181,ISNUMBER(S181:AE181))))</f>
        <v>16.666794597842344</v>
      </c>
    </row>
    <row r="182" spans="3:33" x14ac:dyDescent="0.2">
      <c r="C182" s="60" t="s">
        <v>319</v>
      </c>
      <c r="D182" s="60">
        <v>0</v>
      </c>
      <c r="E182" s="60">
        <v>-2</v>
      </c>
      <c r="F182" s="60">
        <v>-4</v>
      </c>
      <c r="G182" s="60">
        <v>-6</v>
      </c>
      <c r="H182" s="60">
        <v>-8</v>
      </c>
      <c r="I182" s="60">
        <v>-10</v>
      </c>
      <c r="J182" s="60">
        <v>-12</v>
      </c>
      <c r="K182" s="60">
        <v>-14</v>
      </c>
      <c r="L182" s="60">
        <v>-16</v>
      </c>
      <c r="M182" s="60">
        <v>6</v>
      </c>
      <c r="N182" s="60">
        <v>4</v>
      </c>
      <c r="O182" s="60">
        <v>2</v>
      </c>
      <c r="P182" s="60">
        <v>0</v>
      </c>
      <c r="S182" s="60" t="e">
        <f t="shared" ca="1" si="26"/>
        <v>#REF!</v>
      </c>
      <c r="T182" s="60">
        <f t="shared" si="27"/>
        <v>2</v>
      </c>
      <c r="U182" s="60">
        <f t="shared" si="28"/>
        <v>4</v>
      </c>
      <c r="V182" s="60">
        <f t="shared" si="29"/>
        <v>6</v>
      </c>
      <c r="W182" s="60">
        <f t="shared" si="30"/>
        <v>8</v>
      </c>
      <c r="X182" s="60">
        <f t="shared" si="31"/>
        <v>10</v>
      </c>
      <c r="Y182" s="60">
        <f t="shared" si="32"/>
        <v>12</v>
      </c>
      <c r="Z182" s="60">
        <f t="shared" si="33"/>
        <v>14</v>
      </c>
      <c r="AA182" s="60">
        <f t="shared" si="34"/>
        <v>16</v>
      </c>
      <c r="AB182" s="60">
        <f t="shared" si="35"/>
        <v>-6</v>
      </c>
      <c r="AC182" s="60">
        <f t="shared" si="36"/>
        <v>-4</v>
      </c>
      <c r="AD182" s="60">
        <f t="shared" si="37"/>
        <v>-2</v>
      </c>
      <c r="AE182" s="60">
        <f t="shared" si="38"/>
        <v>0</v>
      </c>
      <c r="AG182" s="60" cm="1">
        <f t="array" aca="1" ref="AG182" ca="1">SQRT(SUMSQ(_xlfn._xlws.FILTER(S182:AE182,ISNUMBER(S182:AE182)))/COUNT(_xlfn._xlws.FILTER(S182:AE182,ISNUMBER(S182:AE182))))</f>
        <v>8.5244745683629475</v>
      </c>
    </row>
    <row r="183" spans="3:33" x14ac:dyDescent="0.2">
      <c r="C183" s="60" t="s">
        <v>320</v>
      </c>
      <c r="D183" s="60">
        <v>0</v>
      </c>
      <c r="E183" s="60">
        <v>-1.9550000000000001</v>
      </c>
      <c r="F183" s="60">
        <v>-3.91</v>
      </c>
      <c r="G183" s="60">
        <v>-5.8659999999999997</v>
      </c>
      <c r="H183" s="60">
        <v>-7.8209999999999997</v>
      </c>
      <c r="I183" s="60">
        <v>-9.7759999999999998</v>
      </c>
      <c r="J183" s="60">
        <v>-11.731</v>
      </c>
      <c r="K183" s="60">
        <v>-13.686999999999999</v>
      </c>
      <c r="L183" s="60">
        <v>-15.641999999999999</v>
      </c>
      <c r="M183" s="60">
        <v>5.8659999999999997</v>
      </c>
      <c r="N183" s="60">
        <v>3.91</v>
      </c>
      <c r="O183" s="60">
        <v>1.9550000000000001</v>
      </c>
      <c r="P183" s="60">
        <v>0</v>
      </c>
      <c r="S183" s="60" t="e">
        <f t="shared" ca="1" si="26"/>
        <v>#REF!</v>
      </c>
      <c r="T183" s="60">
        <f t="shared" si="27"/>
        <v>1.9550000000000001</v>
      </c>
      <c r="U183" s="60">
        <f t="shared" si="28"/>
        <v>3.91</v>
      </c>
      <c r="V183" s="60">
        <f t="shared" si="29"/>
        <v>5.8659999999999997</v>
      </c>
      <c r="W183" s="60">
        <f t="shared" si="30"/>
        <v>7.8209999999999997</v>
      </c>
      <c r="X183" s="60">
        <f t="shared" si="31"/>
        <v>9.7759999999999998</v>
      </c>
      <c r="Y183" s="60">
        <f t="shared" si="32"/>
        <v>11.731</v>
      </c>
      <c r="Z183" s="60">
        <f t="shared" si="33"/>
        <v>13.686999999999999</v>
      </c>
      <c r="AA183" s="60">
        <f t="shared" si="34"/>
        <v>15.641999999999999</v>
      </c>
      <c r="AB183" s="60">
        <f t="shared" si="35"/>
        <v>-5.8659999999999997</v>
      </c>
      <c r="AC183" s="60">
        <f t="shared" si="36"/>
        <v>-3.91</v>
      </c>
      <c r="AD183" s="60">
        <f t="shared" si="37"/>
        <v>-1.9550000000000001</v>
      </c>
      <c r="AE183" s="60">
        <f t="shared" si="38"/>
        <v>0</v>
      </c>
      <c r="AG183" s="60" cm="1">
        <f t="array" aca="1" ref="AG183" ca="1">SQRT(SUMSQ(_xlfn._xlws.FILTER(S183:AE183,ISNUMBER(S183:AE183)))/COUNT(_xlfn._xlws.FILTER(S183:AE183,ISNUMBER(S183:AE183))))</f>
        <v>8.3336710248245343</v>
      </c>
    </row>
    <row r="184" spans="3:33" x14ac:dyDescent="0.2">
      <c r="C184" s="60" t="s">
        <v>321</v>
      </c>
      <c r="D184" s="60">
        <v>0</v>
      </c>
      <c r="E184" s="60">
        <v>2</v>
      </c>
      <c r="F184" s="60">
        <v>4</v>
      </c>
      <c r="G184" s="60">
        <v>-16</v>
      </c>
      <c r="H184" s="60">
        <v>-14</v>
      </c>
      <c r="I184" s="60">
        <v>-12</v>
      </c>
      <c r="J184" s="60">
        <v>-3</v>
      </c>
      <c r="K184" s="60">
        <v>-1</v>
      </c>
      <c r="L184" s="60">
        <v>-9</v>
      </c>
      <c r="M184" s="60">
        <v>-7</v>
      </c>
      <c r="N184" s="60">
        <v>-17</v>
      </c>
      <c r="O184" s="60">
        <v>-2</v>
      </c>
      <c r="P184" s="60">
        <v>0</v>
      </c>
      <c r="S184" s="60" t="e">
        <f t="shared" ca="1" si="26"/>
        <v>#REF!</v>
      </c>
      <c r="T184" s="60">
        <f t="shared" si="27"/>
        <v>-2</v>
      </c>
      <c r="U184" s="60">
        <f t="shared" si="28"/>
        <v>-4</v>
      </c>
      <c r="V184" s="60">
        <f t="shared" si="29"/>
        <v>16</v>
      </c>
      <c r="W184" s="60">
        <f t="shared" si="30"/>
        <v>14</v>
      </c>
      <c r="X184" s="60">
        <f t="shared" si="31"/>
        <v>12</v>
      </c>
      <c r="Y184" s="60">
        <f t="shared" si="32"/>
        <v>3</v>
      </c>
      <c r="Z184" s="60">
        <f t="shared" si="33"/>
        <v>1</v>
      </c>
      <c r="AA184" s="60">
        <f t="shared" si="34"/>
        <v>9</v>
      </c>
      <c r="AB184" s="60">
        <f t="shared" si="35"/>
        <v>7</v>
      </c>
      <c r="AC184" s="60">
        <f t="shared" si="36"/>
        <v>17</v>
      </c>
      <c r="AD184" s="60">
        <f t="shared" si="37"/>
        <v>2</v>
      </c>
      <c r="AE184" s="60">
        <f t="shared" si="38"/>
        <v>0</v>
      </c>
      <c r="AG184" s="60" cm="1">
        <f t="array" aca="1" ref="AG184" ca="1">SQRT(SUMSQ(_xlfn._xlws.FILTER(S184:AE184,ISNUMBER(S184:AE184)))/COUNT(_xlfn._xlws.FILTER(S184:AE184,ISNUMBER(S184:AE184))))</f>
        <v>9.3496880518371661</v>
      </c>
    </row>
    <row r="185" spans="3:33" x14ac:dyDescent="0.2">
      <c r="C185" s="60" t="s">
        <v>322</v>
      </c>
      <c r="D185" s="60">
        <v>0</v>
      </c>
      <c r="E185" s="60">
        <v>1.9550000000000001</v>
      </c>
      <c r="F185" s="60">
        <v>3.91</v>
      </c>
      <c r="G185" s="60">
        <v>-15.641</v>
      </c>
      <c r="H185" s="60">
        <v>-13.686</v>
      </c>
      <c r="I185" s="60">
        <v>-11.728999999999999</v>
      </c>
      <c r="J185" s="60">
        <v>-3</v>
      </c>
      <c r="K185" s="60">
        <v>-1.0449999999999999</v>
      </c>
      <c r="L185" s="60">
        <v>-9.2439999999999998</v>
      </c>
      <c r="M185" s="60">
        <v>-7.2889999999999997</v>
      </c>
      <c r="N185" s="60">
        <v>-16.687000000000001</v>
      </c>
      <c r="O185" s="60">
        <v>-1.9550000000000001</v>
      </c>
      <c r="P185" s="60">
        <v>0</v>
      </c>
      <c r="S185" s="60" t="e">
        <f t="shared" ca="1" si="26"/>
        <v>#REF!</v>
      </c>
      <c r="T185" s="60">
        <f t="shared" si="27"/>
        <v>-1.9550000000000001</v>
      </c>
      <c r="U185" s="60">
        <f t="shared" si="28"/>
        <v>-3.91</v>
      </c>
      <c r="V185" s="60">
        <f t="shared" si="29"/>
        <v>15.641</v>
      </c>
      <c r="W185" s="60">
        <f t="shared" si="30"/>
        <v>13.686</v>
      </c>
      <c r="X185" s="60">
        <f t="shared" si="31"/>
        <v>11.728999999999999</v>
      </c>
      <c r="Y185" s="60">
        <f t="shared" si="32"/>
        <v>3</v>
      </c>
      <c r="Z185" s="60">
        <f t="shared" si="33"/>
        <v>1.0449999999999999</v>
      </c>
      <c r="AA185" s="60">
        <f t="shared" si="34"/>
        <v>9.2439999999999998</v>
      </c>
      <c r="AB185" s="60">
        <f t="shared" si="35"/>
        <v>7.2889999999999997</v>
      </c>
      <c r="AC185" s="60">
        <f t="shared" si="36"/>
        <v>16.687000000000001</v>
      </c>
      <c r="AD185" s="60">
        <f t="shared" si="37"/>
        <v>1.9550000000000001</v>
      </c>
      <c r="AE185" s="60">
        <f t="shared" si="38"/>
        <v>0</v>
      </c>
      <c r="AG185" s="60" cm="1">
        <f t="array" aca="1" ref="AG185" ca="1">SQRT(SUMSQ(_xlfn._xlws.FILTER(S185:AE185,ISNUMBER(S185:AE185)))/COUNT(_xlfn._xlws.FILTER(S185:AE185,ISNUMBER(S185:AE185))))</f>
        <v>9.2176376176328407</v>
      </c>
    </row>
    <row r="186" spans="3:33" x14ac:dyDescent="0.2">
      <c r="C186" s="60" t="s">
        <v>323</v>
      </c>
      <c r="D186" s="60">
        <v>0</v>
      </c>
      <c r="E186" s="60">
        <v>-3</v>
      </c>
      <c r="F186" s="60">
        <v>-5</v>
      </c>
      <c r="G186" s="60">
        <v>-8</v>
      </c>
      <c r="H186" s="60">
        <v>-11</v>
      </c>
      <c r="I186" s="60">
        <v>-13</v>
      </c>
      <c r="J186" s="60">
        <v>-16</v>
      </c>
      <c r="K186" s="60">
        <v>-18</v>
      </c>
      <c r="L186" s="60">
        <v>-21</v>
      </c>
      <c r="M186" s="60">
        <v>8</v>
      </c>
      <c r="N186" s="60">
        <v>5</v>
      </c>
      <c r="O186" s="60">
        <v>3</v>
      </c>
      <c r="P186" s="60">
        <v>0</v>
      </c>
      <c r="S186" s="60" t="e">
        <f t="shared" ca="1" si="26"/>
        <v>#REF!</v>
      </c>
      <c r="T186" s="60">
        <f t="shared" si="27"/>
        <v>3</v>
      </c>
      <c r="U186" s="60">
        <f t="shared" si="28"/>
        <v>5</v>
      </c>
      <c r="V186" s="60">
        <f t="shared" si="29"/>
        <v>8</v>
      </c>
      <c r="W186" s="60">
        <f t="shared" si="30"/>
        <v>11</v>
      </c>
      <c r="X186" s="60">
        <f t="shared" si="31"/>
        <v>13</v>
      </c>
      <c r="Y186" s="60">
        <f t="shared" si="32"/>
        <v>16</v>
      </c>
      <c r="Z186" s="60">
        <f t="shared" si="33"/>
        <v>18</v>
      </c>
      <c r="AA186" s="60">
        <f t="shared" si="34"/>
        <v>21</v>
      </c>
      <c r="AB186" s="60">
        <f t="shared" si="35"/>
        <v>-8</v>
      </c>
      <c r="AC186" s="60">
        <f t="shared" si="36"/>
        <v>-5</v>
      </c>
      <c r="AD186" s="60">
        <f t="shared" si="37"/>
        <v>-3</v>
      </c>
      <c r="AE186" s="60">
        <f t="shared" si="38"/>
        <v>0</v>
      </c>
      <c r="AG186" s="60" cm="1">
        <f t="array" aca="1" ref="AG186" ca="1">SQRT(SUMSQ(_xlfn._xlws.FILTER(S186:AE186,ISNUMBER(S186:AE186)))/COUNT(_xlfn._xlws.FILTER(S186:AE186,ISNUMBER(S186:AE186))))</f>
        <v>11.206396982676159</v>
      </c>
    </row>
    <row r="187" spans="3:33" x14ac:dyDescent="0.2">
      <c r="C187" s="60" t="s">
        <v>324</v>
      </c>
      <c r="D187" s="60">
        <v>0</v>
      </c>
      <c r="E187" s="60">
        <v>-2.653</v>
      </c>
      <c r="F187" s="60">
        <v>-5.3070000000000004</v>
      </c>
      <c r="G187" s="60">
        <v>-7.96</v>
      </c>
      <c r="H187" s="60">
        <v>-10.614000000000001</v>
      </c>
      <c r="I187" s="60">
        <v>-13.266999999999999</v>
      </c>
      <c r="J187" s="60">
        <v>-15.920999999999999</v>
      </c>
      <c r="K187" s="60">
        <v>-18.574000000000002</v>
      </c>
      <c r="L187" s="60">
        <v>-21.228000000000002</v>
      </c>
      <c r="M187" s="60">
        <v>7.96</v>
      </c>
      <c r="N187" s="60">
        <v>5.3070000000000004</v>
      </c>
      <c r="O187" s="60">
        <v>2.653</v>
      </c>
      <c r="P187" s="60">
        <v>0</v>
      </c>
      <c r="S187" s="60" t="e">
        <f t="shared" ca="1" si="26"/>
        <v>#REF!</v>
      </c>
      <c r="T187" s="60">
        <f t="shared" si="27"/>
        <v>2.653</v>
      </c>
      <c r="U187" s="60">
        <f t="shared" si="28"/>
        <v>5.3070000000000004</v>
      </c>
      <c r="V187" s="60">
        <f t="shared" si="29"/>
        <v>7.96</v>
      </c>
      <c r="W187" s="60">
        <f t="shared" si="30"/>
        <v>10.614000000000001</v>
      </c>
      <c r="X187" s="60">
        <f t="shared" si="31"/>
        <v>13.266999999999999</v>
      </c>
      <c r="Y187" s="60">
        <f t="shared" si="32"/>
        <v>15.920999999999999</v>
      </c>
      <c r="Z187" s="60">
        <f t="shared" si="33"/>
        <v>18.574000000000002</v>
      </c>
      <c r="AA187" s="60">
        <f t="shared" si="34"/>
        <v>21.228000000000002</v>
      </c>
      <c r="AB187" s="60">
        <f t="shared" si="35"/>
        <v>-7.96</v>
      </c>
      <c r="AC187" s="60">
        <f t="shared" si="36"/>
        <v>-5.3070000000000004</v>
      </c>
      <c r="AD187" s="60">
        <f t="shared" si="37"/>
        <v>-2.653</v>
      </c>
      <c r="AE187" s="60">
        <f t="shared" si="38"/>
        <v>0</v>
      </c>
      <c r="AG187" s="60" cm="1">
        <f t="array" aca="1" ref="AG187" ca="1">SQRT(SUMSQ(_xlfn._xlws.FILTER(S187:AE187,ISNUMBER(S187:AE187)))/COUNT(_xlfn._xlws.FILTER(S187:AE187,ISNUMBER(S187:AE187))))</f>
        <v>11.309651121940057</v>
      </c>
    </row>
    <row r="188" spans="3:33" x14ac:dyDescent="0.2">
      <c r="C188" s="60" t="s">
        <v>325</v>
      </c>
      <c r="D188" s="60">
        <v>0</v>
      </c>
      <c r="E188" s="60">
        <v>-2</v>
      </c>
      <c r="F188" s="60">
        <v>-4</v>
      </c>
      <c r="G188" s="60">
        <v>-5</v>
      </c>
      <c r="H188" s="60">
        <v>-7</v>
      </c>
      <c r="I188" s="60">
        <v>-9</v>
      </c>
      <c r="J188" s="60">
        <v>-9</v>
      </c>
      <c r="K188" s="60">
        <v>-9</v>
      </c>
      <c r="L188" s="60">
        <v>-9</v>
      </c>
      <c r="M188" s="60">
        <v>2</v>
      </c>
      <c r="N188" s="60">
        <v>2</v>
      </c>
      <c r="O188" s="60">
        <v>2</v>
      </c>
      <c r="P188" s="60">
        <v>0</v>
      </c>
      <c r="S188" s="60" t="e">
        <f t="shared" ca="1" si="26"/>
        <v>#REF!</v>
      </c>
      <c r="T188" s="60">
        <f t="shared" si="27"/>
        <v>2</v>
      </c>
      <c r="U188" s="60">
        <f t="shared" si="28"/>
        <v>4</v>
      </c>
      <c r="V188" s="60">
        <f t="shared" si="29"/>
        <v>5</v>
      </c>
      <c r="W188" s="60">
        <f t="shared" si="30"/>
        <v>7</v>
      </c>
      <c r="X188" s="60">
        <f t="shared" si="31"/>
        <v>9</v>
      </c>
      <c r="Y188" s="60">
        <f t="shared" si="32"/>
        <v>9</v>
      </c>
      <c r="Z188" s="60">
        <f t="shared" si="33"/>
        <v>9</v>
      </c>
      <c r="AA188" s="60">
        <f t="shared" si="34"/>
        <v>9</v>
      </c>
      <c r="AB188" s="60">
        <f t="shared" si="35"/>
        <v>-2</v>
      </c>
      <c r="AC188" s="60">
        <f t="shared" si="36"/>
        <v>-2</v>
      </c>
      <c r="AD188" s="60">
        <f t="shared" si="37"/>
        <v>-2</v>
      </c>
      <c r="AE188" s="60">
        <f t="shared" si="38"/>
        <v>0</v>
      </c>
      <c r="AG188" s="60" cm="1">
        <f t="array" aca="1" ref="AG188" ca="1">SQRT(SUMSQ(_xlfn._xlws.FILTER(S188:AE188,ISNUMBER(S188:AE188)))/COUNT(_xlfn._xlws.FILTER(S188:AE188,ISNUMBER(S188:AE188))))</f>
        <v>5.9860949986893237</v>
      </c>
    </row>
    <row r="189" spans="3:33" x14ac:dyDescent="0.2">
      <c r="C189" s="60" t="s">
        <v>326</v>
      </c>
      <c r="D189" s="60">
        <v>0</v>
      </c>
      <c r="E189" s="60">
        <v>22</v>
      </c>
      <c r="F189" s="60">
        <v>24</v>
      </c>
      <c r="G189" s="60">
        <v>26</v>
      </c>
      <c r="H189" s="60">
        <v>28</v>
      </c>
      <c r="I189" s="60">
        <v>8</v>
      </c>
      <c r="J189" s="60">
        <v>10</v>
      </c>
      <c r="K189" s="60">
        <v>12</v>
      </c>
      <c r="L189" s="60">
        <v>14</v>
      </c>
      <c r="M189" s="60">
        <v>16</v>
      </c>
      <c r="N189" s="60">
        <v>-4</v>
      </c>
      <c r="O189" s="60">
        <v>-2</v>
      </c>
      <c r="P189" s="60">
        <v>0</v>
      </c>
      <c r="S189" s="60" t="e">
        <f t="shared" ca="1" si="26"/>
        <v>#REF!</v>
      </c>
      <c r="T189" s="60">
        <f t="shared" si="27"/>
        <v>-22</v>
      </c>
      <c r="U189" s="60">
        <f t="shared" si="28"/>
        <v>-24</v>
      </c>
      <c r="V189" s="60">
        <f t="shared" si="29"/>
        <v>-26</v>
      </c>
      <c r="W189" s="60">
        <f t="shared" si="30"/>
        <v>-28</v>
      </c>
      <c r="X189" s="60">
        <f t="shared" si="31"/>
        <v>-8</v>
      </c>
      <c r="Y189" s="60">
        <f t="shared" si="32"/>
        <v>-10</v>
      </c>
      <c r="Z189" s="60">
        <f t="shared" si="33"/>
        <v>-12</v>
      </c>
      <c r="AA189" s="60">
        <f t="shared" si="34"/>
        <v>-14</v>
      </c>
      <c r="AB189" s="60">
        <f t="shared" si="35"/>
        <v>-16</v>
      </c>
      <c r="AC189" s="60">
        <f t="shared" si="36"/>
        <v>4</v>
      </c>
      <c r="AD189" s="60">
        <f t="shared" si="37"/>
        <v>2</v>
      </c>
      <c r="AE189" s="60">
        <f t="shared" si="38"/>
        <v>0</v>
      </c>
      <c r="AG189" s="60" cm="1">
        <f t="array" aca="1" ref="AG189" ca="1">SQRT(SUMSQ(_xlfn._xlws.FILTER(S189:AE189,ISNUMBER(S189:AE189)))/COUNT(_xlfn._xlws.FILTER(S189:AE189,ISNUMBER(S189:AE189))))</f>
        <v>16.583123951777001</v>
      </c>
    </row>
    <row r="190" spans="3:33" x14ac:dyDescent="0.2">
      <c r="C190" s="60" t="s">
        <v>327</v>
      </c>
      <c r="D190" s="60">
        <v>0</v>
      </c>
      <c r="E190" s="60">
        <v>-1</v>
      </c>
      <c r="F190" s="60">
        <v>-2</v>
      </c>
      <c r="G190" s="60">
        <v>-3</v>
      </c>
      <c r="H190" s="60">
        <v>-4</v>
      </c>
      <c r="I190" s="60">
        <v>-6</v>
      </c>
      <c r="J190" s="60">
        <v>-7</v>
      </c>
      <c r="K190" s="60">
        <v>-8</v>
      </c>
      <c r="L190" s="60">
        <v>-9</v>
      </c>
      <c r="M190" s="60">
        <v>3</v>
      </c>
      <c r="N190" s="60">
        <v>2</v>
      </c>
      <c r="O190" s="60">
        <v>1</v>
      </c>
      <c r="P190" s="60">
        <v>0</v>
      </c>
      <c r="S190" s="60" t="e">
        <f t="shared" ca="1" si="26"/>
        <v>#REF!</v>
      </c>
      <c r="T190" s="60">
        <f t="shared" si="27"/>
        <v>1</v>
      </c>
      <c r="U190" s="60">
        <f t="shared" si="28"/>
        <v>2</v>
      </c>
      <c r="V190" s="60">
        <f t="shared" si="29"/>
        <v>3</v>
      </c>
      <c r="W190" s="60">
        <f t="shared" si="30"/>
        <v>4</v>
      </c>
      <c r="X190" s="60">
        <f t="shared" si="31"/>
        <v>6</v>
      </c>
      <c r="Y190" s="60">
        <f t="shared" si="32"/>
        <v>7</v>
      </c>
      <c r="Z190" s="60">
        <f t="shared" si="33"/>
        <v>8</v>
      </c>
      <c r="AA190" s="60">
        <f t="shared" si="34"/>
        <v>9</v>
      </c>
      <c r="AB190" s="60">
        <f t="shared" si="35"/>
        <v>-3</v>
      </c>
      <c r="AC190" s="60">
        <f t="shared" si="36"/>
        <v>-2</v>
      </c>
      <c r="AD190" s="60">
        <f t="shared" si="37"/>
        <v>-1</v>
      </c>
      <c r="AE190" s="60">
        <f t="shared" si="38"/>
        <v>0</v>
      </c>
      <c r="AG190" s="60" cm="1">
        <f t="array" aca="1" ref="AG190" ca="1">SQRT(SUMSQ(_xlfn._xlws.FILTER(S190:AE190,ISNUMBER(S190:AE190)))/COUNT(_xlfn._xlws.FILTER(S190:AE190,ISNUMBER(S190:AE190))))</f>
        <v>4.7784237289438165</v>
      </c>
    </row>
    <row r="191" spans="3:33" x14ac:dyDescent="0.2">
      <c r="C191" s="60" t="s">
        <v>328</v>
      </c>
      <c r="D191" s="60">
        <v>0</v>
      </c>
      <c r="E191" s="60">
        <v>-1.117</v>
      </c>
      <c r="F191" s="60">
        <v>-2.2349999999999999</v>
      </c>
      <c r="G191" s="60">
        <v>-3.3519999999999999</v>
      </c>
      <c r="H191" s="60">
        <v>-4.4690000000000003</v>
      </c>
      <c r="I191" s="60">
        <v>-5.5869999999999997</v>
      </c>
      <c r="J191" s="60">
        <v>-6.7039999999999997</v>
      </c>
      <c r="K191" s="60">
        <v>-7.8209999999999997</v>
      </c>
      <c r="L191" s="60">
        <v>-8.9390000000000001</v>
      </c>
      <c r="M191" s="60">
        <v>3.3519999999999999</v>
      </c>
      <c r="N191" s="60">
        <v>2.2349999999999999</v>
      </c>
      <c r="O191" s="60">
        <v>1.117</v>
      </c>
      <c r="P191" s="60">
        <v>0</v>
      </c>
      <c r="S191" s="60" t="e">
        <f t="shared" ca="1" si="26"/>
        <v>#REF!</v>
      </c>
      <c r="T191" s="60">
        <f t="shared" si="27"/>
        <v>1.117</v>
      </c>
      <c r="U191" s="60">
        <f t="shared" si="28"/>
        <v>2.2349999999999999</v>
      </c>
      <c r="V191" s="60">
        <f t="shared" si="29"/>
        <v>3.3519999999999999</v>
      </c>
      <c r="W191" s="60">
        <f t="shared" si="30"/>
        <v>4.4690000000000003</v>
      </c>
      <c r="X191" s="60">
        <f t="shared" si="31"/>
        <v>5.5869999999999997</v>
      </c>
      <c r="Y191" s="60">
        <f t="shared" si="32"/>
        <v>6.7039999999999997</v>
      </c>
      <c r="Z191" s="60">
        <f t="shared" si="33"/>
        <v>7.8209999999999997</v>
      </c>
      <c r="AA191" s="60">
        <f t="shared" si="34"/>
        <v>8.9390000000000001</v>
      </c>
      <c r="AB191" s="60">
        <f t="shared" si="35"/>
        <v>-3.3519999999999999</v>
      </c>
      <c r="AC191" s="60">
        <f t="shared" si="36"/>
        <v>-2.2349999999999999</v>
      </c>
      <c r="AD191" s="60">
        <f t="shared" si="37"/>
        <v>-1.117</v>
      </c>
      <c r="AE191" s="60">
        <f t="shared" si="38"/>
        <v>0</v>
      </c>
      <c r="AG191" s="60" cm="1">
        <f t="array" aca="1" ref="AG191" ca="1">SQRT(SUMSQ(_xlfn._xlws.FILTER(S191:AE191,ISNUMBER(S191:AE191)))/COUNT(_xlfn._xlws.FILTER(S191:AE191,ISNUMBER(S191:AE191))))</f>
        <v>4.7623658686273425</v>
      </c>
    </row>
    <row r="192" spans="3:33" x14ac:dyDescent="0.2">
      <c r="C192" s="60" t="s">
        <v>329</v>
      </c>
      <c r="D192" s="60">
        <v>0</v>
      </c>
      <c r="E192" s="60">
        <v>-1</v>
      </c>
      <c r="F192" s="60">
        <v>-1</v>
      </c>
      <c r="G192" s="60">
        <v>-2</v>
      </c>
      <c r="H192" s="60">
        <v>-3</v>
      </c>
      <c r="I192" s="60">
        <v>-4</v>
      </c>
      <c r="J192" s="60">
        <v>-4</v>
      </c>
      <c r="K192" s="60">
        <v>-5</v>
      </c>
      <c r="L192" s="60">
        <v>-6</v>
      </c>
      <c r="M192" s="60">
        <v>2</v>
      </c>
      <c r="N192" s="60">
        <v>1</v>
      </c>
      <c r="O192" s="60">
        <v>1</v>
      </c>
      <c r="P192" s="60">
        <v>0</v>
      </c>
      <c r="S192" s="60" t="e">
        <f t="shared" ca="1" si="26"/>
        <v>#REF!</v>
      </c>
      <c r="T192" s="60">
        <f t="shared" si="27"/>
        <v>1</v>
      </c>
      <c r="U192" s="60">
        <f t="shared" si="28"/>
        <v>1</v>
      </c>
      <c r="V192" s="60">
        <f t="shared" si="29"/>
        <v>2</v>
      </c>
      <c r="W192" s="60">
        <f t="shared" si="30"/>
        <v>3</v>
      </c>
      <c r="X192" s="60">
        <f t="shared" si="31"/>
        <v>4</v>
      </c>
      <c r="Y192" s="60">
        <f t="shared" si="32"/>
        <v>4</v>
      </c>
      <c r="Z192" s="60">
        <f t="shared" si="33"/>
        <v>5</v>
      </c>
      <c r="AA192" s="60">
        <f t="shared" si="34"/>
        <v>6</v>
      </c>
      <c r="AB192" s="60">
        <f t="shared" si="35"/>
        <v>-2</v>
      </c>
      <c r="AC192" s="60">
        <f t="shared" si="36"/>
        <v>-1</v>
      </c>
      <c r="AD192" s="60">
        <f t="shared" si="37"/>
        <v>-1</v>
      </c>
      <c r="AE192" s="60">
        <f t="shared" si="38"/>
        <v>0</v>
      </c>
      <c r="AG192" s="60" cm="1">
        <f t="array" aca="1" ref="AG192" ca="1">SQRT(SUMSQ(_xlfn._xlws.FILTER(S192:AE192,ISNUMBER(S192:AE192)))/COUNT(_xlfn._xlws.FILTER(S192:AE192,ISNUMBER(S192:AE192))))</f>
        <v>3.082207001484488</v>
      </c>
    </row>
    <row r="193" spans="3:33" x14ac:dyDescent="0.2">
      <c r="C193" s="60" t="s">
        <v>330</v>
      </c>
      <c r="D193" s="60">
        <v>0</v>
      </c>
      <c r="E193" s="60">
        <v>-0.73299999999999998</v>
      </c>
      <c r="F193" s="60">
        <v>-1.4670000000000001</v>
      </c>
      <c r="G193" s="60">
        <v>-2.2000000000000002</v>
      </c>
      <c r="H193" s="60">
        <v>-2.9329999999999998</v>
      </c>
      <c r="I193" s="60">
        <v>-3.6659999999999999</v>
      </c>
      <c r="J193" s="60">
        <v>-4.4000000000000004</v>
      </c>
      <c r="K193" s="60">
        <v>-5.133</v>
      </c>
      <c r="L193" s="60">
        <v>-5.8659999999999997</v>
      </c>
      <c r="M193" s="60">
        <v>2.2000000000000002</v>
      </c>
      <c r="N193" s="60">
        <v>1.4670000000000001</v>
      </c>
      <c r="O193" s="60">
        <v>0.73299999999999998</v>
      </c>
      <c r="P193" s="60">
        <v>0</v>
      </c>
      <c r="S193" s="60" t="e">
        <f t="shared" ca="1" si="26"/>
        <v>#REF!</v>
      </c>
      <c r="T193" s="60">
        <f t="shared" si="27"/>
        <v>0.73299999999999998</v>
      </c>
      <c r="U193" s="60">
        <f t="shared" si="28"/>
        <v>1.4670000000000001</v>
      </c>
      <c r="V193" s="60">
        <f t="shared" si="29"/>
        <v>2.2000000000000002</v>
      </c>
      <c r="W193" s="60">
        <f t="shared" si="30"/>
        <v>2.9329999999999998</v>
      </c>
      <c r="X193" s="60">
        <f t="shared" si="31"/>
        <v>3.6659999999999999</v>
      </c>
      <c r="Y193" s="60">
        <f t="shared" si="32"/>
        <v>4.4000000000000004</v>
      </c>
      <c r="Z193" s="60">
        <f t="shared" si="33"/>
        <v>5.133</v>
      </c>
      <c r="AA193" s="60">
        <f t="shared" si="34"/>
        <v>5.8659999999999997</v>
      </c>
      <c r="AB193" s="60">
        <f t="shared" si="35"/>
        <v>-2.2000000000000002</v>
      </c>
      <c r="AC193" s="60">
        <f t="shared" si="36"/>
        <v>-1.4670000000000001</v>
      </c>
      <c r="AD193" s="60">
        <f t="shared" si="37"/>
        <v>-0.73299999999999998</v>
      </c>
      <c r="AE193" s="60">
        <f t="shared" si="38"/>
        <v>0</v>
      </c>
      <c r="AG193" s="60" cm="1">
        <f t="array" aca="1" ref="AG193" ca="1">SQRT(SUMSQ(_xlfn._xlws.FILTER(S193:AE193,ISNUMBER(S193:AE193)))/COUNT(_xlfn._xlws.FILTER(S193:AE193,ISNUMBER(S193:AE193))))</f>
        <v>3.1254125860969673</v>
      </c>
    </row>
    <row r="194" spans="3:33" x14ac:dyDescent="0.2">
      <c r="C194" s="60" t="s">
        <v>331</v>
      </c>
      <c r="D194" s="60">
        <v>0</v>
      </c>
      <c r="E194" s="60">
        <v>0</v>
      </c>
      <c r="F194" s="60">
        <v>-1</v>
      </c>
      <c r="G194" s="60">
        <v>-1</v>
      </c>
      <c r="H194" s="60">
        <v>-2</v>
      </c>
      <c r="I194" s="60">
        <v>-2</v>
      </c>
      <c r="J194" s="60">
        <v>-3</v>
      </c>
      <c r="K194" s="60">
        <v>-3</v>
      </c>
      <c r="L194" s="60">
        <v>-3</v>
      </c>
      <c r="M194" s="60">
        <v>1</v>
      </c>
      <c r="N194" s="60">
        <v>1</v>
      </c>
      <c r="O194" s="60">
        <v>0</v>
      </c>
      <c r="P194" s="60">
        <v>0</v>
      </c>
      <c r="S194" s="60" t="e">
        <f t="shared" ca="1" si="26"/>
        <v>#REF!</v>
      </c>
      <c r="T194" s="60">
        <f t="shared" si="27"/>
        <v>0</v>
      </c>
      <c r="U194" s="60">
        <f t="shared" si="28"/>
        <v>1</v>
      </c>
      <c r="V194" s="60">
        <f t="shared" si="29"/>
        <v>1</v>
      </c>
      <c r="W194" s="60">
        <f t="shared" si="30"/>
        <v>2</v>
      </c>
      <c r="X194" s="60">
        <f t="shared" si="31"/>
        <v>2</v>
      </c>
      <c r="Y194" s="60">
        <f t="shared" si="32"/>
        <v>3</v>
      </c>
      <c r="Z194" s="60">
        <f t="shared" si="33"/>
        <v>3</v>
      </c>
      <c r="AA194" s="60">
        <f t="shared" si="34"/>
        <v>3</v>
      </c>
      <c r="AB194" s="60">
        <f t="shared" si="35"/>
        <v>-1</v>
      </c>
      <c r="AC194" s="60">
        <f t="shared" si="36"/>
        <v>-1</v>
      </c>
      <c r="AD194" s="60">
        <f t="shared" si="37"/>
        <v>0</v>
      </c>
      <c r="AE194" s="60">
        <f t="shared" si="38"/>
        <v>0</v>
      </c>
      <c r="AG194" s="60" cm="1">
        <f t="array" aca="1" ref="AG194" ca="1">SQRT(SUMSQ(_xlfn._xlws.FILTER(S194:AE194,ISNUMBER(S194:AE194)))/COUNT(_xlfn._xlws.FILTER(S194:AE194,ISNUMBER(S194:AE194))))</f>
        <v>1.8027756377319946</v>
      </c>
    </row>
    <row r="195" spans="3:33" x14ac:dyDescent="0.2">
      <c r="C195" s="60" t="s">
        <v>332</v>
      </c>
      <c r="D195" s="60">
        <v>0</v>
      </c>
      <c r="E195" s="60">
        <v>-0.435</v>
      </c>
      <c r="F195" s="60">
        <v>-0.86899999999999999</v>
      </c>
      <c r="G195" s="60">
        <v>-1.304</v>
      </c>
      <c r="H195" s="60">
        <v>-1.738</v>
      </c>
      <c r="I195" s="60">
        <v>-2.173</v>
      </c>
      <c r="J195" s="60">
        <v>-2.6080000000000001</v>
      </c>
      <c r="K195" s="60">
        <v>-3.0419999999999998</v>
      </c>
      <c r="L195" s="60">
        <v>-3.4769999999999999</v>
      </c>
      <c r="M195" s="60">
        <v>1.304</v>
      </c>
      <c r="N195" s="60">
        <v>0.86899999999999999</v>
      </c>
      <c r="O195" s="60">
        <v>0.435</v>
      </c>
      <c r="P195" s="60">
        <v>0</v>
      </c>
      <c r="S195" s="60" t="e">
        <f t="shared" ca="1" si="26"/>
        <v>#REF!</v>
      </c>
      <c r="T195" s="60">
        <f t="shared" si="27"/>
        <v>0.435</v>
      </c>
      <c r="U195" s="60">
        <f t="shared" si="28"/>
        <v>0.86899999999999999</v>
      </c>
      <c r="V195" s="60">
        <f t="shared" si="29"/>
        <v>1.304</v>
      </c>
      <c r="W195" s="60">
        <f t="shared" si="30"/>
        <v>1.738</v>
      </c>
      <c r="X195" s="60">
        <f t="shared" si="31"/>
        <v>2.173</v>
      </c>
      <c r="Y195" s="60">
        <f t="shared" si="32"/>
        <v>2.6080000000000001</v>
      </c>
      <c r="Z195" s="60">
        <f t="shared" si="33"/>
        <v>3.0419999999999998</v>
      </c>
      <c r="AA195" s="60">
        <f t="shared" si="34"/>
        <v>3.4769999999999999</v>
      </c>
      <c r="AB195" s="60">
        <f t="shared" si="35"/>
        <v>-1.304</v>
      </c>
      <c r="AC195" s="60">
        <f t="shared" si="36"/>
        <v>-0.86899999999999999</v>
      </c>
      <c r="AD195" s="60">
        <f t="shared" si="37"/>
        <v>-0.435</v>
      </c>
      <c r="AE195" s="60">
        <f t="shared" si="38"/>
        <v>0</v>
      </c>
      <c r="AG195" s="60" cm="1">
        <f t="array" aca="1" ref="AG195" ca="1">SQRT(SUMSQ(_xlfn._xlws.FILTER(S195:AE195,ISNUMBER(S195:AE195)))/COUNT(_xlfn._xlws.FILTER(S195:AE195,ISNUMBER(S195:AE195))))</f>
        <v>1.852411356403683</v>
      </c>
    </row>
    <row r="196" spans="3:33" x14ac:dyDescent="0.2">
      <c r="C196" s="60" t="s">
        <v>333</v>
      </c>
      <c r="D196" s="60">
        <v>0</v>
      </c>
      <c r="E196" s="60">
        <v>0</v>
      </c>
      <c r="F196" s="60">
        <v>0</v>
      </c>
      <c r="G196" s="60">
        <v>-1</v>
      </c>
      <c r="H196" s="60">
        <v>-1</v>
      </c>
      <c r="I196" s="60">
        <v>-1</v>
      </c>
      <c r="J196" s="60">
        <v>-1</v>
      </c>
      <c r="K196" s="60">
        <v>-1</v>
      </c>
      <c r="L196" s="60">
        <v>-2</v>
      </c>
      <c r="M196" s="60">
        <v>1</v>
      </c>
      <c r="N196" s="60">
        <v>0</v>
      </c>
      <c r="O196" s="60">
        <v>0</v>
      </c>
      <c r="P196" s="60">
        <v>0</v>
      </c>
      <c r="S196" s="60" t="e">
        <f t="shared" ca="1" si="26"/>
        <v>#REF!</v>
      </c>
      <c r="T196" s="60">
        <f t="shared" si="27"/>
        <v>0</v>
      </c>
      <c r="U196" s="60">
        <f t="shared" si="28"/>
        <v>0</v>
      </c>
      <c r="V196" s="60">
        <f t="shared" si="29"/>
        <v>1</v>
      </c>
      <c r="W196" s="60">
        <f t="shared" si="30"/>
        <v>1</v>
      </c>
      <c r="X196" s="60">
        <f t="shared" si="31"/>
        <v>1</v>
      </c>
      <c r="Y196" s="60">
        <f t="shared" si="32"/>
        <v>1</v>
      </c>
      <c r="Z196" s="60">
        <f t="shared" si="33"/>
        <v>1</v>
      </c>
      <c r="AA196" s="60">
        <f t="shared" si="34"/>
        <v>2</v>
      </c>
      <c r="AB196" s="60">
        <f t="shared" si="35"/>
        <v>-1</v>
      </c>
      <c r="AC196" s="60">
        <f t="shared" si="36"/>
        <v>0</v>
      </c>
      <c r="AD196" s="60">
        <f t="shared" si="37"/>
        <v>0</v>
      </c>
      <c r="AE196" s="60">
        <f t="shared" si="38"/>
        <v>0</v>
      </c>
      <c r="AG196" s="60" cm="1">
        <f t="array" aca="1" ref="AG196" ca="1">SQRT(SUMSQ(_xlfn._xlws.FILTER(S196:AE196,ISNUMBER(S196:AE196)))/COUNT(_xlfn._xlws.FILTER(S196:AE196,ISNUMBER(S196:AE196))))</f>
        <v>0.9128709291752769</v>
      </c>
    </row>
    <row r="197" spans="3:33" x14ac:dyDescent="0.2">
      <c r="C197" s="60" t="s">
        <v>334</v>
      </c>
      <c r="D197" s="60">
        <v>0</v>
      </c>
      <c r="E197" s="60">
        <v>-0.19600000000000001</v>
      </c>
      <c r="F197" s="60">
        <v>-0.39100000000000001</v>
      </c>
      <c r="G197" s="60">
        <v>-0.58699999999999997</v>
      </c>
      <c r="H197" s="60">
        <v>-0.78300000000000003</v>
      </c>
      <c r="I197" s="60">
        <v>-0.97799999999999998</v>
      </c>
      <c r="J197" s="60">
        <v>-1.1739999999999999</v>
      </c>
      <c r="K197" s="60">
        <v>-1.369</v>
      </c>
      <c r="L197" s="60">
        <v>-1.5649999999999999</v>
      </c>
      <c r="M197" s="60">
        <v>0.58699999999999997</v>
      </c>
      <c r="N197" s="60">
        <v>0.39100000000000001</v>
      </c>
      <c r="O197" s="60">
        <v>0.19600000000000001</v>
      </c>
      <c r="P197" s="60">
        <v>0</v>
      </c>
      <c r="S197" s="60" t="e">
        <f t="shared" ca="1" si="26"/>
        <v>#REF!</v>
      </c>
      <c r="T197" s="60">
        <f t="shared" si="27"/>
        <v>0.19600000000000001</v>
      </c>
      <c r="U197" s="60">
        <f t="shared" si="28"/>
        <v>0.39100000000000001</v>
      </c>
      <c r="V197" s="60">
        <f t="shared" si="29"/>
        <v>0.58699999999999997</v>
      </c>
      <c r="W197" s="60">
        <f t="shared" si="30"/>
        <v>0.78300000000000003</v>
      </c>
      <c r="X197" s="60">
        <f t="shared" si="31"/>
        <v>0.97799999999999998</v>
      </c>
      <c r="Y197" s="60">
        <f t="shared" si="32"/>
        <v>1.1739999999999999</v>
      </c>
      <c r="Z197" s="60">
        <f t="shared" si="33"/>
        <v>1.369</v>
      </c>
      <c r="AA197" s="60">
        <f t="shared" si="34"/>
        <v>1.5649999999999999</v>
      </c>
      <c r="AB197" s="60">
        <f t="shared" si="35"/>
        <v>-0.58699999999999997</v>
      </c>
      <c r="AC197" s="60">
        <f t="shared" si="36"/>
        <v>-0.39100000000000001</v>
      </c>
      <c r="AD197" s="60">
        <f t="shared" si="37"/>
        <v>-0.19600000000000001</v>
      </c>
      <c r="AE197" s="60">
        <f t="shared" si="38"/>
        <v>0</v>
      </c>
      <c r="AG197" s="60" cm="1">
        <f t="array" aca="1" ref="AG197" ca="1">SQRT(SUMSQ(_xlfn._xlws.FILTER(S197:AE197,ISNUMBER(S197:AE197)))/COUNT(_xlfn._xlws.FILTER(S197:AE197,ISNUMBER(S197:AE197))))</f>
        <v>0.83381487753577532</v>
      </c>
    </row>
    <row r="198" spans="3:33" x14ac:dyDescent="0.2">
      <c r="C198" s="60" t="s">
        <v>335</v>
      </c>
      <c r="D198" s="60">
        <v>0</v>
      </c>
      <c r="E198" s="60">
        <v>-3</v>
      </c>
      <c r="F198" s="60">
        <v>-6</v>
      </c>
      <c r="G198" s="60">
        <v>-8</v>
      </c>
      <c r="H198" s="60">
        <v>-11</v>
      </c>
      <c r="I198" s="60">
        <v>-14</v>
      </c>
      <c r="J198" s="60">
        <v>-17</v>
      </c>
      <c r="K198" s="60">
        <v>-20</v>
      </c>
      <c r="L198" s="60">
        <v>-23</v>
      </c>
      <c r="M198" s="60">
        <v>8</v>
      </c>
      <c r="N198" s="60">
        <v>6</v>
      </c>
      <c r="O198" s="60">
        <v>3</v>
      </c>
      <c r="P198" s="60">
        <v>0</v>
      </c>
      <c r="S198" s="60" t="e">
        <f t="shared" ca="1" si="26"/>
        <v>#REF!</v>
      </c>
      <c r="T198" s="60">
        <f t="shared" si="27"/>
        <v>3</v>
      </c>
      <c r="U198" s="60">
        <f t="shared" si="28"/>
        <v>6</v>
      </c>
      <c r="V198" s="60">
        <f t="shared" si="29"/>
        <v>8</v>
      </c>
      <c r="W198" s="60">
        <f t="shared" si="30"/>
        <v>11</v>
      </c>
      <c r="X198" s="60">
        <f t="shared" si="31"/>
        <v>14</v>
      </c>
      <c r="Y198" s="60">
        <f t="shared" si="32"/>
        <v>17</v>
      </c>
      <c r="Z198" s="60">
        <f t="shared" si="33"/>
        <v>20</v>
      </c>
      <c r="AA198" s="60">
        <f t="shared" si="34"/>
        <v>23</v>
      </c>
      <c r="AB198" s="60">
        <f t="shared" si="35"/>
        <v>-8</v>
      </c>
      <c r="AC198" s="60">
        <f t="shared" si="36"/>
        <v>-6</v>
      </c>
      <c r="AD198" s="60">
        <f t="shared" si="37"/>
        <v>-3</v>
      </c>
      <c r="AE198" s="60">
        <f t="shared" si="38"/>
        <v>0</v>
      </c>
      <c r="AG198" s="60" cm="1">
        <f t="array" aca="1" ref="AG198" ca="1">SQRT(SUMSQ(_xlfn._xlws.FILTER(S198:AE198,ISNUMBER(S198:AE198)))/COUNT(_xlfn._xlws.FILTER(S198:AE198,ISNUMBER(S198:AE198))))</f>
        <v>12.086493839543929</v>
      </c>
    </row>
    <row r="199" spans="3:33" x14ac:dyDescent="0.2">
      <c r="C199" s="60" t="s">
        <v>336</v>
      </c>
      <c r="D199" s="60">
        <v>0</v>
      </c>
      <c r="E199" s="60">
        <v>-2.823</v>
      </c>
      <c r="F199" s="60">
        <v>-5.6479999999999997</v>
      </c>
      <c r="G199" s="60">
        <v>-8.4710000000000001</v>
      </c>
      <c r="H199" s="60">
        <v>-11.295999999999999</v>
      </c>
      <c r="I199" s="60">
        <v>-14.119</v>
      </c>
      <c r="J199" s="60">
        <v>-16.943999999999999</v>
      </c>
      <c r="K199" s="60">
        <v>-19.768999999999998</v>
      </c>
      <c r="L199" s="60">
        <v>-22.591999999999999</v>
      </c>
      <c r="M199" s="60">
        <v>8.4730000000000008</v>
      </c>
      <c r="N199" s="60">
        <v>5.65</v>
      </c>
      <c r="O199" s="60">
        <v>2.8250000000000002</v>
      </c>
      <c r="P199" s="60">
        <v>0</v>
      </c>
      <c r="S199" s="60" t="e">
        <f t="shared" ca="1" si="26"/>
        <v>#REF!</v>
      </c>
      <c r="T199" s="60">
        <f t="shared" si="27"/>
        <v>2.823</v>
      </c>
      <c r="U199" s="60">
        <f t="shared" si="28"/>
        <v>5.6479999999999997</v>
      </c>
      <c r="V199" s="60">
        <f t="shared" si="29"/>
        <v>8.4710000000000001</v>
      </c>
      <c r="W199" s="60">
        <f t="shared" si="30"/>
        <v>11.295999999999999</v>
      </c>
      <c r="X199" s="60">
        <f t="shared" si="31"/>
        <v>14.119</v>
      </c>
      <c r="Y199" s="60">
        <f t="shared" si="32"/>
        <v>16.943999999999999</v>
      </c>
      <c r="Z199" s="60">
        <f t="shared" si="33"/>
        <v>19.768999999999998</v>
      </c>
      <c r="AA199" s="60">
        <f t="shared" si="34"/>
        <v>22.591999999999999</v>
      </c>
      <c r="AB199" s="60">
        <f t="shared" si="35"/>
        <v>-8.4730000000000008</v>
      </c>
      <c r="AC199" s="60">
        <f t="shared" si="36"/>
        <v>-5.65</v>
      </c>
      <c r="AD199" s="60">
        <f t="shared" si="37"/>
        <v>-2.8250000000000002</v>
      </c>
      <c r="AE199" s="60">
        <f t="shared" si="38"/>
        <v>0</v>
      </c>
      <c r="AG199" s="60" cm="1">
        <f t="array" aca="1" ref="AG199" ca="1">SQRT(SUMSQ(_xlfn._xlws.FILTER(S199:AE199,ISNUMBER(S199:AE199)))/COUNT(_xlfn._xlws.FILTER(S199:AE199,ISNUMBER(S199:AE199))))</f>
        <v>12.03667543385631</v>
      </c>
    </row>
    <row r="200" spans="3:33" x14ac:dyDescent="0.2">
      <c r="C200" s="60" t="s">
        <v>337</v>
      </c>
      <c r="D200" s="60">
        <v>0</v>
      </c>
      <c r="E200" s="60">
        <v>-2</v>
      </c>
      <c r="F200" s="60">
        <v>-4</v>
      </c>
      <c r="G200" s="60">
        <v>-4</v>
      </c>
      <c r="H200" s="60">
        <v>-2</v>
      </c>
      <c r="I200" s="60">
        <v>-6</v>
      </c>
      <c r="J200" s="60">
        <v>-11</v>
      </c>
      <c r="K200" s="60">
        <v>-13</v>
      </c>
      <c r="L200" s="60">
        <v>-16</v>
      </c>
      <c r="M200" s="60">
        <v>-6</v>
      </c>
      <c r="N200" s="60">
        <v>4</v>
      </c>
      <c r="O200" s="60">
        <v>6</v>
      </c>
      <c r="P200" s="60">
        <v>0</v>
      </c>
      <c r="S200" s="60" t="e">
        <f t="shared" ref="S200:S260" ca="1" si="39">S$4-D200</f>
        <v>#REF!</v>
      </c>
      <c r="T200" s="60">
        <f t="shared" ref="T200:T260" si="40">T$4-E200</f>
        <v>2</v>
      </c>
      <c r="U200" s="60">
        <f t="shared" ref="U200:U260" si="41">U$4-F200</f>
        <v>4</v>
      </c>
      <c r="V200" s="60">
        <f t="shared" ref="V200:V260" si="42">V$4-G200</f>
        <v>4</v>
      </c>
      <c r="W200" s="60">
        <f t="shared" ref="W200:W260" si="43">W$4-H200</f>
        <v>2</v>
      </c>
      <c r="X200" s="60">
        <f t="shared" ref="X200:X260" si="44">X$4-I200</f>
        <v>6</v>
      </c>
      <c r="Y200" s="60">
        <f t="shared" ref="Y200:Y260" si="45">Y$4-J200</f>
        <v>11</v>
      </c>
      <c r="Z200" s="60">
        <f t="shared" ref="Z200:Z260" si="46">Z$4-K200</f>
        <v>13</v>
      </c>
      <c r="AA200" s="60">
        <f t="shared" ref="AA200:AA260" si="47">AA$4-L200</f>
        <v>16</v>
      </c>
      <c r="AB200" s="60">
        <f t="shared" ref="AB200:AB260" si="48">AB$4-M200</f>
        <v>6</v>
      </c>
      <c r="AC200" s="60">
        <f t="shared" ref="AC200:AC260" si="49">AC$4-N200</f>
        <v>-4</v>
      </c>
      <c r="AD200" s="60">
        <f t="shared" ref="AD200:AD260" si="50">AD$4-O200</f>
        <v>-6</v>
      </c>
      <c r="AE200" s="60">
        <f t="shared" ref="AE200:AE260" si="51">AE$4-P200</f>
        <v>0</v>
      </c>
      <c r="AG200" s="60" cm="1">
        <f t="array" aca="1" ref="AG200" ca="1">SQRT(SUMSQ(_xlfn._xlws.FILTER(S200:AE200,ISNUMBER(S200:AE200)))/COUNT(_xlfn._xlws.FILTER(S200:AE200,ISNUMBER(S200:AE200))))</f>
        <v>7.6919871728095508</v>
      </c>
    </row>
    <row r="201" spans="3:33" x14ac:dyDescent="0.2">
      <c r="C201" s="60" t="s">
        <v>338</v>
      </c>
      <c r="D201" s="60">
        <v>0</v>
      </c>
      <c r="E201" s="60">
        <v>-5</v>
      </c>
      <c r="F201" s="60">
        <v>-10</v>
      </c>
      <c r="G201" s="60">
        <v>-16</v>
      </c>
      <c r="H201" s="60">
        <v>-21</v>
      </c>
      <c r="I201" s="60">
        <v>-26</v>
      </c>
      <c r="J201" s="60">
        <v>-31</v>
      </c>
      <c r="K201" s="60">
        <v>-36</v>
      </c>
      <c r="L201" s="60">
        <v>-42</v>
      </c>
      <c r="M201" s="60">
        <v>16</v>
      </c>
      <c r="N201" s="60">
        <v>10</v>
      </c>
      <c r="O201" s="60">
        <v>5</v>
      </c>
      <c r="P201" s="60">
        <v>0</v>
      </c>
      <c r="S201" s="60" t="e">
        <f t="shared" ca="1" si="39"/>
        <v>#REF!</v>
      </c>
      <c r="T201" s="60">
        <f t="shared" si="40"/>
        <v>5</v>
      </c>
      <c r="U201" s="60">
        <f t="shared" si="41"/>
        <v>10</v>
      </c>
      <c r="V201" s="60">
        <f t="shared" si="42"/>
        <v>16</v>
      </c>
      <c r="W201" s="60">
        <f t="shared" si="43"/>
        <v>21</v>
      </c>
      <c r="X201" s="60">
        <f t="shared" si="44"/>
        <v>26</v>
      </c>
      <c r="Y201" s="60">
        <f t="shared" si="45"/>
        <v>31</v>
      </c>
      <c r="Z201" s="60">
        <f t="shared" si="46"/>
        <v>36</v>
      </c>
      <c r="AA201" s="60">
        <f t="shared" si="47"/>
        <v>42</v>
      </c>
      <c r="AB201" s="60">
        <f t="shared" si="48"/>
        <v>-16</v>
      </c>
      <c r="AC201" s="60">
        <f t="shared" si="49"/>
        <v>-10</v>
      </c>
      <c r="AD201" s="60">
        <f t="shared" si="50"/>
        <v>-5</v>
      </c>
      <c r="AE201" s="60">
        <f t="shared" si="51"/>
        <v>0</v>
      </c>
      <c r="AG201" s="60" cm="1">
        <f t="array" aca="1" ref="AG201" ca="1">SQRT(SUMSQ(_xlfn._xlws.FILTER(S201:AE201,ISNUMBER(S201:AE201)))/COUNT(_xlfn._xlws.FILTER(S201:AE201,ISNUMBER(S201:AE201))))</f>
        <v>22.173557826083453</v>
      </c>
    </row>
    <row r="202" spans="3:33" x14ac:dyDescent="0.2">
      <c r="C202" s="60" t="s">
        <v>339</v>
      </c>
      <c r="D202" s="60">
        <v>0</v>
      </c>
      <c r="E202" s="60">
        <v>-5.2140000000000004</v>
      </c>
      <c r="F202" s="60">
        <v>-10.428000000000001</v>
      </c>
      <c r="G202" s="60">
        <v>-15.641</v>
      </c>
      <c r="H202" s="60">
        <v>-20.855</v>
      </c>
      <c r="I202" s="60">
        <v>-26.068999999999999</v>
      </c>
      <c r="J202" s="60">
        <v>-31.283000000000001</v>
      </c>
      <c r="K202" s="60">
        <v>-36.496000000000002</v>
      </c>
      <c r="L202" s="60">
        <v>-41.71</v>
      </c>
      <c r="M202" s="60">
        <v>15.641</v>
      </c>
      <c r="N202" s="60">
        <v>10.428000000000001</v>
      </c>
      <c r="O202" s="60">
        <v>5.2140000000000004</v>
      </c>
      <c r="P202" s="60">
        <v>0</v>
      </c>
      <c r="S202" s="60" t="e">
        <f t="shared" ca="1" si="39"/>
        <v>#REF!</v>
      </c>
      <c r="T202" s="60">
        <f t="shared" si="40"/>
        <v>5.2140000000000004</v>
      </c>
      <c r="U202" s="60">
        <f t="shared" si="41"/>
        <v>10.428000000000001</v>
      </c>
      <c r="V202" s="60">
        <f t="shared" si="42"/>
        <v>15.641</v>
      </c>
      <c r="W202" s="60">
        <f t="shared" si="43"/>
        <v>20.855</v>
      </c>
      <c r="X202" s="60">
        <f t="shared" si="44"/>
        <v>26.068999999999999</v>
      </c>
      <c r="Y202" s="60">
        <f t="shared" si="45"/>
        <v>31.283000000000001</v>
      </c>
      <c r="Z202" s="60">
        <f t="shared" si="46"/>
        <v>36.496000000000002</v>
      </c>
      <c r="AA202" s="60">
        <f t="shared" si="47"/>
        <v>41.71</v>
      </c>
      <c r="AB202" s="60">
        <f t="shared" si="48"/>
        <v>-15.641</v>
      </c>
      <c r="AC202" s="60">
        <f t="shared" si="49"/>
        <v>-10.428000000000001</v>
      </c>
      <c r="AD202" s="60">
        <f t="shared" si="50"/>
        <v>-5.2140000000000004</v>
      </c>
      <c r="AE202" s="60">
        <f t="shared" si="51"/>
        <v>0</v>
      </c>
      <c r="AG202" s="60" cm="1">
        <f t="array" aca="1" ref="AG202" ca="1">SQRT(SUMSQ(_xlfn._xlws.FILTER(S202:AE202,ISNUMBER(S202:AE202)))/COUNT(_xlfn._xlws.FILTER(S202:AE202,ISNUMBER(S202:AE202))))</f>
        <v>22.22230807282028</v>
      </c>
    </row>
    <row r="203" spans="3:33" x14ac:dyDescent="0.2">
      <c r="C203" s="60" t="s">
        <v>340</v>
      </c>
      <c r="D203" s="60">
        <v>0</v>
      </c>
      <c r="E203" s="60">
        <v>-5</v>
      </c>
      <c r="F203" s="60">
        <v>-11</v>
      </c>
      <c r="G203" s="60">
        <v>-16</v>
      </c>
      <c r="H203" s="60">
        <v>-21</v>
      </c>
      <c r="I203" s="60">
        <v>-26</v>
      </c>
      <c r="J203" s="60">
        <v>-31</v>
      </c>
      <c r="K203" s="60">
        <v>-36</v>
      </c>
      <c r="L203" s="60">
        <v>21</v>
      </c>
      <c r="M203" s="60">
        <v>15</v>
      </c>
      <c r="N203" s="60">
        <v>10</v>
      </c>
      <c r="O203" s="60">
        <v>5</v>
      </c>
      <c r="P203" s="60">
        <v>0</v>
      </c>
      <c r="S203" s="60" t="e">
        <f t="shared" ca="1" si="39"/>
        <v>#REF!</v>
      </c>
      <c r="T203" s="60">
        <f t="shared" si="40"/>
        <v>5</v>
      </c>
      <c r="U203" s="60">
        <f t="shared" si="41"/>
        <v>11</v>
      </c>
      <c r="V203" s="60">
        <f t="shared" si="42"/>
        <v>16</v>
      </c>
      <c r="W203" s="60">
        <f t="shared" si="43"/>
        <v>21</v>
      </c>
      <c r="X203" s="60">
        <f t="shared" si="44"/>
        <v>26</v>
      </c>
      <c r="Y203" s="60">
        <f t="shared" si="45"/>
        <v>31</v>
      </c>
      <c r="Z203" s="60">
        <f t="shared" si="46"/>
        <v>36</v>
      </c>
      <c r="AA203" s="60">
        <f t="shared" si="47"/>
        <v>-21</v>
      </c>
      <c r="AB203" s="60">
        <f t="shared" si="48"/>
        <v>-15</v>
      </c>
      <c r="AC203" s="60">
        <f t="shared" si="49"/>
        <v>-10</v>
      </c>
      <c r="AD203" s="60">
        <f t="shared" si="50"/>
        <v>-5</v>
      </c>
      <c r="AE203" s="60">
        <f t="shared" si="51"/>
        <v>0</v>
      </c>
      <c r="AG203" s="60" cm="1">
        <f t="array" aca="1" ref="AG203" ca="1">SQRT(SUMSQ(_xlfn._xlws.FILTER(S203:AE203,ISNUMBER(S203:AE203)))/COUNT(_xlfn._xlws.FILTER(S203:AE203,ISNUMBER(S203:AE203))))</f>
        <v>19.50854513625589</v>
      </c>
    </row>
    <row r="204" spans="3:33" x14ac:dyDescent="0.2">
      <c r="C204" s="60" t="s">
        <v>341</v>
      </c>
      <c r="D204" s="60">
        <v>0</v>
      </c>
      <c r="E204" s="60">
        <v>-3</v>
      </c>
      <c r="F204" s="60">
        <v>-5</v>
      </c>
      <c r="G204" s="60">
        <v>-8</v>
      </c>
      <c r="H204" s="60">
        <v>-11</v>
      </c>
      <c r="I204" s="60">
        <v>-14</v>
      </c>
      <c r="J204" s="60">
        <v>-16</v>
      </c>
      <c r="K204" s="60">
        <v>-19</v>
      </c>
      <c r="L204" s="60">
        <v>-22</v>
      </c>
      <c r="M204" s="60">
        <v>8</v>
      </c>
      <c r="N204" s="60">
        <v>5</v>
      </c>
      <c r="O204" s="60">
        <v>3</v>
      </c>
      <c r="P204" s="60">
        <v>0</v>
      </c>
      <c r="S204" s="60" t="e">
        <f t="shared" ca="1" si="39"/>
        <v>#REF!</v>
      </c>
      <c r="T204" s="60">
        <f t="shared" si="40"/>
        <v>3</v>
      </c>
      <c r="U204" s="60">
        <f t="shared" si="41"/>
        <v>5</v>
      </c>
      <c r="V204" s="60">
        <f t="shared" si="42"/>
        <v>8</v>
      </c>
      <c r="W204" s="60">
        <f t="shared" si="43"/>
        <v>11</v>
      </c>
      <c r="X204" s="60">
        <f t="shared" si="44"/>
        <v>14</v>
      </c>
      <c r="Y204" s="60">
        <f t="shared" si="45"/>
        <v>16</v>
      </c>
      <c r="Z204" s="60">
        <f t="shared" si="46"/>
        <v>19</v>
      </c>
      <c r="AA204" s="60">
        <f t="shared" si="47"/>
        <v>22</v>
      </c>
      <c r="AB204" s="60">
        <f t="shared" si="48"/>
        <v>-8</v>
      </c>
      <c r="AC204" s="60">
        <f t="shared" si="49"/>
        <v>-5</v>
      </c>
      <c r="AD204" s="60">
        <f t="shared" si="50"/>
        <v>-3</v>
      </c>
      <c r="AE204" s="60">
        <f t="shared" si="51"/>
        <v>0</v>
      </c>
      <c r="AG204" s="60" cm="1">
        <f t="array" aca="1" ref="AG204" ca="1">SQRT(SUMSQ(_xlfn._xlws.FILTER(S204:AE204,ISNUMBER(S204:AE204)))/COUNT(_xlfn._xlws.FILTER(S204:AE204,ISNUMBER(S204:AE204))))</f>
        <v>11.597413504743201</v>
      </c>
    </row>
    <row r="205" spans="3:33" x14ac:dyDescent="0.2">
      <c r="C205" s="60" t="s">
        <v>342</v>
      </c>
      <c r="D205" s="60">
        <v>0</v>
      </c>
      <c r="E205" s="60">
        <v>-2.7370000000000001</v>
      </c>
      <c r="F205" s="60">
        <v>-5.4740000000000002</v>
      </c>
      <c r="G205" s="60">
        <v>-8.2110000000000003</v>
      </c>
      <c r="H205" s="60">
        <v>-10.948</v>
      </c>
      <c r="I205" s="60">
        <v>-13.685</v>
      </c>
      <c r="J205" s="60">
        <v>-16.422000000000001</v>
      </c>
      <c r="K205" s="60">
        <v>-19.158999999999999</v>
      </c>
      <c r="L205" s="60">
        <v>-21.896000000000001</v>
      </c>
      <c r="M205" s="60">
        <v>8.2110000000000003</v>
      </c>
      <c r="N205" s="60">
        <v>5.4740000000000002</v>
      </c>
      <c r="O205" s="60">
        <v>2.7370000000000001</v>
      </c>
      <c r="P205" s="60">
        <v>0</v>
      </c>
      <c r="S205" s="60" t="e">
        <f t="shared" ca="1" si="39"/>
        <v>#REF!</v>
      </c>
      <c r="T205" s="60">
        <f t="shared" si="40"/>
        <v>2.7370000000000001</v>
      </c>
      <c r="U205" s="60">
        <f t="shared" si="41"/>
        <v>5.4740000000000002</v>
      </c>
      <c r="V205" s="60">
        <f t="shared" si="42"/>
        <v>8.2110000000000003</v>
      </c>
      <c r="W205" s="60">
        <f t="shared" si="43"/>
        <v>10.948</v>
      </c>
      <c r="X205" s="60">
        <f t="shared" si="44"/>
        <v>13.685</v>
      </c>
      <c r="Y205" s="60">
        <f t="shared" si="45"/>
        <v>16.422000000000001</v>
      </c>
      <c r="Z205" s="60">
        <f t="shared" si="46"/>
        <v>19.158999999999999</v>
      </c>
      <c r="AA205" s="60">
        <f t="shared" si="47"/>
        <v>21.896000000000001</v>
      </c>
      <c r="AB205" s="60">
        <f t="shared" si="48"/>
        <v>-8.2110000000000003</v>
      </c>
      <c r="AC205" s="60">
        <f t="shared" si="49"/>
        <v>-5.4740000000000002</v>
      </c>
      <c r="AD205" s="60">
        <f t="shared" si="50"/>
        <v>-2.7370000000000001</v>
      </c>
      <c r="AE205" s="60">
        <f t="shared" si="51"/>
        <v>0</v>
      </c>
      <c r="AG205" s="60" cm="1">
        <f t="array" aca="1" ref="AG205" ca="1">SQRT(SUMSQ(_xlfn._xlws.FILTER(S205:AE205,ISNUMBER(S205:AE205)))/COUNT(_xlfn._xlws.FILTER(S205:AE205,ISNUMBER(S205:AE205))))</f>
        <v>11.665743446804695</v>
      </c>
    </row>
    <row r="206" spans="3:33" x14ac:dyDescent="0.2">
      <c r="C206" s="60" t="s">
        <v>343</v>
      </c>
      <c r="D206" s="60">
        <v>0</v>
      </c>
      <c r="E206" s="60">
        <v>-2</v>
      </c>
      <c r="F206" s="60">
        <v>-4</v>
      </c>
      <c r="G206" s="60">
        <v>-6</v>
      </c>
      <c r="H206" s="60">
        <v>-8</v>
      </c>
      <c r="I206" s="60">
        <v>-10</v>
      </c>
      <c r="J206" s="60">
        <v>-10</v>
      </c>
      <c r="K206" s="60">
        <v>-10</v>
      </c>
      <c r="L206" s="60">
        <v>-4</v>
      </c>
      <c r="M206" s="60">
        <v>2</v>
      </c>
      <c r="N206" s="60">
        <v>2</v>
      </c>
      <c r="O206" s="60">
        <v>2</v>
      </c>
      <c r="P206" s="60">
        <v>0</v>
      </c>
      <c r="S206" s="60" t="e">
        <f t="shared" ca="1" si="39"/>
        <v>#REF!</v>
      </c>
      <c r="T206" s="60">
        <f t="shared" si="40"/>
        <v>2</v>
      </c>
      <c r="U206" s="60">
        <f t="shared" si="41"/>
        <v>4</v>
      </c>
      <c r="V206" s="60">
        <f t="shared" si="42"/>
        <v>6</v>
      </c>
      <c r="W206" s="60">
        <f t="shared" si="43"/>
        <v>8</v>
      </c>
      <c r="X206" s="60">
        <f t="shared" si="44"/>
        <v>10</v>
      </c>
      <c r="Y206" s="60">
        <f t="shared" si="45"/>
        <v>10</v>
      </c>
      <c r="Z206" s="60">
        <f t="shared" si="46"/>
        <v>10</v>
      </c>
      <c r="AA206" s="60">
        <f t="shared" si="47"/>
        <v>4</v>
      </c>
      <c r="AB206" s="60">
        <f t="shared" si="48"/>
        <v>-2</v>
      </c>
      <c r="AC206" s="60">
        <f t="shared" si="49"/>
        <v>-2</v>
      </c>
      <c r="AD206" s="60">
        <f t="shared" si="50"/>
        <v>-2</v>
      </c>
      <c r="AE206" s="60">
        <f t="shared" si="51"/>
        <v>0</v>
      </c>
      <c r="AG206" s="60" cm="1">
        <f t="array" aca="1" ref="AG206" ca="1">SQRT(SUMSQ(_xlfn._xlws.FILTER(S206:AE206,ISNUMBER(S206:AE206)))/COUNT(_xlfn._xlws.FILTER(S206:AE206,ISNUMBER(S206:AE206))))</f>
        <v>6.110100926607787</v>
      </c>
    </row>
    <row r="207" spans="3:33" x14ac:dyDescent="0.2">
      <c r="C207" s="60" t="s">
        <v>344</v>
      </c>
      <c r="D207" s="60">
        <v>0</v>
      </c>
      <c r="E207" s="60">
        <v>-1.9550000000000001</v>
      </c>
      <c r="F207" s="60">
        <v>-3.91</v>
      </c>
      <c r="G207" s="60">
        <v>-5.8650000000000002</v>
      </c>
      <c r="H207" s="60">
        <v>-7.82</v>
      </c>
      <c r="I207" s="60">
        <v>-9.7750000000000004</v>
      </c>
      <c r="J207" s="60">
        <v>-9.7750000000000004</v>
      </c>
      <c r="K207" s="60">
        <v>-9.7750000000000004</v>
      </c>
      <c r="L207" s="60">
        <v>-3.91</v>
      </c>
      <c r="M207" s="60">
        <v>1.9550000000000001</v>
      </c>
      <c r="N207" s="60">
        <v>1.9550000000000001</v>
      </c>
      <c r="O207" s="60">
        <v>1.9550000000000001</v>
      </c>
      <c r="P207" s="60">
        <v>0</v>
      </c>
      <c r="S207" s="60" t="e">
        <f t="shared" ca="1" si="39"/>
        <v>#REF!</v>
      </c>
      <c r="T207" s="60">
        <f t="shared" si="40"/>
        <v>1.9550000000000001</v>
      </c>
      <c r="U207" s="60">
        <f t="shared" si="41"/>
        <v>3.91</v>
      </c>
      <c r="V207" s="60">
        <f t="shared" si="42"/>
        <v>5.8650000000000002</v>
      </c>
      <c r="W207" s="60">
        <f t="shared" si="43"/>
        <v>7.82</v>
      </c>
      <c r="X207" s="60">
        <f t="shared" si="44"/>
        <v>9.7750000000000004</v>
      </c>
      <c r="Y207" s="60">
        <f t="shared" si="45"/>
        <v>9.7750000000000004</v>
      </c>
      <c r="Z207" s="60">
        <f t="shared" si="46"/>
        <v>9.7750000000000004</v>
      </c>
      <c r="AA207" s="60">
        <f t="shared" si="47"/>
        <v>3.91</v>
      </c>
      <c r="AB207" s="60">
        <f t="shared" si="48"/>
        <v>-1.9550000000000001</v>
      </c>
      <c r="AC207" s="60">
        <f t="shared" si="49"/>
        <v>-1.9550000000000001</v>
      </c>
      <c r="AD207" s="60">
        <f t="shared" si="50"/>
        <v>-1.9550000000000001</v>
      </c>
      <c r="AE207" s="60">
        <f t="shared" si="51"/>
        <v>0</v>
      </c>
      <c r="AG207" s="60" cm="1">
        <f t="array" aca="1" ref="AG207" ca="1">SQRT(SUMSQ(_xlfn._xlws.FILTER(S207:AE207,ISNUMBER(S207:AE207)))/COUNT(_xlfn._xlws.FILTER(S207:AE207,ISNUMBER(S207:AE207))))</f>
        <v>5.9726236557591115</v>
      </c>
    </row>
    <row r="208" spans="3:33" x14ac:dyDescent="0.2">
      <c r="C208" s="60" t="s">
        <v>345</v>
      </c>
      <c r="D208" s="60">
        <v>0</v>
      </c>
      <c r="E208" s="60">
        <v>-2</v>
      </c>
      <c r="F208" s="60">
        <v>-5</v>
      </c>
      <c r="G208" s="60">
        <v>-8</v>
      </c>
      <c r="H208" s="60">
        <v>-10</v>
      </c>
      <c r="I208" s="60">
        <v>-12</v>
      </c>
      <c r="J208" s="60">
        <v>-13</v>
      </c>
      <c r="K208" s="60">
        <v>-14</v>
      </c>
      <c r="L208" s="60">
        <v>-2</v>
      </c>
      <c r="M208" s="60">
        <v>2</v>
      </c>
      <c r="N208" s="60">
        <v>2</v>
      </c>
      <c r="O208" s="60">
        <v>2</v>
      </c>
      <c r="P208" s="60">
        <v>0</v>
      </c>
      <c r="S208" s="60" t="e">
        <f t="shared" ca="1" si="39"/>
        <v>#REF!</v>
      </c>
      <c r="T208" s="60">
        <f t="shared" si="40"/>
        <v>2</v>
      </c>
      <c r="U208" s="60">
        <f t="shared" si="41"/>
        <v>5</v>
      </c>
      <c r="V208" s="60">
        <f t="shared" si="42"/>
        <v>8</v>
      </c>
      <c r="W208" s="60">
        <f t="shared" si="43"/>
        <v>10</v>
      </c>
      <c r="X208" s="60">
        <f t="shared" si="44"/>
        <v>12</v>
      </c>
      <c r="Y208" s="60">
        <f t="shared" si="45"/>
        <v>13</v>
      </c>
      <c r="Z208" s="60">
        <f t="shared" si="46"/>
        <v>14</v>
      </c>
      <c r="AA208" s="60">
        <f t="shared" si="47"/>
        <v>2</v>
      </c>
      <c r="AB208" s="60">
        <f t="shared" si="48"/>
        <v>-2</v>
      </c>
      <c r="AC208" s="60">
        <f t="shared" si="49"/>
        <v>-2</v>
      </c>
      <c r="AD208" s="60">
        <f t="shared" si="50"/>
        <v>-2</v>
      </c>
      <c r="AE208" s="60">
        <f t="shared" si="51"/>
        <v>0</v>
      </c>
      <c r="AG208" s="60" cm="1">
        <f t="array" aca="1" ref="AG208" ca="1">SQRT(SUMSQ(_xlfn._xlws.FILTER(S208:AE208,ISNUMBER(S208:AE208)))/COUNT(_xlfn._xlws.FILTER(S208:AE208,ISNUMBER(S208:AE208))))</f>
        <v>7.7352009239148618</v>
      </c>
    </row>
    <row r="209" spans="3:33" x14ac:dyDescent="0.2">
      <c r="C209" s="60" t="s">
        <v>346</v>
      </c>
      <c r="D209" s="60">
        <v>0</v>
      </c>
      <c r="E209" s="60">
        <v>-3</v>
      </c>
      <c r="F209" s="60">
        <v>-7</v>
      </c>
      <c r="G209" s="60">
        <v>-10</v>
      </c>
      <c r="H209" s="60">
        <v>-14</v>
      </c>
      <c r="I209" s="60">
        <v>-17</v>
      </c>
      <c r="J209" s="60">
        <v>-20</v>
      </c>
      <c r="K209" s="60">
        <v>-24</v>
      </c>
      <c r="L209" s="60">
        <v>-7</v>
      </c>
      <c r="M209" s="60">
        <v>10</v>
      </c>
      <c r="N209" s="60">
        <v>7</v>
      </c>
      <c r="O209" s="60">
        <v>3</v>
      </c>
      <c r="P209" s="60">
        <v>0</v>
      </c>
      <c r="S209" s="60" t="e">
        <f t="shared" ca="1" si="39"/>
        <v>#REF!</v>
      </c>
      <c r="T209" s="60">
        <f t="shared" si="40"/>
        <v>3</v>
      </c>
      <c r="U209" s="60">
        <f t="shared" si="41"/>
        <v>7</v>
      </c>
      <c r="V209" s="60">
        <f t="shared" si="42"/>
        <v>10</v>
      </c>
      <c r="W209" s="60">
        <f t="shared" si="43"/>
        <v>14</v>
      </c>
      <c r="X209" s="60">
        <f t="shared" si="44"/>
        <v>17</v>
      </c>
      <c r="Y209" s="60">
        <f t="shared" si="45"/>
        <v>20</v>
      </c>
      <c r="Z209" s="60">
        <f t="shared" si="46"/>
        <v>24</v>
      </c>
      <c r="AA209" s="60">
        <f t="shared" si="47"/>
        <v>7</v>
      </c>
      <c r="AB209" s="60">
        <f t="shared" si="48"/>
        <v>-10</v>
      </c>
      <c r="AC209" s="60">
        <f t="shared" si="49"/>
        <v>-7</v>
      </c>
      <c r="AD209" s="60">
        <f t="shared" si="50"/>
        <v>-3</v>
      </c>
      <c r="AE209" s="60">
        <f t="shared" si="51"/>
        <v>0</v>
      </c>
      <c r="AG209" s="60" cm="1">
        <f t="array" aca="1" ref="AG209" ca="1">SQRT(SUMSQ(_xlfn._xlws.FILTER(S209:AE209,ISNUMBER(S209:AE209)))/COUNT(_xlfn._xlws.FILTER(S209:AE209,ISNUMBER(S209:AE209))))</f>
        <v>12.335585379975555</v>
      </c>
    </row>
    <row r="210" spans="3:33" x14ac:dyDescent="0.2">
      <c r="C210" s="60" t="s">
        <v>347</v>
      </c>
      <c r="D210" s="60">
        <v>0</v>
      </c>
      <c r="E210" s="60">
        <v>-2</v>
      </c>
      <c r="F210" s="60">
        <v>-4</v>
      </c>
      <c r="G210" s="60">
        <v>-6</v>
      </c>
      <c r="H210" s="60">
        <v>-8</v>
      </c>
      <c r="I210" s="60">
        <v>-10</v>
      </c>
      <c r="J210" s="60">
        <v>-10</v>
      </c>
      <c r="K210" s="60">
        <v>-14</v>
      </c>
      <c r="L210" s="60">
        <v>0</v>
      </c>
      <c r="M210" s="60">
        <v>6</v>
      </c>
      <c r="N210" s="60">
        <v>4</v>
      </c>
      <c r="O210" s="60">
        <v>2</v>
      </c>
      <c r="P210" s="60">
        <v>0</v>
      </c>
      <c r="S210" s="60" t="e">
        <f t="shared" ca="1" si="39"/>
        <v>#REF!</v>
      </c>
      <c r="T210" s="60">
        <f t="shared" si="40"/>
        <v>2</v>
      </c>
      <c r="U210" s="60">
        <f t="shared" si="41"/>
        <v>4</v>
      </c>
      <c r="V210" s="60">
        <f t="shared" si="42"/>
        <v>6</v>
      </c>
      <c r="W210" s="60">
        <f t="shared" si="43"/>
        <v>8</v>
      </c>
      <c r="X210" s="60">
        <f t="shared" si="44"/>
        <v>10</v>
      </c>
      <c r="Y210" s="60">
        <f t="shared" si="45"/>
        <v>10</v>
      </c>
      <c r="Z210" s="60">
        <f t="shared" si="46"/>
        <v>14</v>
      </c>
      <c r="AA210" s="60">
        <f t="shared" si="47"/>
        <v>0</v>
      </c>
      <c r="AB210" s="60">
        <f t="shared" si="48"/>
        <v>-6</v>
      </c>
      <c r="AC210" s="60">
        <f t="shared" si="49"/>
        <v>-4</v>
      </c>
      <c r="AD210" s="60">
        <f t="shared" si="50"/>
        <v>-2</v>
      </c>
      <c r="AE210" s="60">
        <f t="shared" si="51"/>
        <v>0</v>
      </c>
      <c r="AG210" s="60" cm="1">
        <f t="array" aca="1" ref="AG210" ca="1">SQRT(SUMSQ(_xlfn._xlws.FILTER(S210:AE210,ISNUMBER(S210:AE210)))/COUNT(_xlfn._xlws.FILTER(S210:AE210,ISNUMBER(S210:AE210))))</f>
        <v>6.9041050590693258</v>
      </c>
    </row>
    <row r="211" spans="3:33" x14ac:dyDescent="0.2">
      <c r="C211" s="60" t="s">
        <v>348</v>
      </c>
      <c r="D211" s="60">
        <v>0</v>
      </c>
      <c r="E211" s="60">
        <v>-2</v>
      </c>
      <c r="F211" s="60">
        <v>-4</v>
      </c>
      <c r="G211" s="60">
        <v>-6</v>
      </c>
      <c r="H211" s="60">
        <v>-8</v>
      </c>
      <c r="I211" s="60">
        <v>-10</v>
      </c>
      <c r="J211" s="60">
        <v>-12</v>
      </c>
      <c r="K211" s="60">
        <v>-15</v>
      </c>
      <c r="L211" s="60">
        <v>0</v>
      </c>
      <c r="M211" s="60">
        <v>6</v>
      </c>
      <c r="N211" s="60">
        <v>4</v>
      </c>
      <c r="O211" s="60">
        <v>2</v>
      </c>
      <c r="P211" s="60">
        <v>0</v>
      </c>
      <c r="S211" s="60" t="e">
        <f t="shared" ca="1" si="39"/>
        <v>#REF!</v>
      </c>
      <c r="T211" s="60">
        <f t="shared" si="40"/>
        <v>2</v>
      </c>
      <c r="U211" s="60">
        <f t="shared" si="41"/>
        <v>4</v>
      </c>
      <c r="V211" s="60">
        <f t="shared" si="42"/>
        <v>6</v>
      </c>
      <c r="W211" s="60">
        <f t="shared" si="43"/>
        <v>8</v>
      </c>
      <c r="X211" s="60">
        <f t="shared" si="44"/>
        <v>10</v>
      </c>
      <c r="Y211" s="60">
        <f t="shared" si="45"/>
        <v>12</v>
      </c>
      <c r="Z211" s="60">
        <f t="shared" si="46"/>
        <v>15</v>
      </c>
      <c r="AA211" s="60">
        <f t="shared" si="47"/>
        <v>0</v>
      </c>
      <c r="AB211" s="60">
        <f t="shared" si="48"/>
        <v>-6</v>
      </c>
      <c r="AC211" s="60">
        <f t="shared" si="49"/>
        <v>-4</v>
      </c>
      <c r="AD211" s="60">
        <f t="shared" si="50"/>
        <v>-2</v>
      </c>
      <c r="AE211" s="60">
        <f t="shared" si="51"/>
        <v>0</v>
      </c>
      <c r="AG211" s="60" cm="1">
        <f t="array" aca="1" ref="AG211" ca="1">SQRT(SUMSQ(_xlfn._xlws.FILTER(S211:AE211,ISNUMBER(S211:AE211)))/COUNT(_xlfn._xlws.FILTER(S211:AE211,ISNUMBER(S211:AE211))))</f>
        <v>7.3314391493075899</v>
      </c>
    </row>
    <row r="212" spans="3:33" x14ac:dyDescent="0.2">
      <c r="C212" s="60" t="s">
        <v>349</v>
      </c>
      <c r="D212" s="60">
        <v>0</v>
      </c>
      <c r="E212" s="60">
        <v>-2.077</v>
      </c>
      <c r="F212" s="60">
        <v>-4.1539999999999999</v>
      </c>
      <c r="G212" s="60">
        <v>-6.2309999999999999</v>
      </c>
      <c r="H212" s="60">
        <v>-8.3079999999999998</v>
      </c>
      <c r="I212" s="60">
        <v>-10.385</v>
      </c>
      <c r="J212" s="60">
        <v>-12.462</v>
      </c>
      <c r="K212" s="60">
        <v>-14.539</v>
      </c>
      <c r="L212" s="60">
        <v>0.24399999999999999</v>
      </c>
      <c r="M212" s="60">
        <v>6.2309999999999999</v>
      </c>
      <c r="N212" s="60">
        <v>4.1539999999999999</v>
      </c>
      <c r="O212" s="60">
        <v>2.077</v>
      </c>
      <c r="P212" s="60">
        <v>0</v>
      </c>
      <c r="S212" s="60" t="e">
        <f t="shared" ca="1" si="39"/>
        <v>#REF!</v>
      </c>
      <c r="T212" s="60">
        <f t="shared" si="40"/>
        <v>2.077</v>
      </c>
      <c r="U212" s="60">
        <f t="shared" si="41"/>
        <v>4.1539999999999999</v>
      </c>
      <c r="V212" s="60">
        <f t="shared" si="42"/>
        <v>6.2309999999999999</v>
      </c>
      <c r="W212" s="60">
        <f t="shared" si="43"/>
        <v>8.3079999999999998</v>
      </c>
      <c r="X212" s="60">
        <f t="shared" si="44"/>
        <v>10.385</v>
      </c>
      <c r="Y212" s="60">
        <f t="shared" si="45"/>
        <v>12.462</v>
      </c>
      <c r="Z212" s="60">
        <f t="shared" si="46"/>
        <v>14.539</v>
      </c>
      <c r="AA212" s="60">
        <f t="shared" si="47"/>
        <v>-0.24399999999999999</v>
      </c>
      <c r="AB212" s="60">
        <f t="shared" si="48"/>
        <v>-6.2309999999999999</v>
      </c>
      <c r="AC212" s="60">
        <f t="shared" si="49"/>
        <v>-4.1539999999999999</v>
      </c>
      <c r="AD212" s="60">
        <f t="shared" si="50"/>
        <v>-2.077</v>
      </c>
      <c r="AE212" s="60">
        <f t="shared" si="51"/>
        <v>0</v>
      </c>
      <c r="AG212" s="60" cm="1">
        <f t="array" aca="1" ref="AG212" ca="1">SQRT(SUMSQ(_xlfn._xlws.FILTER(S212:AE212,ISNUMBER(S212:AE212)))/COUNT(_xlfn._xlws.FILTER(S212:AE212,ISNUMBER(S212:AE212))))</f>
        <v>7.4409038541474697</v>
      </c>
    </row>
    <row r="213" spans="3:33" x14ac:dyDescent="0.2">
      <c r="C213" s="60" t="s">
        <v>350</v>
      </c>
      <c r="D213" s="60">
        <v>0</v>
      </c>
      <c r="E213" s="60">
        <v>-2</v>
      </c>
      <c r="F213" s="60">
        <v>-5</v>
      </c>
      <c r="G213" s="60">
        <v>-7</v>
      </c>
      <c r="H213" s="60">
        <v>-9</v>
      </c>
      <c r="I213" s="60">
        <v>-12</v>
      </c>
      <c r="J213" s="60">
        <v>-14</v>
      </c>
      <c r="K213" s="60">
        <v>-16</v>
      </c>
      <c r="L213" s="60">
        <v>1</v>
      </c>
      <c r="M213" s="60">
        <v>7</v>
      </c>
      <c r="N213" s="60">
        <v>5</v>
      </c>
      <c r="O213" s="60">
        <v>2</v>
      </c>
      <c r="P213" s="60">
        <v>0</v>
      </c>
      <c r="S213" s="60" t="e">
        <f t="shared" ca="1" si="39"/>
        <v>#REF!</v>
      </c>
      <c r="T213" s="60">
        <f t="shared" si="40"/>
        <v>2</v>
      </c>
      <c r="U213" s="60">
        <f t="shared" si="41"/>
        <v>5</v>
      </c>
      <c r="V213" s="60">
        <f t="shared" si="42"/>
        <v>7</v>
      </c>
      <c r="W213" s="60">
        <f t="shared" si="43"/>
        <v>9</v>
      </c>
      <c r="X213" s="60">
        <f t="shared" si="44"/>
        <v>12</v>
      </c>
      <c r="Y213" s="60">
        <f t="shared" si="45"/>
        <v>14</v>
      </c>
      <c r="Z213" s="60">
        <f t="shared" si="46"/>
        <v>16</v>
      </c>
      <c r="AA213" s="60">
        <f t="shared" si="47"/>
        <v>-1</v>
      </c>
      <c r="AB213" s="60">
        <f t="shared" si="48"/>
        <v>-7</v>
      </c>
      <c r="AC213" s="60">
        <f t="shared" si="49"/>
        <v>-5</v>
      </c>
      <c r="AD213" s="60">
        <f t="shared" si="50"/>
        <v>-2</v>
      </c>
      <c r="AE213" s="60">
        <f t="shared" si="51"/>
        <v>0</v>
      </c>
      <c r="AG213" s="60" cm="1">
        <f t="array" aca="1" ref="AG213" ca="1">SQRT(SUMSQ(_xlfn._xlws.FILTER(S213:AE213,ISNUMBER(S213:AE213)))/COUNT(_xlfn._xlws.FILTER(S213:AE213,ISNUMBER(S213:AE213))))</f>
        <v>8.3366660002665327</v>
      </c>
    </row>
    <row r="214" spans="3:33" x14ac:dyDescent="0.2">
      <c r="C214" s="60" t="s">
        <v>351</v>
      </c>
      <c r="D214" s="60">
        <v>0</v>
      </c>
      <c r="E214" s="60">
        <v>-2.3460000000000001</v>
      </c>
      <c r="F214" s="60">
        <v>-4.6920000000000002</v>
      </c>
      <c r="G214" s="60">
        <v>-7.0380000000000003</v>
      </c>
      <c r="H214" s="60">
        <v>-9.3840000000000003</v>
      </c>
      <c r="I214" s="60">
        <v>-11.73</v>
      </c>
      <c r="J214" s="60">
        <v>-14.076000000000001</v>
      </c>
      <c r="K214" s="60">
        <v>-16.422000000000001</v>
      </c>
      <c r="L214" s="60">
        <v>0.78200000000000003</v>
      </c>
      <c r="M214" s="60">
        <v>7.0380000000000003</v>
      </c>
      <c r="N214" s="60">
        <v>4.6920000000000002</v>
      </c>
      <c r="O214" s="60">
        <v>2.3460000000000001</v>
      </c>
      <c r="P214" s="60">
        <v>0</v>
      </c>
      <c r="S214" s="60" t="e">
        <f t="shared" ca="1" si="39"/>
        <v>#REF!</v>
      </c>
      <c r="T214" s="60">
        <f t="shared" si="40"/>
        <v>2.3460000000000001</v>
      </c>
      <c r="U214" s="60">
        <f t="shared" si="41"/>
        <v>4.6920000000000002</v>
      </c>
      <c r="V214" s="60">
        <f t="shared" si="42"/>
        <v>7.0380000000000003</v>
      </c>
      <c r="W214" s="60">
        <f t="shared" si="43"/>
        <v>9.3840000000000003</v>
      </c>
      <c r="X214" s="60">
        <f t="shared" si="44"/>
        <v>11.73</v>
      </c>
      <c r="Y214" s="60">
        <f t="shared" si="45"/>
        <v>14.076000000000001</v>
      </c>
      <c r="Z214" s="60">
        <f t="shared" si="46"/>
        <v>16.422000000000001</v>
      </c>
      <c r="AA214" s="60">
        <f t="shared" si="47"/>
        <v>-0.78200000000000003</v>
      </c>
      <c r="AB214" s="60">
        <f t="shared" si="48"/>
        <v>-7.0380000000000003</v>
      </c>
      <c r="AC214" s="60">
        <f t="shared" si="49"/>
        <v>-4.6920000000000002</v>
      </c>
      <c r="AD214" s="60">
        <f t="shared" si="50"/>
        <v>-2.3460000000000001</v>
      </c>
      <c r="AE214" s="60">
        <f t="shared" si="51"/>
        <v>0</v>
      </c>
      <c r="AG214" s="60" cm="1">
        <f t="array" aca="1" ref="AG214" ca="1">SQRT(SUMSQ(_xlfn._xlws.FILTER(S214:AE214,ISNUMBER(S214:AE214)))/COUNT(_xlfn._xlws.FILTER(S214:AE214,ISNUMBER(S214:AE214))))</f>
        <v>8.4072577177896335</v>
      </c>
    </row>
    <row r="215" spans="3:33" x14ac:dyDescent="0.2">
      <c r="C215" s="60" t="s">
        <v>352</v>
      </c>
      <c r="D215" s="60">
        <v>0</v>
      </c>
      <c r="E215" s="60">
        <v>-2</v>
      </c>
      <c r="F215" s="60">
        <v>-5</v>
      </c>
      <c r="G215" s="60">
        <v>-7</v>
      </c>
      <c r="H215" s="60">
        <v>-9</v>
      </c>
      <c r="I215" s="60">
        <v>-12</v>
      </c>
      <c r="J215" s="60">
        <v>-12</v>
      </c>
      <c r="K215" s="60">
        <v>-12</v>
      </c>
      <c r="L215" s="60">
        <v>-3</v>
      </c>
      <c r="M215" s="60">
        <v>3</v>
      </c>
      <c r="N215" s="60">
        <v>3</v>
      </c>
      <c r="O215" s="60">
        <v>3</v>
      </c>
      <c r="P215" s="60">
        <v>0</v>
      </c>
      <c r="S215" s="60" t="e">
        <f t="shared" ca="1" si="39"/>
        <v>#REF!</v>
      </c>
      <c r="T215" s="60">
        <f t="shared" si="40"/>
        <v>2</v>
      </c>
      <c r="U215" s="60">
        <f t="shared" si="41"/>
        <v>5</v>
      </c>
      <c r="V215" s="60">
        <f t="shared" si="42"/>
        <v>7</v>
      </c>
      <c r="W215" s="60">
        <f t="shared" si="43"/>
        <v>9</v>
      </c>
      <c r="X215" s="60">
        <f t="shared" si="44"/>
        <v>12</v>
      </c>
      <c r="Y215" s="60">
        <f t="shared" si="45"/>
        <v>12</v>
      </c>
      <c r="Z215" s="60">
        <f t="shared" si="46"/>
        <v>12</v>
      </c>
      <c r="AA215" s="60">
        <f t="shared" si="47"/>
        <v>3</v>
      </c>
      <c r="AB215" s="60">
        <f t="shared" si="48"/>
        <v>-3</v>
      </c>
      <c r="AC215" s="60">
        <f t="shared" si="49"/>
        <v>-3</v>
      </c>
      <c r="AD215" s="60">
        <f t="shared" si="50"/>
        <v>-3</v>
      </c>
      <c r="AE215" s="60">
        <f t="shared" si="51"/>
        <v>0</v>
      </c>
      <c r="AG215" s="60" cm="1">
        <f t="array" aca="1" ref="AG215" ca="1">SQRT(SUMSQ(_xlfn._xlws.FILTER(S215:AE215,ISNUMBER(S215:AE215)))/COUNT(_xlfn._xlws.FILTER(S215:AE215,ISNUMBER(S215:AE215))))</f>
        <v>7.2284161474004804</v>
      </c>
    </row>
    <row r="216" spans="3:33" x14ac:dyDescent="0.2">
      <c r="C216" s="60" t="s">
        <v>353</v>
      </c>
      <c r="D216" s="60">
        <v>0</v>
      </c>
      <c r="E216" s="60">
        <v>-2</v>
      </c>
      <c r="F216" s="60">
        <v>-4</v>
      </c>
      <c r="G216" s="60">
        <v>-6</v>
      </c>
      <c r="H216" s="60">
        <v>-8</v>
      </c>
      <c r="I216" s="60">
        <v>-10</v>
      </c>
      <c r="J216" s="60">
        <v>-10</v>
      </c>
      <c r="K216" s="60">
        <v>-12</v>
      </c>
      <c r="L216" s="60">
        <v>0</v>
      </c>
      <c r="M216" s="60">
        <v>4</v>
      </c>
      <c r="N216" s="60">
        <v>2</v>
      </c>
      <c r="O216" s="60">
        <v>2</v>
      </c>
      <c r="P216" s="60">
        <v>0</v>
      </c>
      <c r="S216" s="60" t="e">
        <f t="shared" ca="1" si="39"/>
        <v>#REF!</v>
      </c>
      <c r="T216" s="60">
        <f t="shared" si="40"/>
        <v>2</v>
      </c>
      <c r="U216" s="60">
        <f t="shared" si="41"/>
        <v>4</v>
      </c>
      <c r="V216" s="60">
        <f t="shared" si="42"/>
        <v>6</v>
      </c>
      <c r="W216" s="60">
        <f t="shared" si="43"/>
        <v>8</v>
      </c>
      <c r="X216" s="60">
        <f t="shared" si="44"/>
        <v>10</v>
      </c>
      <c r="Y216" s="60">
        <f t="shared" si="45"/>
        <v>10</v>
      </c>
      <c r="Z216" s="60">
        <f t="shared" si="46"/>
        <v>12</v>
      </c>
      <c r="AA216" s="60">
        <f t="shared" si="47"/>
        <v>0</v>
      </c>
      <c r="AB216" s="60">
        <f t="shared" si="48"/>
        <v>-4</v>
      </c>
      <c r="AC216" s="60">
        <f t="shared" si="49"/>
        <v>-2</v>
      </c>
      <c r="AD216" s="60">
        <f t="shared" si="50"/>
        <v>-2</v>
      </c>
      <c r="AE216" s="60">
        <f t="shared" si="51"/>
        <v>0</v>
      </c>
      <c r="AG216" s="60" cm="1">
        <f t="array" aca="1" ref="AG216" ca="1">SQRT(SUMSQ(_xlfn._xlws.FILTER(S216:AE216,ISNUMBER(S216:AE216)))/COUNT(_xlfn._xlws.FILTER(S216:AE216,ISNUMBER(S216:AE216))))</f>
        <v>6.3770421565696633</v>
      </c>
    </row>
    <row r="217" spans="3:33" x14ac:dyDescent="0.2">
      <c r="C217" s="60" t="s">
        <v>354</v>
      </c>
      <c r="D217" s="60">
        <v>0</v>
      </c>
      <c r="E217" s="60">
        <v>-3</v>
      </c>
      <c r="F217" s="60">
        <v>-5</v>
      </c>
      <c r="G217" s="60">
        <v>-8</v>
      </c>
      <c r="H217" s="60">
        <v>-10</v>
      </c>
      <c r="I217" s="60">
        <v>-13</v>
      </c>
      <c r="J217" s="60">
        <v>-13</v>
      </c>
      <c r="K217" s="60">
        <v>-13</v>
      </c>
      <c r="L217" s="60">
        <v>-2</v>
      </c>
      <c r="M217" s="60">
        <v>2</v>
      </c>
      <c r="N217" s="60">
        <v>2</v>
      </c>
      <c r="O217" s="60">
        <v>2</v>
      </c>
      <c r="P217" s="60">
        <v>0</v>
      </c>
      <c r="S217" s="60" t="e">
        <f t="shared" ca="1" si="39"/>
        <v>#REF!</v>
      </c>
      <c r="T217" s="60">
        <f t="shared" si="40"/>
        <v>3</v>
      </c>
      <c r="U217" s="60">
        <f t="shared" si="41"/>
        <v>5</v>
      </c>
      <c r="V217" s="60">
        <f t="shared" si="42"/>
        <v>8</v>
      </c>
      <c r="W217" s="60">
        <f t="shared" si="43"/>
        <v>10</v>
      </c>
      <c r="X217" s="60">
        <f t="shared" si="44"/>
        <v>13</v>
      </c>
      <c r="Y217" s="60">
        <f t="shared" si="45"/>
        <v>13</v>
      </c>
      <c r="Z217" s="60">
        <f t="shared" si="46"/>
        <v>13</v>
      </c>
      <c r="AA217" s="60">
        <f t="shared" si="47"/>
        <v>2</v>
      </c>
      <c r="AB217" s="60">
        <f t="shared" si="48"/>
        <v>-2</v>
      </c>
      <c r="AC217" s="60">
        <f t="shared" si="49"/>
        <v>-2</v>
      </c>
      <c r="AD217" s="60">
        <f t="shared" si="50"/>
        <v>-2</v>
      </c>
      <c r="AE217" s="60">
        <f t="shared" si="51"/>
        <v>0</v>
      </c>
      <c r="AG217" s="60" cm="1">
        <f t="array" aca="1" ref="AG217" ca="1">SQRT(SUMSQ(_xlfn._xlws.FILTER(S217:AE217,ISNUMBER(S217:AE217)))/COUNT(_xlfn._xlws.FILTER(S217:AE217,ISNUMBER(S217:AE217))))</f>
        <v>7.7513439694889898</v>
      </c>
    </row>
    <row r="218" spans="3:33" x14ac:dyDescent="0.2">
      <c r="C218" s="60" t="s">
        <v>355</v>
      </c>
      <c r="D218" s="60">
        <v>0</v>
      </c>
      <c r="E218" s="60">
        <v>-2</v>
      </c>
      <c r="F218" s="60">
        <v>-5</v>
      </c>
      <c r="G218" s="60">
        <v>-7</v>
      </c>
      <c r="H218" s="60">
        <v>-9</v>
      </c>
      <c r="I218" s="60">
        <v>-11</v>
      </c>
      <c r="J218" s="60">
        <v>-12</v>
      </c>
      <c r="K218" s="60">
        <v>-14</v>
      </c>
      <c r="L218" s="60">
        <v>-17</v>
      </c>
      <c r="M218" s="60">
        <v>2</v>
      </c>
      <c r="N218" s="60">
        <v>5</v>
      </c>
      <c r="O218" s="60">
        <v>2</v>
      </c>
      <c r="P218" s="60">
        <v>0</v>
      </c>
      <c r="S218" s="60" t="e">
        <f t="shared" ca="1" si="39"/>
        <v>#REF!</v>
      </c>
      <c r="T218" s="60">
        <f t="shared" si="40"/>
        <v>2</v>
      </c>
      <c r="U218" s="60">
        <f t="shared" si="41"/>
        <v>5</v>
      </c>
      <c r="V218" s="60">
        <f t="shared" si="42"/>
        <v>7</v>
      </c>
      <c r="W218" s="60">
        <f t="shared" si="43"/>
        <v>9</v>
      </c>
      <c r="X218" s="60">
        <f t="shared" si="44"/>
        <v>11</v>
      </c>
      <c r="Y218" s="60">
        <f t="shared" si="45"/>
        <v>12</v>
      </c>
      <c r="Z218" s="60">
        <f t="shared" si="46"/>
        <v>14</v>
      </c>
      <c r="AA218" s="60">
        <f t="shared" si="47"/>
        <v>17</v>
      </c>
      <c r="AB218" s="60">
        <f t="shared" si="48"/>
        <v>-2</v>
      </c>
      <c r="AC218" s="60">
        <f t="shared" si="49"/>
        <v>-5</v>
      </c>
      <c r="AD218" s="60">
        <f t="shared" si="50"/>
        <v>-2</v>
      </c>
      <c r="AE218" s="60">
        <f t="shared" si="51"/>
        <v>0</v>
      </c>
      <c r="AG218" s="60" cm="1">
        <f t="array" aca="1" ref="AG218" ca="1">SQRT(SUMSQ(_xlfn._xlws.FILTER(S218:AE218,ISNUMBER(S218:AE218)))/COUNT(_xlfn._xlws.FILTER(S218:AE218,ISNUMBER(S218:AE218))))</f>
        <v>8.8600225733346747</v>
      </c>
    </row>
    <row r="219" spans="3:33" x14ac:dyDescent="0.2">
      <c r="C219" s="60" t="s">
        <v>356</v>
      </c>
      <c r="D219" s="60">
        <v>0</v>
      </c>
      <c r="E219" s="60">
        <v>-3</v>
      </c>
      <c r="F219" s="60">
        <v>-7</v>
      </c>
      <c r="G219" s="60">
        <v>-10</v>
      </c>
      <c r="H219" s="60">
        <v>-11</v>
      </c>
      <c r="I219" s="60">
        <v>-14</v>
      </c>
      <c r="J219" s="60">
        <v>-18</v>
      </c>
      <c r="K219" s="60">
        <v>-21</v>
      </c>
      <c r="L219" s="60">
        <v>-24</v>
      </c>
      <c r="M219" s="60">
        <v>10</v>
      </c>
      <c r="N219" s="60">
        <v>7</v>
      </c>
      <c r="O219" s="60">
        <v>3</v>
      </c>
      <c r="P219" s="60">
        <v>0</v>
      </c>
      <c r="S219" s="60" t="e">
        <f t="shared" ca="1" si="39"/>
        <v>#REF!</v>
      </c>
      <c r="T219" s="60">
        <f t="shared" si="40"/>
        <v>3</v>
      </c>
      <c r="U219" s="60">
        <f t="shared" si="41"/>
        <v>7</v>
      </c>
      <c r="V219" s="60">
        <f t="shared" si="42"/>
        <v>10</v>
      </c>
      <c r="W219" s="60">
        <f t="shared" si="43"/>
        <v>11</v>
      </c>
      <c r="X219" s="60">
        <f t="shared" si="44"/>
        <v>14</v>
      </c>
      <c r="Y219" s="60">
        <f t="shared" si="45"/>
        <v>18</v>
      </c>
      <c r="Z219" s="60">
        <f t="shared" si="46"/>
        <v>21</v>
      </c>
      <c r="AA219" s="60">
        <f t="shared" si="47"/>
        <v>24</v>
      </c>
      <c r="AB219" s="60">
        <f t="shared" si="48"/>
        <v>-10</v>
      </c>
      <c r="AC219" s="60">
        <f t="shared" si="49"/>
        <v>-7</v>
      </c>
      <c r="AD219" s="60">
        <f t="shared" si="50"/>
        <v>-3</v>
      </c>
      <c r="AE219" s="60">
        <f t="shared" si="51"/>
        <v>0</v>
      </c>
      <c r="AG219" s="60" cm="1">
        <f t="array" aca="1" ref="AG219" ca="1">SQRT(SUMSQ(_xlfn._xlws.FILTER(S219:AE219,ISNUMBER(S219:AE219)))/COUNT(_xlfn._xlws.FILTER(S219:AE219,ISNUMBER(S219:AE219))))</f>
        <v>12.82575533838066</v>
      </c>
    </row>
    <row r="220" spans="3:33" x14ac:dyDescent="0.2">
      <c r="C220" s="60" t="s">
        <v>357</v>
      </c>
      <c r="D220" s="60">
        <v>0</v>
      </c>
      <c r="E220" s="60">
        <v>-3.4470000000000001</v>
      </c>
      <c r="F220" s="60">
        <v>-6.8940000000000001</v>
      </c>
      <c r="G220" s="60">
        <v>-10.340999999999999</v>
      </c>
      <c r="H220" s="60">
        <v>-10.654999999999999</v>
      </c>
      <c r="I220" s="60">
        <v>-14.102</v>
      </c>
      <c r="J220" s="60">
        <v>-17.548999999999999</v>
      </c>
      <c r="K220" s="60">
        <v>-20.995999999999999</v>
      </c>
      <c r="L220" s="60">
        <v>-24.443000000000001</v>
      </c>
      <c r="M220" s="60">
        <v>10.340999999999999</v>
      </c>
      <c r="N220" s="60">
        <v>6.8940000000000001</v>
      </c>
      <c r="O220" s="60">
        <v>3.4470000000000001</v>
      </c>
      <c r="P220" s="60">
        <v>0</v>
      </c>
      <c r="S220" s="60" t="e">
        <f t="shared" ca="1" si="39"/>
        <v>#REF!</v>
      </c>
      <c r="T220" s="60">
        <f t="shared" si="40"/>
        <v>3.4470000000000001</v>
      </c>
      <c r="U220" s="60">
        <f t="shared" si="41"/>
        <v>6.8940000000000001</v>
      </c>
      <c r="V220" s="60">
        <f t="shared" si="42"/>
        <v>10.340999999999999</v>
      </c>
      <c r="W220" s="60">
        <f t="shared" si="43"/>
        <v>10.654999999999999</v>
      </c>
      <c r="X220" s="60">
        <f t="shared" si="44"/>
        <v>14.102</v>
      </c>
      <c r="Y220" s="60">
        <f t="shared" si="45"/>
        <v>17.548999999999999</v>
      </c>
      <c r="Z220" s="60">
        <f t="shared" si="46"/>
        <v>20.995999999999999</v>
      </c>
      <c r="AA220" s="60">
        <f t="shared" si="47"/>
        <v>24.443000000000001</v>
      </c>
      <c r="AB220" s="60">
        <f t="shared" si="48"/>
        <v>-10.340999999999999</v>
      </c>
      <c r="AC220" s="60">
        <f t="shared" si="49"/>
        <v>-6.8940000000000001</v>
      </c>
      <c r="AD220" s="60">
        <f t="shared" si="50"/>
        <v>-3.4470000000000001</v>
      </c>
      <c r="AE220" s="60">
        <f t="shared" si="51"/>
        <v>0</v>
      </c>
      <c r="AG220" s="60" cm="1">
        <f t="array" aca="1" ref="AG220" ca="1">SQRT(SUMSQ(_xlfn._xlws.FILTER(S220:AE220,ISNUMBER(S220:AE220)))/COUNT(_xlfn._xlws.FILTER(S220:AE220,ISNUMBER(S220:AE220))))</f>
        <v>12.881982724591222</v>
      </c>
    </row>
    <row r="221" spans="3:33" x14ac:dyDescent="0.2">
      <c r="C221" s="60" t="s">
        <v>358</v>
      </c>
      <c r="D221" s="60">
        <v>0</v>
      </c>
      <c r="E221" s="60">
        <v>-4</v>
      </c>
      <c r="F221" s="60">
        <v>-6</v>
      </c>
      <c r="G221" s="60">
        <v>-10</v>
      </c>
      <c r="H221" s="60">
        <v>-12</v>
      </c>
      <c r="I221" s="60">
        <v>-15</v>
      </c>
      <c r="J221" s="60">
        <v>-19</v>
      </c>
      <c r="K221" s="60">
        <v>-19</v>
      </c>
      <c r="L221" s="60">
        <v>-25</v>
      </c>
      <c r="M221" s="60">
        <v>8</v>
      </c>
      <c r="N221" s="60">
        <v>5</v>
      </c>
      <c r="O221" s="60">
        <v>1</v>
      </c>
      <c r="P221" s="60">
        <v>0</v>
      </c>
      <c r="S221" s="60" t="e">
        <f t="shared" ca="1" si="39"/>
        <v>#REF!</v>
      </c>
      <c r="T221" s="60">
        <f t="shared" si="40"/>
        <v>4</v>
      </c>
      <c r="U221" s="60">
        <f t="shared" si="41"/>
        <v>6</v>
      </c>
      <c r="V221" s="60">
        <f t="shared" si="42"/>
        <v>10</v>
      </c>
      <c r="W221" s="60">
        <f t="shared" si="43"/>
        <v>12</v>
      </c>
      <c r="X221" s="60">
        <f t="shared" si="44"/>
        <v>15</v>
      </c>
      <c r="Y221" s="60">
        <f t="shared" si="45"/>
        <v>19</v>
      </c>
      <c r="Z221" s="60">
        <f t="shared" si="46"/>
        <v>19</v>
      </c>
      <c r="AA221" s="60">
        <f t="shared" si="47"/>
        <v>25</v>
      </c>
      <c r="AB221" s="60">
        <f t="shared" si="48"/>
        <v>-8</v>
      </c>
      <c r="AC221" s="60">
        <f t="shared" si="49"/>
        <v>-5</v>
      </c>
      <c r="AD221" s="60">
        <f t="shared" si="50"/>
        <v>-1</v>
      </c>
      <c r="AE221" s="60">
        <f t="shared" si="51"/>
        <v>0</v>
      </c>
      <c r="AG221" s="60" cm="1">
        <f t="array" aca="1" ref="AG221" ca="1">SQRT(SUMSQ(_xlfn._xlws.FILTER(S221:AE221,ISNUMBER(S221:AE221)))/COUNT(_xlfn._xlws.FILTER(S221:AE221,ISNUMBER(S221:AE221))))</f>
        <v>12.773670837573146</v>
      </c>
    </row>
    <row r="222" spans="3:33" x14ac:dyDescent="0.2">
      <c r="C222" s="60" t="s">
        <v>359</v>
      </c>
      <c r="D222" s="60">
        <v>0</v>
      </c>
      <c r="E222" s="60">
        <v>-4.0419999999999998</v>
      </c>
      <c r="F222" s="60">
        <v>-5.9279999999999999</v>
      </c>
      <c r="G222" s="60">
        <v>-10.202</v>
      </c>
      <c r="H222" s="60">
        <v>-11.648</v>
      </c>
      <c r="I222" s="60">
        <v>-14.521000000000001</v>
      </c>
      <c r="J222" s="60">
        <v>-18.776</v>
      </c>
      <c r="K222" s="60">
        <v>-19.218</v>
      </c>
      <c r="L222" s="60">
        <v>-24.664999999999999</v>
      </c>
      <c r="M222" s="60">
        <v>8.1080000000000005</v>
      </c>
      <c r="N222" s="60">
        <v>5.4539999999999997</v>
      </c>
      <c r="O222" s="60">
        <v>0.90600000000000003</v>
      </c>
      <c r="P222" s="60">
        <v>0</v>
      </c>
      <c r="S222" s="60" t="e">
        <f t="shared" ca="1" si="39"/>
        <v>#REF!</v>
      </c>
      <c r="T222" s="60">
        <f t="shared" si="40"/>
        <v>4.0419999999999998</v>
      </c>
      <c r="U222" s="60">
        <f t="shared" si="41"/>
        <v>5.9279999999999999</v>
      </c>
      <c r="V222" s="60">
        <f t="shared" si="42"/>
        <v>10.202</v>
      </c>
      <c r="W222" s="60">
        <f t="shared" si="43"/>
        <v>11.648</v>
      </c>
      <c r="X222" s="60">
        <f t="shared" si="44"/>
        <v>14.521000000000001</v>
      </c>
      <c r="Y222" s="60">
        <f t="shared" si="45"/>
        <v>18.776</v>
      </c>
      <c r="Z222" s="60">
        <f t="shared" si="46"/>
        <v>19.218</v>
      </c>
      <c r="AA222" s="60">
        <f t="shared" si="47"/>
        <v>24.664999999999999</v>
      </c>
      <c r="AB222" s="60">
        <f t="shared" si="48"/>
        <v>-8.1080000000000005</v>
      </c>
      <c r="AC222" s="60">
        <f t="shared" si="49"/>
        <v>-5.4539999999999997</v>
      </c>
      <c r="AD222" s="60">
        <f t="shared" si="50"/>
        <v>-0.90600000000000003</v>
      </c>
      <c r="AE222" s="60">
        <f t="shared" si="51"/>
        <v>0</v>
      </c>
      <c r="AG222" s="60" cm="1">
        <f t="array" aca="1" ref="AG222" ca="1">SQRT(SUMSQ(_xlfn._xlws.FILTER(S222:AE222,ISNUMBER(S222:AE222)))/COUNT(_xlfn._xlws.FILTER(S222:AE222,ISNUMBER(S222:AE222))))</f>
        <v>12.677518283691542</v>
      </c>
    </row>
    <row r="223" spans="3:33" x14ac:dyDescent="0.2">
      <c r="C223" s="60" t="s">
        <v>360</v>
      </c>
      <c r="D223" s="60">
        <v>0</v>
      </c>
      <c r="E223" s="60">
        <v>-3</v>
      </c>
      <c r="F223" s="60">
        <v>-6</v>
      </c>
      <c r="G223" s="60">
        <v>-8</v>
      </c>
      <c r="H223" s="60">
        <v>-11</v>
      </c>
      <c r="I223" s="60">
        <v>-14</v>
      </c>
      <c r="J223" s="60">
        <v>-17</v>
      </c>
      <c r="K223" s="60">
        <v>-20</v>
      </c>
      <c r="L223" s="60">
        <v>-23</v>
      </c>
      <c r="M223" s="60">
        <v>8</v>
      </c>
      <c r="N223" s="60">
        <v>6</v>
      </c>
      <c r="O223" s="60">
        <v>3</v>
      </c>
      <c r="P223" s="60">
        <v>0</v>
      </c>
      <c r="S223" s="60" t="e">
        <f t="shared" ca="1" si="39"/>
        <v>#REF!</v>
      </c>
      <c r="T223" s="60">
        <f t="shared" si="40"/>
        <v>3</v>
      </c>
      <c r="U223" s="60">
        <f t="shared" si="41"/>
        <v>6</v>
      </c>
      <c r="V223" s="60">
        <f t="shared" si="42"/>
        <v>8</v>
      </c>
      <c r="W223" s="60">
        <f t="shared" si="43"/>
        <v>11</v>
      </c>
      <c r="X223" s="60">
        <f t="shared" si="44"/>
        <v>14</v>
      </c>
      <c r="Y223" s="60">
        <f t="shared" si="45"/>
        <v>17</v>
      </c>
      <c r="Z223" s="60">
        <f t="shared" si="46"/>
        <v>20</v>
      </c>
      <c r="AA223" s="60">
        <f t="shared" si="47"/>
        <v>23</v>
      </c>
      <c r="AB223" s="60">
        <f t="shared" si="48"/>
        <v>-8</v>
      </c>
      <c r="AC223" s="60">
        <f t="shared" si="49"/>
        <v>-6</v>
      </c>
      <c r="AD223" s="60">
        <f t="shared" si="50"/>
        <v>-3</v>
      </c>
      <c r="AE223" s="60">
        <f t="shared" si="51"/>
        <v>0</v>
      </c>
      <c r="AG223" s="60" cm="1">
        <f t="array" aca="1" ref="AG223" ca="1">SQRT(SUMSQ(_xlfn._xlws.FILTER(S223:AE223,ISNUMBER(S223:AE223)))/COUNT(_xlfn._xlws.FILTER(S223:AE223,ISNUMBER(S223:AE223))))</f>
        <v>12.086493839543929</v>
      </c>
    </row>
    <row r="224" spans="3:33" x14ac:dyDescent="0.2">
      <c r="C224" s="60" t="s">
        <v>361</v>
      </c>
      <c r="D224" s="60">
        <v>0</v>
      </c>
      <c r="E224" s="60">
        <v>-2.8239999999999998</v>
      </c>
      <c r="F224" s="60">
        <v>-5.6479999999999997</v>
      </c>
      <c r="G224" s="60">
        <v>-8.4719999999999995</v>
      </c>
      <c r="H224" s="60">
        <v>-11.297000000000001</v>
      </c>
      <c r="I224" s="60">
        <v>-14.121</v>
      </c>
      <c r="J224" s="60">
        <v>-16.945</v>
      </c>
      <c r="K224" s="60">
        <v>-19.768999999999998</v>
      </c>
      <c r="L224" s="60">
        <v>-22.593</v>
      </c>
      <c r="M224" s="60">
        <v>8.4719999999999995</v>
      </c>
      <c r="N224" s="60">
        <v>5.6479999999999997</v>
      </c>
      <c r="O224" s="60">
        <v>2.8239999999999998</v>
      </c>
      <c r="P224" s="60">
        <v>0</v>
      </c>
      <c r="S224" s="60" t="e">
        <f t="shared" ca="1" si="39"/>
        <v>#REF!</v>
      </c>
      <c r="T224" s="60">
        <f t="shared" si="40"/>
        <v>2.8239999999999998</v>
      </c>
      <c r="U224" s="60">
        <f t="shared" si="41"/>
        <v>5.6479999999999997</v>
      </c>
      <c r="V224" s="60">
        <f t="shared" si="42"/>
        <v>8.4719999999999995</v>
      </c>
      <c r="W224" s="60">
        <f t="shared" si="43"/>
        <v>11.297000000000001</v>
      </c>
      <c r="X224" s="60">
        <f t="shared" si="44"/>
        <v>14.121</v>
      </c>
      <c r="Y224" s="60">
        <f t="shared" si="45"/>
        <v>16.945</v>
      </c>
      <c r="Z224" s="60">
        <f t="shared" si="46"/>
        <v>19.768999999999998</v>
      </c>
      <c r="AA224" s="60">
        <f t="shared" si="47"/>
        <v>22.593</v>
      </c>
      <c r="AB224" s="60">
        <f t="shared" si="48"/>
        <v>-8.4719999999999995</v>
      </c>
      <c r="AC224" s="60">
        <f t="shared" si="49"/>
        <v>-5.6479999999999997</v>
      </c>
      <c r="AD224" s="60">
        <f t="shared" si="50"/>
        <v>-2.8239999999999998</v>
      </c>
      <c r="AE224" s="60">
        <f t="shared" si="51"/>
        <v>0</v>
      </c>
      <c r="AG224" s="60" cm="1">
        <f t="array" aca="1" ref="AG224" ca="1">SQRT(SUMSQ(_xlfn._xlws.FILTER(S224:AE224,ISNUMBER(S224:AE224)))/COUNT(_xlfn._xlws.FILTER(S224:AE224,ISNUMBER(S224:AE224))))</f>
        <v>12.037144639960648</v>
      </c>
    </row>
    <row r="225" spans="3:33" x14ac:dyDescent="0.2">
      <c r="C225" s="60" t="s">
        <v>498</v>
      </c>
      <c r="D225" s="60">
        <v>0</v>
      </c>
      <c r="E225" s="60">
        <v>0</v>
      </c>
      <c r="F225" s="60">
        <v>1</v>
      </c>
      <c r="G225" s="60">
        <v>1</v>
      </c>
      <c r="H225" s="60">
        <v>0</v>
      </c>
      <c r="I225" s="60">
        <v>-1</v>
      </c>
      <c r="J225" s="60">
        <v>0</v>
      </c>
      <c r="K225" s="60">
        <v>1</v>
      </c>
      <c r="L225" s="60">
        <v>1</v>
      </c>
      <c r="M225" s="60">
        <v>1</v>
      </c>
      <c r="N225" s="60">
        <v>1</v>
      </c>
      <c r="O225" s="60">
        <v>-1</v>
      </c>
      <c r="P225" s="60">
        <v>0</v>
      </c>
      <c r="S225" s="60" t="e">
        <f t="shared" ca="1" si="39"/>
        <v>#REF!</v>
      </c>
      <c r="T225" s="60">
        <f t="shared" si="40"/>
        <v>0</v>
      </c>
      <c r="U225" s="60">
        <f t="shared" si="41"/>
        <v>-1</v>
      </c>
      <c r="V225" s="60">
        <f t="shared" si="42"/>
        <v>-1</v>
      </c>
      <c r="W225" s="60">
        <f t="shared" si="43"/>
        <v>0</v>
      </c>
      <c r="X225" s="60">
        <f t="shared" si="44"/>
        <v>1</v>
      </c>
      <c r="Y225" s="60">
        <f t="shared" si="45"/>
        <v>0</v>
      </c>
      <c r="Z225" s="60">
        <f t="shared" si="46"/>
        <v>-1</v>
      </c>
      <c r="AA225" s="60">
        <f t="shared" si="47"/>
        <v>-1</v>
      </c>
      <c r="AB225" s="60">
        <f t="shared" si="48"/>
        <v>-1</v>
      </c>
      <c r="AC225" s="60">
        <f t="shared" si="49"/>
        <v>-1</v>
      </c>
      <c r="AD225" s="60">
        <f t="shared" si="50"/>
        <v>1</v>
      </c>
      <c r="AE225" s="60">
        <f t="shared" si="51"/>
        <v>0</v>
      </c>
      <c r="AG225" s="60" cm="1">
        <f t="array" aca="1" ref="AG225" ca="1">SQRT(SUMSQ(_xlfn._xlws.FILTER(S225:AE225,ISNUMBER(S225:AE225)))/COUNT(_xlfn._xlws.FILTER(S225:AE225,ISNUMBER(S225:AE225))))</f>
        <v>0.81649658092772603</v>
      </c>
    </row>
    <row r="226" spans="3:33" x14ac:dyDescent="0.2">
      <c r="C226" s="60" t="s">
        <v>362</v>
      </c>
      <c r="D226" s="60">
        <v>0</v>
      </c>
      <c r="E226" s="60">
        <v>-1</v>
      </c>
      <c r="F226" s="60">
        <v>-3</v>
      </c>
      <c r="G226" s="60">
        <v>-4</v>
      </c>
      <c r="H226" s="60">
        <v>-6</v>
      </c>
      <c r="I226" s="60">
        <v>-7</v>
      </c>
      <c r="J226" s="60">
        <v>-5</v>
      </c>
      <c r="K226" s="60">
        <v>-7</v>
      </c>
      <c r="L226" s="60">
        <v>-5</v>
      </c>
      <c r="M226" s="60">
        <v>-3</v>
      </c>
      <c r="N226" s="60">
        <v>-1</v>
      </c>
      <c r="O226" s="60">
        <v>1</v>
      </c>
      <c r="P226" s="60">
        <v>0</v>
      </c>
      <c r="S226" s="60" t="e">
        <f t="shared" ca="1" si="39"/>
        <v>#REF!</v>
      </c>
      <c r="T226" s="60">
        <f t="shared" si="40"/>
        <v>1</v>
      </c>
      <c r="U226" s="60">
        <f t="shared" si="41"/>
        <v>3</v>
      </c>
      <c r="V226" s="60">
        <f t="shared" si="42"/>
        <v>4</v>
      </c>
      <c r="W226" s="60">
        <f t="shared" si="43"/>
        <v>6</v>
      </c>
      <c r="X226" s="60">
        <f t="shared" si="44"/>
        <v>7</v>
      </c>
      <c r="Y226" s="60">
        <f t="shared" si="45"/>
        <v>5</v>
      </c>
      <c r="Z226" s="60">
        <f t="shared" si="46"/>
        <v>7</v>
      </c>
      <c r="AA226" s="60">
        <f t="shared" si="47"/>
        <v>5</v>
      </c>
      <c r="AB226" s="60">
        <f t="shared" si="48"/>
        <v>3</v>
      </c>
      <c r="AC226" s="60">
        <f t="shared" si="49"/>
        <v>1</v>
      </c>
      <c r="AD226" s="60">
        <f t="shared" si="50"/>
        <v>-1</v>
      </c>
      <c r="AE226" s="60">
        <f t="shared" si="51"/>
        <v>0</v>
      </c>
      <c r="AG226" s="60" cm="1">
        <f t="array" aca="1" ref="AG226" ca="1">SQRT(SUMSQ(_xlfn._xlws.FILTER(S226:AE226,ISNUMBER(S226:AE226)))/COUNT(_xlfn._xlws.FILTER(S226:AE226,ISNUMBER(S226:AE226))))</f>
        <v>4.2914643965279113</v>
      </c>
    </row>
    <row r="227" spans="3:33" x14ac:dyDescent="0.2">
      <c r="C227" s="60" t="s">
        <v>363</v>
      </c>
      <c r="D227" s="60">
        <v>0</v>
      </c>
      <c r="E227" s="60">
        <v>-1.3959999999999999</v>
      </c>
      <c r="F227" s="60">
        <v>-2.7930000000000001</v>
      </c>
      <c r="G227" s="60">
        <v>-4.1890000000000001</v>
      </c>
      <c r="H227" s="60">
        <v>-5.5860000000000003</v>
      </c>
      <c r="I227" s="60">
        <v>-6.9820000000000002</v>
      </c>
      <c r="J227" s="60">
        <v>-5.0270000000000001</v>
      </c>
      <c r="K227" s="60">
        <v>-6.4240000000000004</v>
      </c>
      <c r="L227" s="60">
        <v>-4.4690000000000003</v>
      </c>
      <c r="M227" s="60">
        <v>-2.5139999999999998</v>
      </c>
      <c r="N227" s="60">
        <v>-0.55900000000000005</v>
      </c>
      <c r="O227" s="60">
        <v>1.3959999999999999</v>
      </c>
      <c r="P227" s="60">
        <v>0</v>
      </c>
      <c r="S227" s="60" t="e">
        <f t="shared" ca="1" si="39"/>
        <v>#REF!</v>
      </c>
      <c r="T227" s="60">
        <f t="shared" si="40"/>
        <v>1.3959999999999999</v>
      </c>
      <c r="U227" s="60">
        <f t="shared" si="41"/>
        <v>2.7930000000000001</v>
      </c>
      <c r="V227" s="60">
        <f t="shared" si="42"/>
        <v>4.1890000000000001</v>
      </c>
      <c r="W227" s="60">
        <f t="shared" si="43"/>
        <v>5.5860000000000003</v>
      </c>
      <c r="X227" s="60">
        <f t="shared" si="44"/>
        <v>6.9820000000000002</v>
      </c>
      <c r="Y227" s="60">
        <f t="shared" si="45"/>
        <v>5.0270000000000001</v>
      </c>
      <c r="Z227" s="60">
        <f t="shared" si="46"/>
        <v>6.4240000000000004</v>
      </c>
      <c r="AA227" s="60">
        <f t="shared" si="47"/>
        <v>4.4690000000000003</v>
      </c>
      <c r="AB227" s="60">
        <f t="shared" si="48"/>
        <v>2.5139999999999998</v>
      </c>
      <c r="AC227" s="60">
        <f t="shared" si="49"/>
        <v>0.55900000000000005</v>
      </c>
      <c r="AD227" s="60">
        <f t="shared" si="50"/>
        <v>-1.3959999999999999</v>
      </c>
      <c r="AE227" s="60">
        <f t="shared" si="51"/>
        <v>0</v>
      </c>
      <c r="AG227" s="60" cm="1">
        <f t="array" aca="1" ref="AG227" ca="1">SQRT(SUMSQ(_xlfn._xlws.FILTER(S227:AE227,ISNUMBER(S227:AE227)))/COUNT(_xlfn._xlws.FILTER(S227:AE227,ISNUMBER(S227:AE227))))</f>
        <v>4.1063067855028397</v>
      </c>
    </row>
    <row r="228" spans="3:33" x14ac:dyDescent="0.2">
      <c r="C228" s="60" t="s">
        <v>364</v>
      </c>
      <c r="D228" s="60">
        <v>0</v>
      </c>
      <c r="E228" s="60">
        <v>-3</v>
      </c>
      <c r="F228" s="60">
        <v>-7</v>
      </c>
      <c r="G228" s="60">
        <v>-10</v>
      </c>
      <c r="H228" s="60">
        <v>-14</v>
      </c>
      <c r="I228" s="60">
        <v>-17</v>
      </c>
      <c r="J228" s="60">
        <v>-20</v>
      </c>
      <c r="K228" s="60">
        <v>-24</v>
      </c>
      <c r="L228" s="60">
        <v>-27</v>
      </c>
      <c r="M228" s="60">
        <v>-19</v>
      </c>
      <c r="N228" s="60">
        <v>-12</v>
      </c>
      <c r="O228" s="60">
        <v>-6</v>
      </c>
      <c r="P228" s="60">
        <v>0</v>
      </c>
      <c r="S228" s="60" t="e">
        <f t="shared" ca="1" si="39"/>
        <v>#REF!</v>
      </c>
      <c r="T228" s="60">
        <f t="shared" si="40"/>
        <v>3</v>
      </c>
      <c r="U228" s="60">
        <f t="shared" si="41"/>
        <v>7</v>
      </c>
      <c r="V228" s="60">
        <f t="shared" si="42"/>
        <v>10</v>
      </c>
      <c r="W228" s="60">
        <f t="shared" si="43"/>
        <v>14</v>
      </c>
      <c r="X228" s="60">
        <f t="shared" si="44"/>
        <v>17</v>
      </c>
      <c r="Y228" s="60">
        <f t="shared" si="45"/>
        <v>20</v>
      </c>
      <c r="Z228" s="60">
        <f t="shared" si="46"/>
        <v>24</v>
      </c>
      <c r="AA228" s="60">
        <f t="shared" si="47"/>
        <v>27</v>
      </c>
      <c r="AB228" s="60">
        <f t="shared" si="48"/>
        <v>19</v>
      </c>
      <c r="AC228" s="60">
        <f t="shared" si="49"/>
        <v>12</v>
      </c>
      <c r="AD228" s="60">
        <f t="shared" si="50"/>
        <v>6</v>
      </c>
      <c r="AE228" s="60">
        <f t="shared" si="51"/>
        <v>0</v>
      </c>
      <c r="AG228" s="60" cm="1">
        <f t="array" aca="1" ref="AG228" ca="1">SQRT(SUMSQ(_xlfn._xlws.FILTER(S228:AE228,ISNUMBER(S228:AE228)))/COUNT(_xlfn._xlws.FILTER(S228:AE228,ISNUMBER(S228:AE228))))</f>
        <v>15.5161206491829</v>
      </c>
    </row>
    <row r="229" spans="3:33" x14ac:dyDescent="0.2">
      <c r="C229" s="60" t="s">
        <v>365</v>
      </c>
      <c r="D229" s="60">
        <v>0</v>
      </c>
      <c r="E229" s="60">
        <v>-3</v>
      </c>
      <c r="F229" s="60">
        <v>-5</v>
      </c>
      <c r="G229" s="60">
        <v>-8</v>
      </c>
      <c r="H229" s="60">
        <v>-11</v>
      </c>
      <c r="I229" s="60">
        <v>-14</v>
      </c>
      <c r="J229" s="60">
        <v>-12</v>
      </c>
      <c r="K229" s="60">
        <v>-10</v>
      </c>
      <c r="L229" s="60">
        <v>-8</v>
      </c>
      <c r="M229" s="60">
        <v>-6</v>
      </c>
      <c r="N229" s="60">
        <v>-4</v>
      </c>
      <c r="O229" s="60">
        <v>-2</v>
      </c>
      <c r="P229" s="60">
        <v>0</v>
      </c>
      <c r="S229" s="60" t="e">
        <f t="shared" ca="1" si="39"/>
        <v>#REF!</v>
      </c>
      <c r="T229" s="60">
        <f t="shared" si="40"/>
        <v>3</v>
      </c>
      <c r="U229" s="60">
        <f t="shared" si="41"/>
        <v>5</v>
      </c>
      <c r="V229" s="60">
        <f t="shared" si="42"/>
        <v>8</v>
      </c>
      <c r="W229" s="60">
        <f t="shared" si="43"/>
        <v>11</v>
      </c>
      <c r="X229" s="60">
        <f t="shared" si="44"/>
        <v>14</v>
      </c>
      <c r="Y229" s="60">
        <f t="shared" si="45"/>
        <v>12</v>
      </c>
      <c r="Z229" s="60">
        <f t="shared" si="46"/>
        <v>10</v>
      </c>
      <c r="AA229" s="60">
        <f t="shared" si="47"/>
        <v>8</v>
      </c>
      <c r="AB229" s="60">
        <f t="shared" si="48"/>
        <v>6</v>
      </c>
      <c r="AC229" s="60">
        <f t="shared" si="49"/>
        <v>4</v>
      </c>
      <c r="AD229" s="60">
        <f t="shared" si="50"/>
        <v>2</v>
      </c>
      <c r="AE229" s="60">
        <f t="shared" si="51"/>
        <v>0</v>
      </c>
      <c r="AG229" s="60" cm="1">
        <f t="array" aca="1" ref="AG229" ca="1">SQRT(SUMSQ(_xlfn._xlws.FILTER(S229:AE229,ISNUMBER(S229:AE229)))/COUNT(_xlfn._xlws.FILTER(S229:AE229,ISNUMBER(S229:AE229))))</f>
        <v>8.05708797684788</v>
      </c>
    </row>
    <row r="230" spans="3:33" x14ac:dyDescent="0.2">
      <c r="C230" s="60" t="s">
        <v>366</v>
      </c>
      <c r="D230" s="60">
        <v>0</v>
      </c>
      <c r="E230" s="60">
        <v>-2</v>
      </c>
      <c r="F230" s="60">
        <v>-4</v>
      </c>
      <c r="G230" s="60">
        <v>-6</v>
      </c>
      <c r="H230" s="60">
        <v>-8</v>
      </c>
      <c r="I230" s="60">
        <v>-10</v>
      </c>
      <c r="J230" s="60">
        <v>-12</v>
      </c>
      <c r="K230" s="60">
        <v>-8</v>
      </c>
      <c r="L230" s="60">
        <v>-4</v>
      </c>
      <c r="M230" s="60">
        <v>0</v>
      </c>
      <c r="N230" s="60">
        <v>4</v>
      </c>
      <c r="O230" s="60">
        <v>2</v>
      </c>
      <c r="P230" s="60">
        <v>0</v>
      </c>
      <c r="S230" s="60" t="e">
        <f t="shared" ca="1" si="39"/>
        <v>#REF!</v>
      </c>
      <c r="T230" s="60">
        <f t="shared" si="40"/>
        <v>2</v>
      </c>
      <c r="U230" s="60">
        <f t="shared" si="41"/>
        <v>4</v>
      </c>
      <c r="V230" s="60">
        <f t="shared" si="42"/>
        <v>6</v>
      </c>
      <c r="W230" s="60">
        <f t="shared" si="43"/>
        <v>8</v>
      </c>
      <c r="X230" s="60">
        <f t="shared" si="44"/>
        <v>10</v>
      </c>
      <c r="Y230" s="60">
        <f t="shared" si="45"/>
        <v>12</v>
      </c>
      <c r="Z230" s="60">
        <f t="shared" si="46"/>
        <v>8</v>
      </c>
      <c r="AA230" s="60">
        <f t="shared" si="47"/>
        <v>4</v>
      </c>
      <c r="AB230" s="60">
        <f t="shared" si="48"/>
        <v>0</v>
      </c>
      <c r="AC230" s="60">
        <f t="shared" si="49"/>
        <v>-4</v>
      </c>
      <c r="AD230" s="60">
        <f t="shared" si="50"/>
        <v>-2</v>
      </c>
      <c r="AE230" s="60">
        <f t="shared" si="51"/>
        <v>0</v>
      </c>
      <c r="AG230" s="60" cm="1">
        <f t="array" aca="1" ref="AG230" ca="1">SQRT(SUMSQ(_xlfn._xlws.FILTER(S230:AE230,ISNUMBER(S230:AE230)))/COUNT(_xlfn._xlws.FILTER(S230:AE230,ISNUMBER(S230:AE230))))</f>
        <v>6.2182527020592095</v>
      </c>
    </row>
    <row r="231" spans="3:33" x14ac:dyDescent="0.2">
      <c r="C231" s="60" t="s">
        <v>367</v>
      </c>
      <c r="D231" s="60">
        <v>0</v>
      </c>
      <c r="E231" s="60">
        <v>-2</v>
      </c>
      <c r="F231" s="60">
        <v>-4</v>
      </c>
      <c r="G231" s="60">
        <v>-6</v>
      </c>
      <c r="H231" s="60">
        <v>-8</v>
      </c>
      <c r="I231" s="60">
        <v>-10</v>
      </c>
      <c r="J231" s="60">
        <v>-12</v>
      </c>
      <c r="K231" s="60">
        <v>-14</v>
      </c>
      <c r="L231" s="60">
        <v>-10</v>
      </c>
      <c r="M231" s="60">
        <v>-6</v>
      </c>
      <c r="N231" s="60">
        <v>-2</v>
      </c>
      <c r="O231" s="60">
        <v>2</v>
      </c>
      <c r="P231" s="60">
        <v>0</v>
      </c>
      <c r="S231" s="60" t="e">
        <f t="shared" ca="1" si="39"/>
        <v>#REF!</v>
      </c>
      <c r="T231" s="60">
        <f t="shared" si="40"/>
        <v>2</v>
      </c>
      <c r="U231" s="60">
        <f t="shared" si="41"/>
        <v>4</v>
      </c>
      <c r="V231" s="60">
        <f t="shared" si="42"/>
        <v>6</v>
      </c>
      <c r="W231" s="60">
        <f t="shared" si="43"/>
        <v>8</v>
      </c>
      <c r="X231" s="60">
        <f t="shared" si="44"/>
        <v>10</v>
      </c>
      <c r="Y231" s="60">
        <f t="shared" si="45"/>
        <v>12</v>
      </c>
      <c r="Z231" s="60">
        <f t="shared" si="46"/>
        <v>14</v>
      </c>
      <c r="AA231" s="60">
        <f t="shared" si="47"/>
        <v>10</v>
      </c>
      <c r="AB231" s="60">
        <f t="shared" si="48"/>
        <v>6</v>
      </c>
      <c r="AC231" s="60">
        <f t="shared" si="49"/>
        <v>2</v>
      </c>
      <c r="AD231" s="60">
        <f t="shared" si="50"/>
        <v>-2</v>
      </c>
      <c r="AE231" s="60">
        <f t="shared" si="51"/>
        <v>0</v>
      </c>
      <c r="AG231" s="60" cm="1">
        <f t="array" aca="1" ref="AG231" ca="1">SQRT(SUMSQ(_xlfn._xlws.FILTER(S231:AE231,ISNUMBER(S231:AE231)))/COUNT(_xlfn._xlws.FILTER(S231:AE231,ISNUMBER(S231:AE231))))</f>
        <v>7.6594168620507048</v>
      </c>
    </row>
    <row r="232" spans="3:33" x14ac:dyDescent="0.2">
      <c r="C232" s="60" t="s">
        <v>368</v>
      </c>
      <c r="D232" s="60">
        <v>0</v>
      </c>
      <c r="E232" s="60">
        <v>-2</v>
      </c>
      <c r="F232" s="60">
        <v>-4</v>
      </c>
      <c r="G232" s="60">
        <v>-6</v>
      </c>
      <c r="H232" s="60">
        <v>-8</v>
      </c>
      <c r="I232" s="60">
        <v>-10</v>
      </c>
      <c r="J232" s="60">
        <v>-12</v>
      </c>
      <c r="K232" s="60">
        <v>-14</v>
      </c>
      <c r="L232" s="60">
        <v>-8</v>
      </c>
      <c r="M232" s="60">
        <v>-2</v>
      </c>
      <c r="N232" s="60">
        <v>4</v>
      </c>
      <c r="O232" s="60">
        <v>2</v>
      </c>
      <c r="P232" s="60">
        <v>0</v>
      </c>
      <c r="S232" s="60" t="e">
        <f t="shared" ca="1" si="39"/>
        <v>#REF!</v>
      </c>
      <c r="T232" s="60">
        <f t="shared" si="40"/>
        <v>2</v>
      </c>
      <c r="U232" s="60">
        <f t="shared" si="41"/>
        <v>4</v>
      </c>
      <c r="V232" s="60">
        <f t="shared" si="42"/>
        <v>6</v>
      </c>
      <c r="W232" s="60">
        <f t="shared" si="43"/>
        <v>8</v>
      </c>
      <c r="X232" s="60">
        <f t="shared" si="44"/>
        <v>10</v>
      </c>
      <c r="Y232" s="60">
        <f t="shared" si="45"/>
        <v>12</v>
      </c>
      <c r="Z232" s="60">
        <f t="shared" si="46"/>
        <v>14</v>
      </c>
      <c r="AA232" s="60">
        <f t="shared" si="47"/>
        <v>8</v>
      </c>
      <c r="AB232" s="60">
        <f t="shared" si="48"/>
        <v>2</v>
      </c>
      <c r="AC232" s="60">
        <f t="shared" si="49"/>
        <v>-4</v>
      </c>
      <c r="AD232" s="60">
        <f t="shared" si="50"/>
        <v>-2</v>
      </c>
      <c r="AE232" s="60">
        <f t="shared" si="51"/>
        <v>0</v>
      </c>
      <c r="AG232" s="60" cm="1">
        <f t="array" aca="1" ref="AG232" ca="1">SQRT(SUMSQ(_xlfn._xlws.FILTER(S232:AE232,ISNUMBER(S232:AE232)))/COUNT(_xlfn._xlws.FILTER(S232:AE232,ISNUMBER(S232:AE232))))</f>
        <v>7.3484692283495345</v>
      </c>
    </row>
    <row r="233" spans="3:33" x14ac:dyDescent="0.2">
      <c r="C233" s="60" t="s">
        <v>369</v>
      </c>
      <c r="D233" s="60">
        <v>0</v>
      </c>
      <c r="E233" s="60">
        <v>-2</v>
      </c>
      <c r="F233" s="60">
        <v>-3</v>
      </c>
      <c r="G233" s="60">
        <v>-5</v>
      </c>
      <c r="H233" s="60">
        <v>-6</v>
      </c>
      <c r="I233" s="60">
        <v>-8</v>
      </c>
      <c r="J233" s="60">
        <v>-10</v>
      </c>
      <c r="K233" s="60">
        <v>-11</v>
      </c>
      <c r="L233" s="60">
        <v>-13</v>
      </c>
      <c r="M233" s="60">
        <v>5</v>
      </c>
      <c r="N233" s="60">
        <v>3</v>
      </c>
      <c r="O233" s="60">
        <v>2</v>
      </c>
      <c r="P233" s="60">
        <v>0</v>
      </c>
      <c r="S233" s="60" t="e">
        <f t="shared" ca="1" si="39"/>
        <v>#REF!</v>
      </c>
      <c r="T233" s="60">
        <f t="shared" si="40"/>
        <v>2</v>
      </c>
      <c r="U233" s="60">
        <f t="shared" si="41"/>
        <v>3</v>
      </c>
      <c r="V233" s="60">
        <f t="shared" si="42"/>
        <v>5</v>
      </c>
      <c r="W233" s="60">
        <f t="shared" si="43"/>
        <v>6</v>
      </c>
      <c r="X233" s="60">
        <f t="shared" si="44"/>
        <v>8</v>
      </c>
      <c r="Y233" s="60">
        <f t="shared" si="45"/>
        <v>10</v>
      </c>
      <c r="Z233" s="60">
        <f t="shared" si="46"/>
        <v>11</v>
      </c>
      <c r="AA233" s="60">
        <f t="shared" si="47"/>
        <v>13</v>
      </c>
      <c r="AB233" s="60">
        <f t="shared" si="48"/>
        <v>-5</v>
      </c>
      <c r="AC233" s="60">
        <f t="shared" si="49"/>
        <v>-3</v>
      </c>
      <c r="AD233" s="60">
        <f t="shared" si="50"/>
        <v>-2</v>
      </c>
      <c r="AE233" s="60">
        <f t="shared" si="51"/>
        <v>0</v>
      </c>
      <c r="AG233" s="60" cm="1">
        <f t="array" aca="1" ref="AG233" ca="1">SQRT(SUMSQ(_xlfn._xlws.FILTER(S233:AE233,ISNUMBER(S233:AE233)))/COUNT(_xlfn._xlws.FILTER(S233:AE233,ISNUMBER(S233:AE233))))</f>
        <v>6.8677992593455048</v>
      </c>
    </row>
    <row r="234" spans="3:33" x14ac:dyDescent="0.2">
      <c r="C234" s="60" t="s">
        <v>370</v>
      </c>
      <c r="D234" s="60">
        <v>0</v>
      </c>
      <c r="E234" s="60">
        <v>-2</v>
      </c>
      <c r="F234" s="60">
        <v>-5</v>
      </c>
      <c r="G234" s="60">
        <v>-8</v>
      </c>
      <c r="H234" s="60">
        <v>-10</v>
      </c>
      <c r="I234" s="60">
        <v>-12</v>
      </c>
      <c r="J234" s="60">
        <v>-14</v>
      </c>
      <c r="K234" s="60">
        <v>-15</v>
      </c>
      <c r="L234" s="60">
        <v>-15</v>
      </c>
      <c r="M234" s="60">
        <v>3</v>
      </c>
      <c r="N234" s="60">
        <v>3</v>
      </c>
      <c r="O234" s="60">
        <v>2</v>
      </c>
      <c r="P234" s="60">
        <v>0</v>
      </c>
      <c r="S234" s="60" t="e">
        <f t="shared" ca="1" si="39"/>
        <v>#REF!</v>
      </c>
      <c r="T234" s="60">
        <f t="shared" si="40"/>
        <v>2</v>
      </c>
      <c r="U234" s="60">
        <f t="shared" si="41"/>
        <v>5</v>
      </c>
      <c r="V234" s="60">
        <f t="shared" si="42"/>
        <v>8</v>
      </c>
      <c r="W234" s="60">
        <f t="shared" si="43"/>
        <v>10</v>
      </c>
      <c r="X234" s="60">
        <f t="shared" si="44"/>
        <v>12</v>
      </c>
      <c r="Y234" s="60">
        <f t="shared" si="45"/>
        <v>14</v>
      </c>
      <c r="Z234" s="60">
        <f t="shared" si="46"/>
        <v>15</v>
      </c>
      <c r="AA234" s="60">
        <f t="shared" si="47"/>
        <v>15</v>
      </c>
      <c r="AB234" s="60">
        <f t="shared" si="48"/>
        <v>-3</v>
      </c>
      <c r="AC234" s="60">
        <f t="shared" si="49"/>
        <v>-3</v>
      </c>
      <c r="AD234" s="60">
        <f t="shared" si="50"/>
        <v>-2</v>
      </c>
      <c r="AE234" s="60">
        <f t="shared" si="51"/>
        <v>0</v>
      </c>
      <c r="AG234" s="60" cm="1">
        <f t="array" aca="1" ref="AG234" ca="1">SQRT(SUMSQ(_xlfn._xlws.FILTER(S234:AE234,ISNUMBER(S234:AE234)))/COUNT(_xlfn._xlws.FILTER(S234:AE234,ISNUMBER(S234:AE234))))</f>
        <v>9.1515026088615627</v>
      </c>
    </row>
    <row r="235" spans="3:33" x14ac:dyDescent="0.2">
      <c r="C235" s="60" t="s">
        <v>371</v>
      </c>
      <c r="D235" s="60">
        <v>0</v>
      </c>
      <c r="E235" s="60">
        <v>2</v>
      </c>
      <c r="F235" s="60">
        <v>4</v>
      </c>
      <c r="G235" s="60">
        <v>-5</v>
      </c>
      <c r="H235" s="60">
        <v>-14</v>
      </c>
      <c r="I235" s="60">
        <v>-12</v>
      </c>
      <c r="J235" s="60">
        <v>-10</v>
      </c>
      <c r="K235" s="60">
        <v>-19</v>
      </c>
      <c r="L235" s="60">
        <v>-28</v>
      </c>
      <c r="M235" s="60">
        <v>16</v>
      </c>
      <c r="N235" s="60">
        <v>18</v>
      </c>
      <c r="O235" s="60">
        <v>9</v>
      </c>
      <c r="P235" s="60">
        <v>0</v>
      </c>
      <c r="S235" s="60" t="e">
        <f t="shared" ca="1" si="39"/>
        <v>#REF!</v>
      </c>
      <c r="T235" s="60">
        <f t="shared" si="40"/>
        <v>-2</v>
      </c>
      <c r="U235" s="60">
        <f t="shared" si="41"/>
        <v>-4</v>
      </c>
      <c r="V235" s="60">
        <f t="shared" si="42"/>
        <v>5</v>
      </c>
      <c r="W235" s="60">
        <f t="shared" si="43"/>
        <v>14</v>
      </c>
      <c r="X235" s="60">
        <f t="shared" si="44"/>
        <v>12</v>
      </c>
      <c r="Y235" s="60">
        <f t="shared" si="45"/>
        <v>10</v>
      </c>
      <c r="Z235" s="60">
        <f t="shared" si="46"/>
        <v>19</v>
      </c>
      <c r="AA235" s="60">
        <f t="shared" si="47"/>
        <v>28</v>
      </c>
      <c r="AB235" s="60">
        <f t="shared" si="48"/>
        <v>-16</v>
      </c>
      <c r="AC235" s="60">
        <f t="shared" si="49"/>
        <v>-18</v>
      </c>
      <c r="AD235" s="60">
        <f t="shared" si="50"/>
        <v>-9</v>
      </c>
      <c r="AE235" s="60">
        <f t="shared" si="51"/>
        <v>0</v>
      </c>
      <c r="AG235" s="60" cm="1">
        <f t="array" aca="1" ref="AG235" ca="1">SQRT(SUMSQ(_xlfn._xlws.FILTER(S235:AE235,ISNUMBER(S235:AE235)))/COUNT(_xlfn._xlws.FILTER(S235:AE235,ISNUMBER(S235:AE235))))</f>
        <v>13.817259737975061</v>
      </c>
    </row>
    <row r="236" spans="3:33" x14ac:dyDescent="0.2">
      <c r="C236" s="60" t="s">
        <v>372</v>
      </c>
      <c r="D236" s="60">
        <v>0</v>
      </c>
      <c r="E236" s="60">
        <v>1.9550000000000001</v>
      </c>
      <c r="F236" s="60">
        <v>3.91</v>
      </c>
      <c r="G236" s="60">
        <v>-4.8879999999999999</v>
      </c>
      <c r="H236" s="60">
        <v>-13.686</v>
      </c>
      <c r="I236" s="60">
        <v>-11.731</v>
      </c>
      <c r="J236" s="60">
        <v>-9.7759999999999998</v>
      </c>
      <c r="K236" s="60">
        <v>-18.574000000000002</v>
      </c>
      <c r="L236" s="60">
        <v>-27.372</v>
      </c>
      <c r="M236" s="60">
        <v>15.641</v>
      </c>
      <c r="N236" s="60">
        <v>17.596</v>
      </c>
      <c r="O236" s="60">
        <v>8.798</v>
      </c>
      <c r="P236" s="60">
        <v>0</v>
      </c>
      <c r="S236" s="60" t="e">
        <f t="shared" ca="1" si="39"/>
        <v>#REF!</v>
      </c>
      <c r="T236" s="60">
        <f t="shared" si="40"/>
        <v>-1.9550000000000001</v>
      </c>
      <c r="U236" s="60">
        <f t="shared" si="41"/>
        <v>-3.91</v>
      </c>
      <c r="V236" s="60">
        <f t="shared" si="42"/>
        <v>4.8879999999999999</v>
      </c>
      <c r="W236" s="60">
        <f t="shared" si="43"/>
        <v>13.686</v>
      </c>
      <c r="X236" s="60">
        <f t="shared" si="44"/>
        <v>11.731</v>
      </c>
      <c r="Y236" s="60">
        <f t="shared" si="45"/>
        <v>9.7759999999999998</v>
      </c>
      <c r="Z236" s="60">
        <f t="shared" si="46"/>
        <v>18.574000000000002</v>
      </c>
      <c r="AA236" s="60">
        <f t="shared" si="47"/>
        <v>27.372</v>
      </c>
      <c r="AB236" s="60">
        <f t="shared" si="48"/>
        <v>-15.641</v>
      </c>
      <c r="AC236" s="60">
        <f t="shared" si="49"/>
        <v>-17.596</v>
      </c>
      <c r="AD236" s="60">
        <f t="shared" si="50"/>
        <v>-8.798</v>
      </c>
      <c r="AE236" s="60">
        <f t="shared" si="51"/>
        <v>0</v>
      </c>
      <c r="AG236" s="60" cm="1">
        <f t="array" aca="1" ref="AG236" ca="1">SQRT(SUMSQ(_xlfn._xlws.FILTER(S236:AE236,ISNUMBER(S236:AE236)))/COUNT(_xlfn._xlws.FILTER(S236:AE236,ISNUMBER(S236:AE236))))</f>
        <v>13.507345418327022</v>
      </c>
    </row>
    <row r="237" spans="3:33" x14ac:dyDescent="0.2">
      <c r="C237" s="60" t="s">
        <v>373</v>
      </c>
      <c r="D237" s="60">
        <v>0</v>
      </c>
      <c r="E237" s="60">
        <v>2</v>
      </c>
      <c r="F237" s="60">
        <v>-3</v>
      </c>
      <c r="G237" s="60">
        <v>-8</v>
      </c>
      <c r="H237" s="60">
        <v>-14</v>
      </c>
      <c r="I237" s="60">
        <v>-12</v>
      </c>
      <c r="J237" s="60">
        <v>-17</v>
      </c>
      <c r="K237" s="60">
        <v>-22</v>
      </c>
      <c r="L237" s="60">
        <v>-28</v>
      </c>
      <c r="M237" s="60">
        <v>16</v>
      </c>
      <c r="N237" s="60">
        <v>11</v>
      </c>
      <c r="O237" s="60">
        <v>6</v>
      </c>
      <c r="P237" s="60">
        <v>0</v>
      </c>
      <c r="S237" s="60" t="e">
        <f t="shared" ca="1" si="39"/>
        <v>#REF!</v>
      </c>
      <c r="T237" s="60">
        <f t="shared" si="40"/>
        <v>-2</v>
      </c>
      <c r="U237" s="60">
        <f t="shared" si="41"/>
        <v>3</v>
      </c>
      <c r="V237" s="60">
        <f t="shared" si="42"/>
        <v>8</v>
      </c>
      <c r="W237" s="60">
        <f t="shared" si="43"/>
        <v>14</v>
      </c>
      <c r="X237" s="60">
        <f t="shared" si="44"/>
        <v>12</v>
      </c>
      <c r="Y237" s="60">
        <f t="shared" si="45"/>
        <v>17</v>
      </c>
      <c r="Z237" s="60">
        <f t="shared" si="46"/>
        <v>22</v>
      </c>
      <c r="AA237" s="60">
        <f t="shared" si="47"/>
        <v>28</v>
      </c>
      <c r="AB237" s="60">
        <f t="shared" si="48"/>
        <v>-16</v>
      </c>
      <c r="AC237" s="60">
        <f t="shared" si="49"/>
        <v>-11</v>
      </c>
      <c r="AD237" s="60">
        <f t="shared" si="50"/>
        <v>-6</v>
      </c>
      <c r="AE237" s="60">
        <f t="shared" si="51"/>
        <v>0</v>
      </c>
      <c r="AG237" s="60" cm="1">
        <f t="array" aca="1" ref="AG237" ca="1">SQRT(SUMSQ(_xlfn._xlws.FILTER(S237:AE237,ISNUMBER(S237:AE237)))/COUNT(_xlfn._xlws.FILTER(S237:AE237,ISNUMBER(S237:AE237))))</f>
        <v>14.103781998693352</v>
      </c>
    </row>
    <row r="238" spans="3:33" x14ac:dyDescent="0.2">
      <c r="C238" s="60" t="s">
        <v>374</v>
      </c>
      <c r="D238" s="60">
        <v>0</v>
      </c>
      <c r="E238" s="60">
        <v>1.9550000000000001</v>
      </c>
      <c r="F238" s="60">
        <v>-3.2589999999999999</v>
      </c>
      <c r="G238" s="60">
        <v>-8.4730000000000008</v>
      </c>
      <c r="H238" s="60">
        <v>-13.686999999999999</v>
      </c>
      <c r="I238" s="60">
        <v>-11.731999999999999</v>
      </c>
      <c r="J238" s="60">
        <v>-16.946000000000002</v>
      </c>
      <c r="K238" s="60">
        <v>-22.16</v>
      </c>
      <c r="L238" s="60">
        <v>-27.373999999999999</v>
      </c>
      <c r="M238" s="60">
        <v>15.641999999999999</v>
      </c>
      <c r="N238" s="60">
        <v>10.428000000000001</v>
      </c>
      <c r="O238" s="60">
        <v>5.2140000000000004</v>
      </c>
      <c r="P238" s="60">
        <v>0</v>
      </c>
      <c r="S238" s="60" t="e">
        <f t="shared" ca="1" si="39"/>
        <v>#REF!</v>
      </c>
      <c r="T238" s="60">
        <f t="shared" si="40"/>
        <v>-1.9550000000000001</v>
      </c>
      <c r="U238" s="60">
        <f t="shared" si="41"/>
        <v>3.2589999999999999</v>
      </c>
      <c r="V238" s="60">
        <f t="shared" si="42"/>
        <v>8.4730000000000008</v>
      </c>
      <c r="W238" s="60">
        <f t="shared" si="43"/>
        <v>13.686999999999999</v>
      </c>
      <c r="X238" s="60">
        <f t="shared" si="44"/>
        <v>11.731999999999999</v>
      </c>
      <c r="Y238" s="60">
        <f t="shared" si="45"/>
        <v>16.946000000000002</v>
      </c>
      <c r="Z238" s="60">
        <f t="shared" si="46"/>
        <v>22.16</v>
      </c>
      <c r="AA238" s="60">
        <f t="shared" si="47"/>
        <v>27.373999999999999</v>
      </c>
      <c r="AB238" s="60">
        <f t="shared" si="48"/>
        <v>-15.641999999999999</v>
      </c>
      <c r="AC238" s="60">
        <f t="shared" si="49"/>
        <v>-10.428000000000001</v>
      </c>
      <c r="AD238" s="60">
        <f t="shared" si="50"/>
        <v>-5.2140000000000004</v>
      </c>
      <c r="AE238" s="60">
        <f t="shared" si="51"/>
        <v>0</v>
      </c>
      <c r="AG238" s="60" cm="1">
        <f t="array" aca="1" ref="AG238" ca="1">SQRT(SUMSQ(_xlfn._xlws.FILTER(S238:AE238,ISNUMBER(S238:AE238)))/COUNT(_xlfn._xlws.FILTER(S238:AE238,ISNUMBER(S238:AE238))))</f>
        <v>13.90257219606022</v>
      </c>
    </row>
    <row r="239" spans="3:33" x14ac:dyDescent="0.2">
      <c r="C239" s="60" t="s">
        <v>375</v>
      </c>
      <c r="D239" s="60">
        <v>0</v>
      </c>
      <c r="E239" s="60">
        <v>-2</v>
      </c>
      <c r="F239" s="60">
        <v>-3</v>
      </c>
      <c r="G239" s="60">
        <v>-4</v>
      </c>
      <c r="H239" s="60">
        <v>-4</v>
      </c>
      <c r="I239" s="60">
        <v>-6</v>
      </c>
      <c r="J239" s="60">
        <v>-6</v>
      </c>
      <c r="K239" s="60">
        <v>-6</v>
      </c>
      <c r="L239" s="60">
        <v>-8</v>
      </c>
      <c r="M239" s="60">
        <v>2</v>
      </c>
      <c r="N239" s="60">
        <v>1</v>
      </c>
      <c r="O239" s="60">
        <v>1</v>
      </c>
      <c r="P239" s="60">
        <v>0</v>
      </c>
      <c r="S239" s="60" t="e">
        <f t="shared" ca="1" si="39"/>
        <v>#REF!</v>
      </c>
      <c r="T239" s="60">
        <f t="shared" si="40"/>
        <v>2</v>
      </c>
      <c r="U239" s="60">
        <f t="shared" si="41"/>
        <v>3</v>
      </c>
      <c r="V239" s="60">
        <f t="shared" si="42"/>
        <v>4</v>
      </c>
      <c r="W239" s="60">
        <f t="shared" si="43"/>
        <v>4</v>
      </c>
      <c r="X239" s="60">
        <f t="shared" si="44"/>
        <v>6</v>
      </c>
      <c r="Y239" s="60">
        <f t="shared" si="45"/>
        <v>6</v>
      </c>
      <c r="Z239" s="60">
        <f t="shared" si="46"/>
        <v>6</v>
      </c>
      <c r="AA239" s="60">
        <f t="shared" si="47"/>
        <v>8</v>
      </c>
      <c r="AB239" s="60">
        <f t="shared" si="48"/>
        <v>-2</v>
      </c>
      <c r="AC239" s="60">
        <f t="shared" si="49"/>
        <v>-1</v>
      </c>
      <c r="AD239" s="60">
        <f t="shared" si="50"/>
        <v>-1</v>
      </c>
      <c r="AE239" s="60">
        <f t="shared" si="51"/>
        <v>0</v>
      </c>
      <c r="AG239" s="60" cm="1">
        <f t="array" aca="1" ref="AG239" ca="1">SQRT(SUMSQ(_xlfn._xlws.FILTER(S239:AE239,ISNUMBER(S239:AE239)))/COUNT(_xlfn._xlws.FILTER(S239:AE239,ISNUMBER(S239:AE239))))</f>
        <v>4.3108390521258544</v>
      </c>
    </row>
    <row r="240" spans="3:33" x14ac:dyDescent="0.2">
      <c r="C240" s="60" t="s">
        <v>376</v>
      </c>
      <c r="D240" s="60">
        <v>0</v>
      </c>
      <c r="E240" s="60">
        <v>2</v>
      </c>
      <c r="F240" s="60">
        <v>4</v>
      </c>
      <c r="G240" s="60">
        <v>-4</v>
      </c>
      <c r="H240" s="60">
        <v>-14</v>
      </c>
      <c r="I240" s="60">
        <v>-11</v>
      </c>
      <c r="J240" s="60">
        <v>-9</v>
      </c>
      <c r="K240" s="60">
        <v>-19</v>
      </c>
      <c r="L240" s="60">
        <v>-28</v>
      </c>
      <c r="M240" s="60">
        <v>16</v>
      </c>
      <c r="N240" s="60">
        <v>19</v>
      </c>
      <c r="O240" s="60">
        <v>9</v>
      </c>
      <c r="P240" s="60">
        <v>0</v>
      </c>
      <c r="S240" s="60" t="e">
        <f t="shared" ca="1" si="39"/>
        <v>#REF!</v>
      </c>
      <c r="T240" s="60">
        <f t="shared" si="40"/>
        <v>-2</v>
      </c>
      <c r="U240" s="60">
        <f t="shared" si="41"/>
        <v>-4</v>
      </c>
      <c r="V240" s="60">
        <f t="shared" si="42"/>
        <v>4</v>
      </c>
      <c r="W240" s="60">
        <f t="shared" si="43"/>
        <v>14</v>
      </c>
      <c r="X240" s="60">
        <f t="shared" si="44"/>
        <v>11</v>
      </c>
      <c r="Y240" s="60">
        <f t="shared" si="45"/>
        <v>9</v>
      </c>
      <c r="Z240" s="60">
        <f t="shared" si="46"/>
        <v>19</v>
      </c>
      <c r="AA240" s="60">
        <f t="shared" si="47"/>
        <v>28</v>
      </c>
      <c r="AB240" s="60">
        <f t="shared" si="48"/>
        <v>-16</v>
      </c>
      <c r="AC240" s="60">
        <f t="shared" si="49"/>
        <v>-19</v>
      </c>
      <c r="AD240" s="60">
        <f t="shared" si="50"/>
        <v>-9</v>
      </c>
      <c r="AE240" s="60">
        <f t="shared" si="51"/>
        <v>0</v>
      </c>
      <c r="AG240" s="60" cm="1">
        <f t="array" aca="1" ref="AG240" ca="1">SQRT(SUMSQ(_xlfn._xlws.FILTER(S240:AE240,ISNUMBER(S240:AE240)))/COUNT(_xlfn._xlws.FILTER(S240:AE240,ISNUMBER(S240:AE240))))</f>
        <v>13.77497731395591</v>
      </c>
    </row>
    <row r="241" spans="3:33" x14ac:dyDescent="0.2">
      <c r="C241" s="60" t="s">
        <v>377</v>
      </c>
      <c r="D241" s="60">
        <v>0</v>
      </c>
      <c r="E241" s="60">
        <v>-3</v>
      </c>
      <c r="F241" s="60">
        <v>-7</v>
      </c>
      <c r="G241" s="60">
        <v>-13</v>
      </c>
      <c r="H241" s="60">
        <v>-13</v>
      </c>
      <c r="I241" s="60">
        <v>-24</v>
      </c>
      <c r="J241" s="60">
        <v>-13</v>
      </c>
      <c r="K241" s="60">
        <v>2</v>
      </c>
      <c r="L241" s="60">
        <v>-8</v>
      </c>
      <c r="M241" s="60">
        <v>-7</v>
      </c>
      <c r="N241" s="60">
        <v>-5</v>
      </c>
      <c r="O241" s="60">
        <v>-1</v>
      </c>
      <c r="P241" s="60">
        <v>0</v>
      </c>
      <c r="S241" s="60" t="e">
        <f t="shared" ca="1" si="39"/>
        <v>#REF!</v>
      </c>
      <c r="T241" s="60">
        <f t="shared" si="40"/>
        <v>3</v>
      </c>
      <c r="U241" s="60">
        <f t="shared" si="41"/>
        <v>7</v>
      </c>
      <c r="V241" s="60">
        <f t="shared" si="42"/>
        <v>13</v>
      </c>
      <c r="W241" s="60">
        <f t="shared" si="43"/>
        <v>13</v>
      </c>
      <c r="X241" s="60">
        <f t="shared" si="44"/>
        <v>24</v>
      </c>
      <c r="Y241" s="60">
        <f t="shared" si="45"/>
        <v>13</v>
      </c>
      <c r="Z241" s="60">
        <f t="shared" si="46"/>
        <v>-2</v>
      </c>
      <c r="AA241" s="60">
        <f t="shared" si="47"/>
        <v>8</v>
      </c>
      <c r="AB241" s="60">
        <f t="shared" si="48"/>
        <v>7</v>
      </c>
      <c r="AC241" s="60">
        <f t="shared" si="49"/>
        <v>5</v>
      </c>
      <c r="AD241" s="60">
        <f t="shared" si="50"/>
        <v>1</v>
      </c>
      <c r="AE241" s="60">
        <f t="shared" si="51"/>
        <v>0</v>
      </c>
      <c r="AG241" s="60" cm="1">
        <f t="array" aca="1" ref="AG241" ca="1">SQRT(SUMSQ(_xlfn._xlws.FILTER(S241:AE241,ISNUMBER(S241:AE241)))/COUNT(_xlfn._xlws.FILTER(S241:AE241,ISNUMBER(S241:AE241))))</f>
        <v>10.344080432788601</v>
      </c>
    </row>
    <row r="242" spans="3:33" x14ac:dyDescent="0.2">
      <c r="C242" s="60" t="s">
        <v>378</v>
      </c>
      <c r="D242" s="60">
        <v>0</v>
      </c>
      <c r="E242" s="60">
        <v>-4</v>
      </c>
      <c r="F242" s="60">
        <v>-7</v>
      </c>
      <c r="G242" s="60">
        <v>-12</v>
      </c>
      <c r="H242" s="60">
        <v>-14</v>
      </c>
      <c r="I242" s="60">
        <v>-17</v>
      </c>
      <c r="J242" s="60">
        <v>-16</v>
      </c>
      <c r="K242" s="60">
        <v>-11</v>
      </c>
      <c r="L242" s="60">
        <v>-12</v>
      </c>
      <c r="M242" s="60">
        <v>-14</v>
      </c>
      <c r="N242" s="60">
        <v>-12</v>
      </c>
      <c r="O242" s="60">
        <v>2</v>
      </c>
      <c r="P242" s="60">
        <v>0</v>
      </c>
      <c r="S242" s="60" t="e">
        <f t="shared" ca="1" si="39"/>
        <v>#REF!</v>
      </c>
      <c r="T242" s="60">
        <f t="shared" si="40"/>
        <v>4</v>
      </c>
      <c r="U242" s="60">
        <f t="shared" si="41"/>
        <v>7</v>
      </c>
      <c r="V242" s="60">
        <f t="shared" si="42"/>
        <v>12</v>
      </c>
      <c r="W242" s="60">
        <f t="shared" si="43"/>
        <v>14</v>
      </c>
      <c r="X242" s="60">
        <f t="shared" si="44"/>
        <v>17</v>
      </c>
      <c r="Y242" s="60">
        <f t="shared" si="45"/>
        <v>16</v>
      </c>
      <c r="Z242" s="60">
        <f t="shared" si="46"/>
        <v>11</v>
      </c>
      <c r="AA242" s="60">
        <f t="shared" si="47"/>
        <v>12</v>
      </c>
      <c r="AB242" s="60">
        <f t="shared" si="48"/>
        <v>14</v>
      </c>
      <c r="AC242" s="60">
        <f t="shared" si="49"/>
        <v>12</v>
      </c>
      <c r="AD242" s="60">
        <f t="shared" si="50"/>
        <v>-2</v>
      </c>
      <c r="AE242" s="60">
        <f t="shared" si="51"/>
        <v>0</v>
      </c>
      <c r="AG242" s="60" cm="1">
        <f t="array" aca="1" ref="AG242" ca="1">SQRT(SUMSQ(_xlfn._xlws.FILTER(S242:AE242,ISNUMBER(S242:AE242)))/COUNT(_xlfn._xlws.FILTER(S242:AE242,ISNUMBER(S242:AE242))))</f>
        <v>11.398099256747445</v>
      </c>
    </row>
    <row r="243" spans="3:33" x14ac:dyDescent="0.2">
      <c r="C243" s="60" t="s">
        <v>379</v>
      </c>
      <c r="D243" s="60">
        <v>0</v>
      </c>
      <c r="E243" s="60">
        <v>-2</v>
      </c>
      <c r="F243" s="60">
        <v>-4</v>
      </c>
      <c r="G243" s="60">
        <v>-4</v>
      </c>
      <c r="H243" s="60">
        <v>-6</v>
      </c>
      <c r="I243" s="60">
        <v>-8</v>
      </c>
      <c r="J243" s="60">
        <v>-10</v>
      </c>
      <c r="K243" s="60">
        <v>-10</v>
      </c>
      <c r="L243" s="60">
        <v>-10</v>
      </c>
      <c r="M243" s="60">
        <v>-2</v>
      </c>
      <c r="N243" s="60">
        <v>0</v>
      </c>
      <c r="O243" s="60">
        <v>0</v>
      </c>
      <c r="P243" s="60">
        <v>0</v>
      </c>
      <c r="S243" s="60" t="e">
        <f t="shared" ca="1" si="39"/>
        <v>#REF!</v>
      </c>
      <c r="T243" s="60">
        <f t="shared" si="40"/>
        <v>2</v>
      </c>
      <c r="U243" s="60">
        <f t="shared" si="41"/>
        <v>4</v>
      </c>
      <c r="V243" s="60">
        <f t="shared" si="42"/>
        <v>4</v>
      </c>
      <c r="W243" s="60">
        <f t="shared" si="43"/>
        <v>6</v>
      </c>
      <c r="X243" s="60">
        <f t="shared" si="44"/>
        <v>8</v>
      </c>
      <c r="Y243" s="60">
        <f t="shared" si="45"/>
        <v>10</v>
      </c>
      <c r="Z243" s="60">
        <f t="shared" si="46"/>
        <v>10</v>
      </c>
      <c r="AA243" s="60">
        <f t="shared" si="47"/>
        <v>10</v>
      </c>
      <c r="AB243" s="60">
        <f t="shared" si="48"/>
        <v>2</v>
      </c>
      <c r="AC243" s="60">
        <f t="shared" si="49"/>
        <v>0</v>
      </c>
      <c r="AD243" s="60">
        <f t="shared" si="50"/>
        <v>0</v>
      </c>
      <c r="AE243" s="60">
        <f t="shared" si="51"/>
        <v>0</v>
      </c>
      <c r="AG243" s="60" cm="1">
        <f t="array" aca="1" ref="AG243" ca="1">SQRT(SUMSQ(_xlfn._xlws.FILTER(S243:AE243,ISNUMBER(S243:AE243)))/COUNT(_xlfn._xlws.FILTER(S243:AE243,ISNUMBER(S243:AE243))))</f>
        <v>6.0553007081949835</v>
      </c>
    </row>
    <row r="244" spans="3:33" x14ac:dyDescent="0.2">
      <c r="C244" s="60" t="s">
        <v>380</v>
      </c>
      <c r="D244" s="60">
        <v>0</v>
      </c>
      <c r="E244" s="60">
        <v>-2</v>
      </c>
      <c r="F244" s="60">
        <v>-4</v>
      </c>
      <c r="G244" s="60">
        <v>-6</v>
      </c>
      <c r="H244" s="60">
        <v>-8</v>
      </c>
      <c r="I244" s="60">
        <v>-10</v>
      </c>
      <c r="J244" s="60">
        <v>-12</v>
      </c>
      <c r="K244" s="60">
        <v>-14</v>
      </c>
      <c r="L244" s="60">
        <v>-16</v>
      </c>
      <c r="M244" s="60">
        <v>6</v>
      </c>
      <c r="N244" s="60">
        <v>4</v>
      </c>
      <c r="O244" s="60">
        <v>2</v>
      </c>
      <c r="P244" s="60">
        <v>0</v>
      </c>
      <c r="S244" s="60" t="e">
        <f t="shared" ca="1" si="39"/>
        <v>#REF!</v>
      </c>
      <c r="T244" s="60">
        <f t="shared" si="40"/>
        <v>2</v>
      </c>
      <c r="U244" s="60">
        <f t="shared" si="41"/>
        <v>4</v>
      </c>
      <c r="V244" s="60">
        <f t="shared" si="42"/>
        <v>6</v>
      </c>
      <c r="W244" s="60">
        <f t="shared" si="43"/>
        <v>8</v>
      </c>
      <c r="X244" s="60">
        <f t="shared" si="44"/>
        <v>10</v>
      </c>
      <c r="Y244" s="60">
        <f t="shared" si="45"/>
        <v>12</v>
      </c>
      <c r="Z244" s="60">
        <f t="shared" si="46"/>
        <v>14</v>
      </c>
      <c r="AA244" s="60">
        <f t="shared" si="47"/>
        <v>16</v>
      </c>
      <c r="AB244" s="60">
        <f t="shared" si="48"/>
        <v>-6</v>
      </c>
      <c r="AC244" s="60">
        <f t="shared" si="49"/>
        <v>-4</v>
      </c>
      <c r="AD244" s="60">
        <f t="shared" si="50"/>
        <v>-2</v>
      </c>
      <c r="AE244" s="60">
        <f t="shared" si="51"/>
        <v>0</v>
      </c>
      <c r="AG244" s="60" cm="1">
        <f t="array" aca="1" ref="AG244" ca="1">SQRT(SUMSQ(_xlfn._xlws.FILTER(S244:AE244,ISNUMBER(S244:AE244)))/COUNT(_xlfn._xlws.FILTER(S244:AE244,ISNUMBER(S244:AE244))))</f>
        <v>8.5244745683629475</v>
      </c>
    </row>
    <row r="245" spans="3:33" x14ac:dyDescent="0.2">
      <c r="C245" s="60" t="s">
        <v>381</v>
      </c>
      <c r="D245" s="60">
        <v>0</v>
      </c>
      <c r="E245" s="60">
        <v>-1.9550000000000001</v>
      </c>
      <c r="F245" s="60">
        <v>-3.911</v>
      </c>
      <c r="G245" s="60">
        <v>-5.8659999999999997</v>
      </c>
      <c r="H245" s="60">
        <v>-7.8209999999999997</v>
      </c>
      <c r="I245" s="60">
        <v>-9.7759999999999998</v>
      </c>
      <c r="J245" s="60">
        <v>-11.731999999999999</v>
      </c>
      <c r="K245" s="60">
        <v>-13.69</v>
      </c>
      <c r="L245" s="60">
        <v>-15.641999999999999</v>
      </c>
      <c r="M245" s="60">
        <v>5.8650000000000002</v>
      </c>
      <c r="N245" s="60">
        <v>3.91</v>
      </c>
      <c r="O245" s="60">
        <v>1.9550000000000001</v>
      </c>
      <c r="P245" s="60">
        <v>0</v>
      </c>
      <c r="S245" s="60" t="e">
        <f t="shared" ca="1" si="39"/>
        <v>#REF!</v>
      </c>
      <c r="T245" s="60">
        <f t="shared" si="40"/>
        <v>1.9550000000000001</v>
      </c>
      <c r="U245" s="60">
        <f t="shared" si="41"/>
        <v>3.911</v>
      </c>
      <c r="V245" s="60">
        <f t="shared" si="42"/>
        <v>5.8659999999999997</v>
      </c>
      <c r="W245" s="60">
        <f t="shared" si="43"/>
        <v>7.8209999999999997</v>
      </c>
      <c r="X245" s="60">
        <f t="shared" si="44"/>
        <v>9.7759999999999998</v>
      </c>
      <c r="Y245" s="60">
        <f t="shared" si="45"/>
        <v>11.731999999999999</v>
      </c>
      <c r="Z245" s="60">
        <f t="shared" si="46"/>
        <v>13.69</v>
      </c>
      <c r="AA245" s="60">
        <f t="shared" si="47"/>
        <v>15.641999999999999</v>
      </c>
      <c r="AB245" s="60">
        <f t="shared" si="48"/>
        <v>-5.8650000000000002</v>
      </c>
      <c r="AC245" s="60">
        <f t="shared" si="49"/>
        <v>-3.91</v>
      </c>
      <c r="AD245" s="60">
        <f t="shared" si="50"/>
        <v>-1.9550000000000001</v>
      </c>
      <c r="AE245" s="60">
        <f t="shared" si="51"/>
        <v>0</v>
      </c>
      <c r="AG245" s="60" cm="1">
        <f t="array" aca="1" ref="AG245" ca="1">SQRT(SUMSQ(_xlfn._xlws.FILTER(S245:AE245,ISNUMBER(S245:AE245)))/COUNT(_xlfn._xlws.FILTER(S245:AE245,ISNUMBER(S245:AE245))))</f>
        <v>8.3341794087160537</v>
      </c>
    </row>
    <row r="246" spans="3:33" x14ac:dyDescent="0.2">
      <c r="C246" s="60" t="s">
        <v>382</v>
      </c>
      <c r="D246" s="60">
        <v>0</v>
      </c>
      <c r="E246" s="60">
        <v>-2</v>
      </c>
      <c r="F246" s="60">
        <v>-6</v>
      </c>
      <c r="G246" s="60">
        <v>-8</v>
      </c>
      <c r="H246" s="60">
        <v>-9</v>
      </c>
      <c r="I246" s="60">
        <v>-12</v>
      </c>
      <c r="J246" s="60">
        <v>-14</v>
      </c>
      <c r="K246" s="60">
        <v>-15</v>
      </c>
      <c r="L246" s="60">
        <v>-18</v>
      </c>
      <c r="M246" s="60">
        <v>3</v>
      </c>
      <c r="N246" s="60">
        <v>2</v>
      </c>
      <c r="O246" s="60">
        <v>1</v>
      </c>
      <c r="P246" s="60">
        <v>0</v>
      </c>
      <c r="S246" s="60" t="e">
        <f t="shared" ca="1" si="39"/>
        <v>#REF!</v>
      </c>
      <c r="T246" s="60">
        <f t="shared" si="40"/>
        <v>2</v>
      </c>
      <c r="U246" s="60">
        <f t="shared" si="41"/>
        <v>6</v>
      </c>
      <c r="V246" s="60">
        <f t="shared" si="42"/>
        <v>8</v>
      </c>
      <c r="W246" s="60">
        <f t="shared" si="43"/>
        <v>9</v>
      </c>
      <c r="X246" s="60">
        <f t="shared" si="44"/>
        <v>12</v>
      </c>
      <c r="Y246" s="60">
        <f t="shared" si="45"/>
        <v>14</v>
      </c>
      <c r="Z246" s="60">
        <f t="shared" si="46"/>
        <v>15</v>
      </c>
      <c r="AA246" s="60">
        <f t="shared" si="47"/>
        <v>18</v>
      </c>
      <c r="AB246" s="60">
        <f t="shared" si="48"/>
        <v>-3</v>
      </c>
      <c r="AC246" s="60">
        <f t="shared" si="49"/>
        <v>-2</v>
      </c>
      <c r="AD246" s="60">
        <f t="shared" si="50"/>
        <v>-1</v>
      </c>
      <c r="AE246" s="60">
        <f t="shared" si="51"/>
        <v>0</v>
      </c>
      <c r="AG246" s="60" cm="1">
        <f t="array" aca="1" ref="AG246" ca="1">SQRT(SUMSQ(_xlfn._xlws.FILTER(S246:AE246,ISNUMBER(S246:AE246)))/COUNT(_xlfn._xlws.FILTER(S246:AE246,ISNUMBER(S246:AE246))))</f>
        <v>9.5219045713904666</v>
      </c>
    </row>
    <row r="247" spans="3:33" x14ac:dyDescent="0.2">
      <c r="C247" s="60" t="s">
        <v>383</v>
      </c>
      <c r="D247" s="60">
        <v>0</v>
      </c>
      <c r="E247" s="60">
        <v>-2.34</v>
      </c>
      <c r="F247" s="60">
        <v>-6.11</v>
      </c>
      <c r="G247" s="60">
        <v>-7.99</v>
      </c>
      <c r="H247" s="60">
        <v>-8.59</v>
      </c>
      <c r="I247" s="60">
        <v>-11.8</v>
      </c>
      <c r="J247" s="60">
        <v>-14.35</v>
      </c>
      <c r="K247" s="60">
        <v>-15.45</v>
      </c>
      <c r="L247" s="60">
        <v>-17.579999999999998</v>
      </c>
      <c r="M247" s="60">
        <v>3.34</v>
      </c>
      <c r="N247" s="60">
        <v>1.7</v>
      </c>
      <c r="O247" s="60">
        <v>1.25</v>
      </c>
      <c r="P247" s="60">
        <v>0</v>
      </c>
      <c r="S247" s="60" t="e">
        <f t="shared" ca="1" si="39"/>
        <v>#REF!</v>
      </c>
      <c r="T247" s="60">
        <f t="shared" si="40"/>
        <v>2.34</v>
      </c>
      <c r="U247" s="60">
        <f t="shared" si="41"/>
        <v>6.11</v>
      </c>
      <c r="V247" s="60">
        <f t="shared" si="42"/>
        <v>7.99</v>
      </c>
      <c r="W247" s="60">
        <f t="shared" si="43"/>
        <v>8.59</v>
      </c>
      <c r="X247" s="60">
        <f t="shared" si="44"/>
        <v>11.8</v>
      </c>
      <c r="Y247" s="60">
        <f t="shared" si="45"/>
        <v>14.35</v>
      </c>
      <c r="Z247" s="60">
        <f t="shared" si="46"/>
        <v>15.45</v>
      </c>
      <c r="AA247" s="60">
        <f t="shared" si="47"/>
        <v>17.579999999999998</v>
      </c>
      <c r="AB247" s="60">
        <f t="shared" si="48"/>
        <v>-3.34</v>
      </c>
      <c r="AC247" s="60">
        <f t="shared" si="49"/>
        <v>-1.7</v>
      </c>
      <c r="AD247" s="60">
        <f t="shared" si="50"/>
        <v>-1.25</v>
      </c>
      <c r="AE247" s="60">
        <f t="shared" si="51"/>
        <v>0</v>
      </c>
      <c r="AG247" s="60" cm="1">
        <f t="array" aca="1" ref="AG247" ca="1">SQRT(SUMSQ(_xlfn._xlws.FILTER(S247:AE247,ISNUMBER(S247:AE247)))/COUNT(_xlfn._xlws.FILTER(S247:AE247,ISNUMBER(S247:AE247))))</f>
        <v>9.526128104674358</v>
      </c>
    </row>
    <row r="248" spans="3:33" x14ac:dyDescent="0.2">
      <c r="C248" s="60" t="s">
        <v>384</v>
      </c>
      <c r="D248" s="60">
        <v>0</v>
      </c>
      <c r="E248" s="60">
        <v>-2</v>
      </c>
      <c r="F248" s="60">
        <v>-6</v>
      </c>
      <c r="G248" s="60">
        <v>-8</v>
      </c>
      <c r="H248" s="60">
        <v>-11</v>
      </c>
      <c r="I248" s="60">
        <v>-12</v>
      </c>
      <c r="J248" s="60">
        <v>-14</v>
      </c>
      <c r="K248" s="60">
        <v>-15</v>
      </c>
      <c r="L248" s="60">
        <v>-18</v>
      </c>
      <c r="M248" s="60">
        <v>6</v>
      </c>
      <c r="N248" s="60">
        <v>4</v>
      </c>
      <c r="O248" s="60">
        <v>1</v>
      </c>
      <c r="P248" s="60">
        <v>0</v>
      </c>
      <c r="S248" s="60" t="e">
        <f t="shared" ca="1" si="39"/>
        <v>#REF!</v>
      </c>
      <c r="T248" s="60">
        <f t="shared" si="40"/>
        <v>2</v>
      </c>
      <c r="U248" s="60">
        <f t="shared" si="41"/>
        <v>6</v>
      </c>
      <c r="V248" s="60">
        <f t="shared" si="42"/>
        <v>8</v>
      </c>
      <c r="W248" s="60">
        <f t="shared" si="43"/>
        <v>11</v>
      </c>
      <c r="X248" s="60">
        <f t="shared" si="44"/>
        <v>12</v>
      </c>
      <c r="Y248" s="60">
        <f t="shared" si="45"/>
        <v>14</v>
      </c>
      <c r="Z248" s="60">
        <f t="shared" si="46"/>
        <v>15</v>
      </c>
      <c r="AA248" s="60">
        <f t="shared" si="47"/>
        <v>18</v>
      </c>
      <c r="AB248" s="60">
        <f t="shared" si="48"/>
        <v>-6</v>
      </c>
      <c r="AC248" s="60">
        <f t="shared" si="49"/>
        <v>-4</v>
      </c>
      <c r="AD248" s="60">
        <f t="shared" si="50"/>
        <v>-1</v>
      </c>
      <c r="AE248" s="60">
        <f t="shared" si="51"/>
        <v>0</v>
      </c>
      <c r="AG248" s="60" cm="1">
        <f t="array" aca="1" ref="AG248" ca="1">SQRT(SUMSQ(_xlfn._xlws.FILTER(S248:AE248,ISNUMBER(S248:AE248)))/COUNT(_xlfn._xlws.FILTER(S248:AE248,ISNUMBER(S248:AE248))))</f>
        <v>9.8615414616580104</v>
      </c>
    </row>
    <row r="249" spans="3:33" x14ac:dyDescent="0.2">
      <c r="C249" s="60" t="s">
        <v>385</v>
      </c>
      <c r="D249" s="60">
        <v>0</v>
      </c>
      <c r="E249" s="60">
        <v>-2.34</v>
      </c>
      <c r="F249" s="60">
        <v>-6.11</v>
      </c>
      <c r="G249" s="60">
        <v>-7.99</v>
      </c>
      <c r="H249" s="60">
        <v>-11.16</v>
      </c>
      <c r="I249" s="60">
        <v>-11.8</v>
      </c>
      <c r="J249" s="60">
        <v>-14.35</v>
      </c>
      <c r="K249" s="60">
        <v>-15.45</v>
      </c>
      <c r="L249" s="60">
        <v>-17.579999999999998</v>
      </c>
      <c r="M249" s="60">
        <v>5.73</v>
      </c>
      <c r="N249" s="60">
        <v>4.0999999999999996</v>
      </c>
      <c r="O249" s="60">
        <v>1.25</v>
      </c>
      <c r="P249" s="60">
        <v>0</v>
      </c>
      <c r="S249" s="60" t="e">
        <f t="shared" ca="1" si="39"/>
        <v>#REF!</v>
      </c>
      <c r="T249" s="60">
        <f t="shared" si="40"/>
        <v>2.34</v>
      </c>
      <c r="U249" s="60">
        <f t="shared" si="41"/>
        <v>6.11</v>
      </c>
      <c r="V249" s="60">
        <f t="shared" si="42"/>
        <v>7.99</v>
      </c>
      <c r="W249" s="60">
        <f t="shared" si="43"/>
        <v>11.16</v>
      </c>
      <c r="X249" s="60">
        <f t="shared" si="44"/>
        <v>11.8</v>
      </c>
      <c r="Y249" s="60">
        <f t="shared" si="45"/>
        <v>14.35</v>
      </c>
      <c r="Z249" s="60">
        <f t="shared" si="46"/>
        <v>15.45</v>
      </c>
      <c r="AA249" s="60">
        <f t="shared" si="47"/>
        <v>17.579999999999998</v>
      </c>
      <c r="AB249" s="60">
        <f t="shared" si="48"/>
        <v>-5.73</v>
      </c>
      <c r="AC249" s="60">
        <f t="shared" si="49"/>
        <v>-4.0999999999999996</v>
      </c>
      <c r="AD249" s="60">
        <f t="shared" si="50"/>
        <v>-1.25</v>
      </c>
      <c r="AE249" s="60">
        <f t="shared" si="51"/>
        <v>0</v>
      </c>
      <c r="AG249" s="60" cm="1">
        <f t="array" aca="1" ref="AG249" ca="1">SQRT(SUMSQ(_xlfn._xlws.FILTER(S249:AE249,ISNUMBER(S249:AE249)))/COUNT(_xlfn._xlws.FILTER(S249:AE249,ISNUMBER(S249:AE249))))</f>
        <v>9.8966332659142218</v>
      </c>
    </row>
    <row r="250" spans="3:33" x14ac:dyDescent="0.2">
      <c r="C250" s="60" t="s">
        <v>386</v>
      </c>
      <c r="D250" s="60">
        <v>0</v>
      </c>
      <c r="E250" s="60">
        <v>-2</v>
      </c>
      <c r="F250" s="60">
        <v>-5</v>
      </c>
      <c r="G250" s="60">
        <v>-8</v>
      </c>
      <c r="H250" s="60">
        <v>-12</v>
      </c>
      <c r="I250" s="60">
        <v>-16</v>
      </c>
      <c r="J250" s="60">
        <v>-16</v>
      </c>
      <c r="K250" s="60">
        <v>-16</v>
      </c>
      <c r="L250" s="60">
        <v>-15</v>
      </c>
      <c r="M250" s="60">
        <v>3</v>
      </c>
      <c r="N250" s="60">
        <v>4</v>
      </c>
      <c r="O250" s="60">
        <v>-1</v>
      </c>
      <c r="P250" s="60">
        <v>0</v>
      </c>
      <c r="S250" s="60" t="e">
        <f t="shared" ca="1" si="39"/>
        <v>#REF!</v>
      </c>
      <c r="T250" s="60">
        <f t="shared" si="40"/>
        <v>2</v>
      </c>
      <c r="U250" s="60">
        <f t="shared" si="41"/>
        <v>5</v>
      </c>
      <c r="V250" s="60">
        <f t="shared" si="42"/>
        <v>8</v>
      </c>
      <c r="W250" s="60">
        <f t="shared" si="43"/>
        <v>12</v>
      </c>
      <c r="X250" s="60">
        <f t="shared" si="44"/>
        <v>16</v>
      </c>
      <c r="Y250" s="60">
        <f t="shared" si="45"/>
        <v>16</v>
      </c>
      <c r="Z250" s="60">
        <f t="shared" si="46"/>
        <v>16</v>
      </c>
      <c r="AA250" s="60">
        <f t="shared" si="47"/>
        <v>15</v>
      </c>
      <c r="AB250" s="60">
        <f t="shared" si="48"/>
        <v>-3</v>
      </c>
      <c r="AC250" s="60">
        <f t="shared" si="49"/>
        <v>-4</v>
      </c>
      <c r="AD250" s="60">
        <f t="shared" si="50"/>
        <v>1</v>
      </c>
      <c r="AE250" s="60">
        <f t="shared" si="51"/>
        <v>0</v>
      </c>
      <c r="AG250" s="60" cm="1">
        <f t="array" aca="1" ref="AG250" ca="1">SQRT(SUMSQ(_xlfn._xlws.FILTER(S250:AE250,ISNUMBER(S250:AE250)))/COUNT(_xlfn._xlws.FILTER(S250:AE250,ISNUMBER(S250:AE250))))</f>
        <v>10.230672835481871</v>
      </c>
    </row>
    <row r="251" spans="3:33" x14ac:dyDescent="0.2">
      <c r="C251" s="60" t="s">
        <v>387</v>
      </c>
      <c r="D251" s="60">
        <v>0</v>
      </c>
      <c r="E251" s="60">
        <v>2</v>
      </c>
      <c r="F251" s="60">
        <v>-5</v>
      </c>
      <c r="G251" s="60">
        <v>-5</v>
      </c>
      <c r="H251" s="60">
        <v>-12</v>
      </c>
      <c r="I251" s="60">
        <v>0</v>
      </c>
      <c r="J251" s="60">
        <v>-16</v>
      </c>
      <c r="K251" s="60">
        <v>-16</v>
      </c>
      <c r="L251" s="60">
        <v>-15</v>
      </c>
      <c r="M251" s="60">
        <v>20</v>
      </c>
      <c r="N251" s="60">
        <v>4</v>
      </c>
      <c r="O251" s="60">
        <v>25</v>
      </c>
      <c r="P251" s="60">
        <v>0</v>
      </c>
      <c r="S251" s="60" t="e">
        <f t="shared" ca="1" si="39"/>
        <v>#REF!</v>
      </c>
      <c r="T251" s="60">
        <f t="shared" si="40"/>
        <v>-2</v>
      </c>
      <c r="U251" s="60">
        <f t="shared" si="41"/>
        <v>5</v>
      </c>
      <c r="V251" s="60">
        <f t="shared" si="42"/>
        <v>5</v>
      </c>
      <c r="W251" s="60">
        <f t="shared" si="43"/>
        <v>12</v>
      </c>
      <c r="X251" s="60">
        <f t="shared" si="44"/>
        <v>0</v>
      </c>
      <c r="Y251" s="60">
        <f t="shared" si="45"/>
        <v>16</v>
      </c>
      <c r="Z251" s="60">
        <f t="shared" si="46"/>
        <v>16</v>
      </c>
      <c r="AA251" s="60">
        <f t="shared" si="47"/>
        <v>15</v>
      </c>
      <c r="AB251" s="60">
        <f t="shared" si="48"/>
        <v>-20</v>
      </c>
      <c r="AC251" s="60">
        <f t="shared" si="49"/>
        <v>-4</v>
      </c>
      <c r="AD251" s="60">
        <f t="shared" si="50"/>
        <v>-25</v>
      </c>
      <c r="AE251" s="60">
        <f t="shared" si="51"/>
        <v>0</v>
      </c>
      <c r="AG251" s="60" cm="1">
        <f t="array" aca="1" ref="AG251" ca="1">SQRT(SUMSQ(_xlfn._xlws.FILTER(S251:AE251,ISNUMBER(S251:AE251)))/COUNT(_xlfn._xlws.FILTER(S251:AE251,ISNUMBER(S251:AE251))))</f>
        <v>12.832251036613439</v>
      </c>
    </row>
    <row r="252" spans="3:33" x14ac:dyDescent="0.2">
      <c r="C252" s="60" t="s">
        <v>388</v>
      </c>
      <c r="D252" s="60">
        <v>0</v>
      </c>
      <c r="E252" s="60">
        <v>-2</v>
      </c>
      <c r="F252" s="60">
        <v>-6</v>
      </c>
      <c r="G252" s="60">
        <v>-8</v>
      </c>
      <c r="H252" s="60">
        <v>-10</v>
      </c>
      <c r="I252" s="60">
        <v>-12</v>
      </c>
      <c r="J252" s="60">
        <v>-14</v>
      </c>
      <c r="K252" s="60">
        <v>-14</v>
      </c>
      <c r="L252" s="60">
        <v>-14</v>
      </c>
      <c r="M252" s="60">
        <v>0</v>
      </c>
      <c r="N252" s="60">
        <v>0</v>
      </c>
      <c r="O252" s="60">
        <v>0</v>
      </c>
      <c r="P252" s="60">
        <v>0</v>
      </c>
      <c r="S252" s="60" t="e">
        <f t="shared" ca="1" si="39"/>
        <v>#REF!</v>
      </c>
      <c r="T252" s="60">
        <f t="shared" si="40"/>
        <v>2</v>
      </c>
      <c r="U252" s="60">
        <f t="shared" si="41"/>
        <v>6</v>
      </c>
      <c r="V252" s="60">
        <f t="shared" si="42"/>
        <v>8</v>
      </c>
      <c r="W252" s="60">
        <f t="shared" si="43"/>
        <v>10</v>
      </c>
      <c r="X252" s="60">
        <f t="shared" si="44"/>
        <v>12</v>
      </c>
      <c r="Y252" s="60">
        <f t="shared" si="45"/>
        <v>14</v>
      </c>
      <c r="Z252" s="60">
        <f t="shared" si="46"/>
        <v>14</v>
      </c>
      <c r="AA252" s="60">
        <f t="shared" si="47"/>
        <v>14</v>
      </c>
      <c r="AB252" s="60">
        <f t="shared" si="48"/>
        <v>0</v>
      </c>
      <c r="AC252" s="60">
        <f t="shared" si="49"/>
        <v>0</v>
      </c>
      <c r="AD252" s="60">
        <f t="shared" si="50"/>
        <v>0</v>
      </c>
      <c r="AE252" s="60">
        <f t="shared" si="51"/>
        <v>0</v>
      </c>
      <c r="AG252" s="60" cm="1">
        <f t="array" aca="1" ref="AG252" ca="1">SQRT(SUMSQ(_xlfn._xlws.FILTER(S252:AE252,ISNUMBER(S252:AE252)))/COUNT(_xlfn._xlws.FILTER(S252:AE252,ISNUMBER(S252:AE252))))</f>
        <v>8.8317608663278477</v>
      </c>
    </row>
    <row r="253" spans="3:33" x14ac:dyDescent="0.2">
      <c r="C253" s="60" t="s">
        <v>389</v>
      </c>
      <c r="D253" s="60">
        <v>0</v>
      </c>
      <c r="E253" s="60">
        <v>-4</v>
      </c>
      <c r="F253" s="60">
        <v>-6</v>
      </c>
      <c r="G253" s="60">
        <v>-9</v>
      </c>
      <c r="H253" s="60">
        <v>-10</v>
      </c>
      <c r="I253" s="60">
        <v>-13</v>
      </c>
      <c r="J253" s="60">
        <v>-14</v>
      </c>
      <c r="K253" s="60">
        <v>-16</v>
      </c>
      <c r="L253" s="60">
        <v>-20</v>
      </c>
      <c r="M253" s="60">
        <v>6</v>
      </c>
      <c r="N253" s="60">
        <v>3</v>
      </c>
      <c r="O253" s="60">
        <v>2</v>
      </c>
      <c r="P253" s="60">
        <v>0</v>
      </c>
      <c r="S253" s="60" t="e">
        <f t="shared" ca="1" si="39"/>
        <v>#REF!</v>
      </c>
      <c r="T253" s="60">
        <f t="shared" si="40"/>
        <v>4</v>
      </c>
      <c r="U253" s="60">
        <f t="shared" si="41"/>
        <v>6</v>
      </c>
      <c r="V253" s="60">
        <f t="shared" si="42"/>
        <v>9</v>
      </c>
      <c r="W253" s="60">
        <f t="shared" si="43"/>
        <v>10</v>
      </c>
      <c r="X253" s="60">
        <f t="shared" si="44"/>
        <v>13</v>
      </c>
      <c r="Y253" s="60">
        <f t="shared" si="45"/>
        <v>14</v>
      </c>
      <c r="Z253" s="60">
        <f t="shared" si="46"/>
        <v>16</v>
      </c>
      <c r="AA253" s="60">
        <f t="shared" si="47"/>
        <v>20</v>
      </c>
      <c r="AB253" s="60">
        <f t="shared" si="48"/>
        <v>-6</v>
      </c>
      <c r="AC253" s="60">
        <f t="shared" si="49"/>
        <v>-3</v>
      </c>
      <c r="AD253" s="60">
        <f t="shared" si="50"/>
        <v>-2</v>
      </c>
      <c r="AE253" s="60">
        <f t="shared" si="51"/>
        <v>0</v>
      </c>
      <c r="AG253" s="60" cm="1">
        <f t="array" aca="1" ref="AG253" ca="1">SQRT(SUMSQ(_xlfn._xlws.FILTER(S253:AE253,ISNUMBER(S253:AE253)))/COUNT(_xlfn._xlws.FILTER(S253:AE253,ISNUMBER(S253:AE253))))</f>
        <v>10.420332688227058</v>
      </c>
    </row>
    <row r="254" spans="3:33" x14ac:dyDescent="0.2">
      <c r="C254" s="60" t="s">
        <v>390</v>
      </c>
      <c r="D254" s="60">
        <v>0</v>
      </c>
      <c r="E254" s="60">
        <v>8</v>
      </c>
      <c r="F254" s="60">
        <v>-3</v>
      </c>
      <c r="G254" s="60">
        <v>0</v>
      </c>
      <c r="H254" s="60">
        <v>-5</v>
      </c>
      <c r="I254" s="60">
        <v>3</v>
      </c>
      <c r="J254" s="60">
        <v>2</v>
      </c>
      <c r="K254" s="60">
        <v>-6</v>
      </c>
      <c r="L254" s="60">
        <v>-4</v>
      </c>
      <c r="M254" s="60">
        <v>1</v>
      </c>
      <c r="N254" s="60">
        <v>2</v>
      </c>
      <c r="O254" s="60">
        <v>2</v>
      </c>
      <c r="P254" s="60">
        <v>0</v>
      </c>
      <c r="S254" s="60" t="e">
        <f t="shared" ca="1" si="39"/>
        <v>#REF!</v>
      </c>
      <c r="T254" s="60">
        <f t="shared" si="40"/>
        <v>-8</v>
      </c>
      <c r="U254" s="60">
        <f t="shared" si="41"/>
        <v>3</v>
      </c>
      <c r="V254" s="60">
        <f t="shared" si="42"/>
        <v>0</v>
      </c>
      <c r="W254" s="60">
        <f t="shared" si="43"/>
        <v>5</v>
      </c>
      <c r="X254" s="60">
        <f t="shared" si="44"/>
        <v>-3</v>
      </c>
      <c r="Y254" s="60">
        <f t="shared" si="45"/>
        <v>-2</v>
      </c>
      <c r="Z254" s="60">
        <f t="shared" si="46"/>
        <v>6</v>
      </c>
      <c r="AA254" s="60">
        <f t="shared" si="47"/>
        <v>4</v>
      </c>
      <c r="AB254" s="60">
        <f t="shared" si="48"/>
        <v>-1</v>
      </c>
      <c r="AC254" s="60">
        <f t="shared" si="49"/>
        <v>-2</v>
      </c>
      <c r="AD254" s="60">
        <f t="shared" si="50"/>
        <v>-2</v>
      </c>
      <c r="AE254" s="60">
        <f t="shared" si="51"/>
        <v>0</v>
      </c>
      <c r="AG254" s="60" cm="1">
        <f t="array" aca="1" ref="AG254" ca="1">SQRT(SUMSQ(_xlfn._xlws.FILTER(S254:AE254,ISNUMBER(S254:AE254)))/COUNT(_xlfn._xlws.FILTER(S254:AE254,ISNUMBER(S254:AE254))))</f>
        <v>3.7859388972001824</v>
      </c>
    </row>
    <row r="255" spans="3:33" x14ac:dyDescent="0.2">
      <c r="C255" s="60" t="s">
        <v>391</v>
      </c>
      <c r="D255" s="60">
        <v>0</v>
      </c>
      <c r="E255" s="60">
        <v>-6</v>
      </c>
      <c r="F255" s="60">
        <v>-10</v>
      </c>
      <c r="G255" s="60">
        <v>-8</v>
      </c>
      <c r="H255" s="60">
        <v>-16</v>
      </c>
      <c r="I255" s="60">
        <v>-14</v>
      </c>
      <c r="J255" s="60">
        <v>-19</v>
      </c>
      <c r="K255" s="60">
        <v>-24</v>
      </c>
      <c r="L255" s="60">
        <v>-16</v>
      </c>
      <c r="M255" s="60">
        <v>5</v>
      </c>
      <c r="N255" s="60">
        <v>15</v>
      </c>
      <c r="O255" s="60">
        <v>-1</v>
      </c>
      <c r="P255" s="60">
        <v>0</v>
      </c>
      <c r="S255" s="60" t="e">
        <f t="shared" ca="1" si="39"/>
        <v>#REF!</v>
      </c>
      <c r="T255" s="60">
        <f t="shared" si="40"/>
        <v>6</v>
      </c>
      <c r="U255" s="60">
        <f t="shared" si="41"/>
        <v>10</v>
      </c>
      <c r="V255" s="60">
        <f t="shared" si="42"/>
        <v>8</v>
      </c>
      <c r="W255" s="60">
        <f t="shared" si="43"/>
        <v>16</v>
      </c>
      <c r="X255" s="60">
        <f t="shared" si="44"/>
        <v>14</v>
      </c>
      <c r="Y255" s="60">
        <f t="shared" si="45"/>
        <v>19</v>
      </c>
      <c r="Z255" s="60">
        <f t="shared" si="46"/>
        <v>24</v>
      </c>
      <c r="AA255" s="60">
        <f t="shared" si="47"/>
        <v>16</v>
      </c>
      <c r="AB255" s="60">
        <f t="shared" si="48"/>
        <v>-5</v>
      </c>
      <c r="AC255" s="60">
        <f t="shared" si="49"/>
        <v>-15</v>
      </c>
      <c r="AD255" s="60">
        <f t="shared" si="50"/>
        <v>1</v>
      </c>
      <c r="AE255" s="60">
        <f t="shared" si="51"/>
        <v>0</v>
      </c>
      <c r="AG255" s="60" cm="1">
        <f t="array" aca="1" ref="AG255" ca="1">SQRT(SUMSQ(_xlfn._xlws.FILTER(S255:AE255,ISNUMBER(S255:AE255)))/COUNT(_xlfn._xlws.FILTER(S255:AE255,ISNUMBER(S255:AE255))))</f>
        <v>13.21615173439934</v>
      </c>
    </row>
    <row r="256" spans="3:33" x14ac:dyDescent="0.2">
      <c r="C256" s="60" t="s">
        <v>392</v>
      </c>
      <c r="D256" s="60">
        <v>0</v>
      </c>
      <c r="E256" s="60">
        <v>3</v>
      </c>
      <c r="F256" s="60">
        <v>-11</v>
      </c>
      <c r="G256" s="60">
        <v>-2</v>
      </c>
      <c r="H256" s="60">
        <v>-14</v>
      </c>
      <c r="I256" s="60">
        <v>8</v>
      </c>
      <c r="J256" s="60">
        <v>-16</v>
      </c>
      <c r="K256" s="60">
        <v>-24</v>
      </c>
      <c r="L256" s="60">
        <v>-22</v>
      </c>
      <c r="M256" s="60">
        <v>6</v>
      </c>
      <c r="N256" s="60">
        <v>12</v>
      </c>
      <c r="O256" s="60">
        <v>2</v>
      </c>
      <c r="P256" s="60">
        <v>0</v>
      </c>
      <c r="S256" s="60" t="e">
        <f t="shared" ca="1" si="39"/>
        <v>#REF!</v>
      </c>
      <c r="T256" s="60">
        <f t="shared" si="40"/>
        <v>-3</v>
      </c>
      <c r="U256" s="60">
        <f t="shared" si="41"/>
        <v>11</v>
      </c>
      <c r="V256" s="60">
        <f t="shared" si="42"/>
        <v>2</v>
      </c>
      <c r="W256" s="60">
        <f t="shared" si="43"/>
        <v>14</v>
      </c>
      <c r="X256" s="60">
        <f t="shared" si="44"/>
        <v>-8</v>
      </c>
      <c r="Y256" s="60">
        <f t="shared" si="45"/>
        <v>16</v>
      </c>
      <c r="Z256" s="60">
        <f t="shared" si="46"/>
        <v>24</v>
      </c>
      <c r="AA256" s="60">
        <f t="shared" si="47"/>
        <v>22</v>
      </c>
      <c r="AB256" s="60">
        <f t="shared" si="48"/>
        <v>-6</v>
      </c>
      <c r="AC256" s="60">
        <f t="shared" si="49"/>
        <v>-12</v>
      </c>
      <c r="AD256" s="60">
        <f t="shared" si="50"/>
        <v>-2</v>
      </c>
      <c r="AE256" s="60">
        <f t="shared" si="51"/>
        <v>0</v>
      </c>
      <c r="AG256" s="60" cm="1">
        <f t="array" aca="1" ref="AG256" ca="1">SQRT(SUMSQ(_xlfn._xlws.FILTER(S256:AE256,ISNUMBER(S256:AE256)))/COUNT(_xlfn._xlws.FILTER(S256:AE256,ISNUMBER(S256:AE256))))</f>
        <v>12.563173696695168</v>
      </c>
    </row>
    <row r="257" spans="3:33" x14ac:dyDescent="0.2">
      <c r="C257" s="60" t="s">
        <v>393</v>
      </c>
      <c r="D257" s="60">
        <v>0</v>
      </c>
      <c r="E257" s="60">
        <v>-2</v>
      </c>
      <c r="F257" s="60">
        <v>-4</v>
      </c>
      <c r="G257" s="60">
        <v>-6</v>
      </c>
      <c r="H257" s="60">
        <v>-8</v>
      </c>
      <c r="I257" s="60">
        <v>-10</v>
      </c>
      <c r="J257" s="60">
        <v>-12</v>
      </c>
      <c r="K257" s="60">
        <v>-14</v>
      </c>
      <c r="L257" s="60">
        <v>-16</v>
      </c>
      <c r="M257" s="60">
        <v>2</v>
      </c>
      <c r="N257" s="60">
        <v>0</v>
      </c>
      <c r="O257" s="60">
        <v>0</v>
      </c>
      <c r="P257" s="60">
        <v>0</v>
      </c>
      <c r="S257" s="60" t="e">
        <f t="shared" ca="1" si="39"/>
        <v>#REF!</v>
      </c>
      <c r="T257" s="60">
        <f t="shared" si="40"/>
        <v>2</v>
      </c>
      <c r="U257" s="60">
        <f t="shared" si="41"/>
        <v>4</v>
      </c>
      <c r="V257" s="60">
        <f t="shared" si="42"/>
        <v>6</v>
      </c>
      <c r="W257" s="60">
        <f t="shared" si="43"/>
        <v>8</v>
      </c>
      <c r="X257" s="60">
        <f t="shared" si="44"/>
        <v>10</v>
      </c>
      <c r="Y257" s="60">
        <f t="shared" si="45"/>
        <v>12</v>
      </c>
      <c r="Z257" s="60">
        <f t="shared" si="46"/>
        <v>14</v>
      </c>
      <c r="AA257" s="60">
        <f t="shared" si="47"/>
        <v>16</v>
      </c>
      <c r="AB257" s="60">
        <f t="shared" si="48"/>
        <v>-2</v>
      </c>
      <c r="AC257" s="60">
        <f t="shared" si="49"/>
        <v>0</v>
      </c>
      <c r="AD257" s="60">
        <f t="shared" si="50"/>
        <v>0</v>
      </c>
      <c r="AE257" s="60">
        <f t="shared" si="51"/>
        <v>0</v>
      </c>
      <c r="AG257" s="60" cm="1">
        <f t="array" aca="1" ref="AG257" ca="1">SQRT(SUMSQ(_xlfn._xlws.FILTER(S257:AE257,ISNUMBER(S257:AE257)))/COUNT(_xlfn._xlws.FILTER(S257:AE257,ISNUMBER(S257:AE257))))</f>
        <v>8.2663978450914968</v>
      </c>
    </row>
    <row r="258" spans="3:33" x14ac:dyDescent="0.2">
      <c r="C258" s="60" t="s">
        <v>394</v>
      </c>
      <c r="D258" s="60">
        <v>0</v>
      </c>
      <c r="E258" s="60">
        <v>-4</v>
      </c>
      <c r="F258" s="60">
        <v>-9</v>
      </c>
      <c r="G258" s="60">
        <v>-13</v>
      </c>
      <c r="H258" s="60">
        <v>-18</v>
      </c>
      <c r="I258" s="60">
        <v>-22</v>
      </c>
      <c r="J258" s="60">
        <v>-27</v>
      </c>
      <c r="K258" s="60">
        <v>-31</v>
      </c>
      <c r="L258" s="60">
        <v>-36</v>
      </c>
      <c r="M258" s="60">
        <v>13</v>
      </c>
      <c r="N258" s="60">
        <v>9</v>
      </c>
      <c r="O258" s="60">
        <v>4</v>
      </c>
      <c r="P258" s="60">
        <v>0</v>
      </c>
      <c r="S258" s="60" t="e">
        <f t="shared" ca="1" si="39"/>
        <v>#REF!</v>
      </c>
      <c r="T258" s="60">
        <f t="shared" si="40"/>
        <v>4</v>
      </c>
      <c r="U258" s="60">
        <f t="shared" si="41"/>
        <v>9</v>
      </c>
      <c r="V258" s="60">
        <f t="shared" si="42"/>
        <v>13</v>
      </c>
      <c r="W258" s="60">
        <f t="shared" si="43"/>
        <v>18</v>
      </c>
      <c r="X258" s="60">
        <f t="shared" si="44"/>
        <v>22</v>
      </c>
      <c r="Y258" s="60">
        <f t="shared" si="45"/>
        <v>27</v>
      </c>
      <c r="Z258" s="60">
        <f t="shared" si="46"/>
        <v>31</v>
      </c>
      <c r="AA258" s="60">
        <f t="shared" si="47"/>
        <v>36</v>
      </c>
      <c r="AB258" s="60">
        <f t="shared" si="48"/>
        <v>-13</v>
      </c>
      <c r="AC258" s="60">
        <f t="shared" si="49"/>
        <v>-9</v>
      </c>
      <c r="AD258" s="60">
        <f t="shared" si="50"/>
        <v>-4</v>
      </c>
      <c r="AE258" s="60">
        <f t="shared" si="51"/>
        <v>0</v>
      </c>
      <c r="AG258" s="60" cm="1">
        <f t="array" aca="1" ref="AG258" ca="1">SQRT(SUMSQ(_xlfn._xlws.FILTER(S258:AE258,ISNUMBER(S258:AE258)))/COUNT(_xlfn._xlws.FILTER(S258:AE258,ISNUMBER(S258:AE258))))</f>
        <v>18.986837546047525</v>
      </c>
    </row>
    <row r="259" spans="3:33" x14ac:dyDescent="0.2">
      <c r="C259" s="60" t="s">
        <v>395</v>
      </c>
      <c r="D259" s="60">
        <v>0</v>
      </c>
      <c r="E259" s="60">
        <v>-4.4969999999999999</v>
      </c>
      <c r="F259" s="60">
        <v>-8.9939999999999998</v>
      </c>
      <c r="G259" s="60">
        <v>-13.491</v>
      </c>
      <c r="H259" s="60">
        <v>-17.988</v>
      </c>
      <c r="I259" s="60">
        <v>-22.484000000000002</v>
      </c>
      <c r="J259" s="60">
        <v>-26.981000000000002</v>
      </c>
      <c r="K259" s="60">
        <v>-31.478000000000002</v>
      </c>
      <c r="L259" s="60">
        <v>-35.975000000000001</v>
      </c>
      <c r="M259" s="60">
        <v>13.491</v>
      </c>
      <c r="N259" s="60">
        <v>8.9939999999999998</v>
      </c>
      <c r="O259" s="60">
        <v>4.4969999999999999</v>
      </c>
      <c r="P259" s="60">
        <v>0</v>
      </c>
      <c r="S259" s="60" t="e">
        <f t="shared" ca="1" si="39"/>
        <v>#REF!</v>
      </c>
      <c r="T259" s="60">
        <f t="shared" si="40"/>
        <v>4.4969999999999999</v>
      </c>
      <c r="U259" s="60">
        <f t="shared" si="41"/>
        <v>8.9939999999999998</v>
      </c>
      <c r="V259" s="60">
        <f t="shared" si="42"/>
        <v>13.491</v>
      </c>
      <c r="W259" s="60">
        <f t="shared" si="43"/>
        <v>17.988</v>
      </c>
      <c r="X259" s="60">
        <f t="shared" si="44"/>
        <v>22.484000000000002</v>
      </c>
      <c r="Y259" s="60">
        <f t="shared" si="45"/>
        <v>26.981000000000002</v>
      </c>
      <c r="Z259" s="60">
        <f t="shared" si="46"/>
        <v>31.478000000000002</v>
      </c>
      <c r="AA259" s="60">
        <f t="shared" si="47"/>
        <v>35.975000000000001</v>
      </c>
      <c r="AB259" s="60">
        <f t="shared" si="48"/>
        <v>-13.491</v>
      </c>
      <c r="AC259" s="60">
        <f t="shared" si="49"/>
        <v>-8.9939999999999998</v>
      </c>
      <c r="AD259" s="60">
        <f t="shared" si="50"/>
        <v>-4.4969999999999999</v>
      </c>
      <c r="AE259" s="60">
        <f t="shared" si="51"/>
        <v>0</v>
      </c>
      <c r="AG259" s="60" cm="1">
        <f t="array" aca="1" ref="AG259" ca="1">SQRT(SUMSQ(_xlfn._xlws.FILTER(S259:AE259,ISNUMBER(S259:AE259)))/COUNT(_xlfn._xlws.FILTER(S259:AE259,ISNUMBER(S259:AE259))))</f>
        <v>19.166772728692052</v>
      </c>
    </row>
    <row r="260" spans="3:33" x14ac:dyDescent="0.2">
      <c r="C260" s="60" t="s">
        <v>396</v>
      </c>
      <c r="D260" s="60">
        <v>0</v>
      </c>
      <c r="E260" s="60">
        <v>-4</v>
      </c>
      <c r="F260" s="60">
        <v>-8</v>
      </c>
      <c r="G260" s="60">
        <v>-12</v>
      </c>
      <c r="H260" s="60">
        <v>-16</v>
      </c>
      <c r="I260" s="60">
        <v>-20</v>
      </c>
      <c r="J260" s="60">
        <v>-24</v>
      </c>
      <c r="K260" s="60">
        <v>-28</v>
      </c>
      <c r="L260" s="60">
        <v>-32</v>
      </c>
      <c r="M260" s="60">
        <v>12</v>
      </c>
      <c r="N260" s="60">
        <v>8</v>
      </c>
      <c r="O260" s="60">
        <v>4</v>
      </c>
      <c r="P260" s="60">
        <v>0</v>
      </c>
      <c r="S260" s="60" t="e">
        <f t="shared" ca="1" si="39"/>
        <v>#REF!</v>
      </c>
      <c r="T260" s="60">
        <f t="shared" si="40"/>
        <v>4</v>
      </c>
      <c r="U260" s="60">
        <f t="shared" si="41"/>
        <v>8</v>
      </c>
      <c r="V260" s="60">
        <f t="shared" si="42"/>
        <v>12</v>
      </c>
      <c r="W260" s="60">
        <f t="shared" si="43"/>
        <v>16</v>
      </c>
      <c r="X260" s="60">
        <f t="shared" si="44"/>
        <v>20</v>
      </c>
      <c r="Y260" s="60">
        <f t="shared" si="45"/>
        <v>24</v>
      </c>
      <c r="Z260" s="60">
        <f t="shared" si="46"/>
        <v>28</v>
      </c>
      <c r="AA260" s="60">
        <f t="shared" si="47"/>
        <v>32</v>
      </c>
      <c r="AB260" s="60">
        <f t="shared" si="48"/>
        <v>-12</v>
      </c>
      <c r="AC260" s="60">
        <f t="shared" si="49"/>
        <v>-8</v>
      </c>
      <c r="AD260" s="60">
        <f t="shared" si="50"/>
        <v>-4</v>
      </c>
      <c r="AE260" s="60">
        <f t="shared" si="51"/>
        <v>0</v>
      </c>
      <c r="AG260" s="60" cm="1">
        <f t="array" aca="1" ref="AG260" ca="1">SQRT(SUMSQ(_xlfn._xlws.FILTER(S260:AE260,ISNUMBER(S260:AE260)))/COUNT(_xlfn._xlws.FILTER(S260:AE260,ISNUMBER(S260:AE260))))</f>
        <v>17.048949136725895</v>
      </c>
    </row>
    <row r="261" spans="3:33" x14ac:dyDescent="0.2">
      <c r="C261" s="60" t="s">
        <v>397</v>
      </c>
      <c r="D261" s="60">
        <v>0</v>
      </c>
      <c r="E261" s="60">
        <v>-4.0190000000000001</v>
      </c>
      <c r="F261" s="60">
        <v>-8.0380000000000003</v>
      </c>
      <c r="G261" s="60">
        <v>-12.057</v>
      </c>
      <c r="H261" s="60">
        <v>-16.076000000000001</v>
      </c>
      <c r="I261" s="60">
        <v>-20.094999999999999</v>
      </c>
      <c r="J261" s="60">
        <v>-24.114000000000001</v>
      </c>
      <c r="K261" s="60">
        <v>-28.132000000000001</v>
      </c>
      <c r="L261" s="60">
        <v>-32.152000000000001</v>
      </c>
      <c r="M261" s="60">
        <v>12.057</v>
      </c>
      <c r="N261" s="60">
        <v>8.0380000000000003</v>
      </c>
      <c r="O261" s="60">
        <v>4.0190000000000001</v>
      </c>
      <c r="P261" s="60">
        <v>0</v>
      </c>
      <c r="S261" s="60" t="e">
        <f t="shared" ref="S261:S292" ca="1" si="52">S$4-D261</f>
        <v>#REF!</v>
      </c>
      <c r="T261" s="60">
        <f t="shared" ref="T261:T292" si="53">T$4-E261</f>
        <v>4.0190000000000001</v>
      </c>
      <c r="U261" s="60">
        <f t="shared" ref="U261:U292" si="54">U$4-F261</f>
        <v>8.0380000000000003</v>
      </c>
      <c r="V261" s="60">
        <f t="shared" ref="V261:V292" si="55">V$4-G261</f>
        <v>12.057</v>
      </c>
      <c r="W261" s="60">
        <f t="shared" ref="W261:W292" si="56">W$4-H261</f>
        <v>16.076000000000001</v>
      </c>
      <c r="X261" s="60">
        <f t="shared" ref="X261:X292" si="57">X$4-I261</f>
        <v>20.094999999999999</v>
      </c>
      <c r="Y261" s="60">
        <f t="shared" ref="Y261:Y292" si="58">Y$4-J261</f>
        <v>24.114000000000001</v>
      </c>
      <c r="Z261" s="60">
        <f t="shared" ref="Z261:Z292" si="59">Z$4-K261</f>
        <v>28.132000000000001</v>
      </c>
      <c r="AA261" s="60" t="s">
        <v>575</v>
      </c>
      <c r="AB261" s="60">
        <f t="shared" ref="AB261:AB292" si="60">AB$4-M261</f>
        <v>-12.057</v>
      </c>
      <c r="AC261" s="60">
        <f t="shared" ref="AC261:AC292" si="61">AC$4-N261</f>
        <v>-8.0380000000000003</v>
      </c>
      <c r="AD261" s="60">
        <f t="shared" ref="AD261:AD292" si="62">AD$4-O261</f>
        <v>-4.0190000000000001</v>
      </c>
      <c r="AE261" s="60">
        <f t="shared" ref="AE261:AE292" si="63">AE$4-P261</f>
        <v>0</v>
      </c>
      <c r="AG261" s="60" cm="1">
        <f t="array" aca="1" ref="AG261" ca="1">SQRT(SUMSQ(_xlfn._xlws.FILTER(S261:AE261,ISNUMBER(S261:AE261)))/COUNT(_xlfn._xlws.FILTER(S261:AE261,ISNUMBER(S261:AE261))))</f>
        <v>15.037550964169665</v>
      </c>
    </row>
    <row r="262" spans="3:33" x14ac:dyDescent="0.2">
      <c r="C262" s="60" t="s">
        <v>398</v>
      </c>
      <c r="D262" s="60">
        <v>0</v>
      </c>
      <c r="E262" s="60">
        <v>-3</v>
      </c>
      <c r="F262" s="60">
        <v>-5</v>
      </c>
      <c r="G262" s="60">
        <v>-8</v>
      </c>
      <c r="H262" s="60">
        <v>-11</v>
      </c>
      <c r="I262" s="60">
        <v>-14</v>
      </c>
      <c r="J262" s="60">
        <v>-16</v>
      </c>
      <c r="K262" s="60">
        <v>-19</v>
      </c>
      <c r="L262" s="60">
        <v>-22</v>
      </c>
      <c r="M262" s="60">
        <v>8</v>
      </c>
      <c r="N262" s="60">
        <v>5</v>
      </c>
      <c r="O262" s="60">
        <v>3</v>
      </c>
      <c r="P262" s="60">
        <v>0</v>
      </c>
      <c r="S262" s="60" t="e">
        <f t="shared" ca="1" si="52"/>
        <v>#REF!</v>
      </c>
      <c r="T262" s="60">
        <f t="shared" si="53"/>
        <v>3</v>
      </c>
      <c r="U262" s="60">
        <f t="shared" si="54"/>
        <v>5</v>
      </c>
      <c r="V262" s="60">
        <f t="shared" si="55"/>
        <v>8</v>
      </c>
      <c r="W262" s="60">
        <f t="shared" si="56"/>
        <v>11</v>
      </c>
      <c r="X262" s="60">
        <f t="shared" si="57"/>
        <v>14</v>
      </c>
      <c r="Y262" s="60">
        <f t="shared" si="58"/>
        <v>16</v>
      </c>
      <c r="Z262" s="60">
        <f t="shared" si="59"/>
        <v>19</v>
      </c>
      <c r="AA262" s="60">
        <f t="shared" ref="AA262:AA293" si="64">AA$4-L262</f>
        <v>22</v>
      </c>
      <c r="AB262" s="60">
        <f t="shared" si="60"/>
        <v>-8</v>
      </c>
      <c r="AC262" s="60">
        <f t="shared" si="61"/>
        <v>-5</v>
      </c>
      <c r="AD262" s="60">
        <f t="shared" si="62"/>
        <v>-3</v>
      </c>
      <c r="AE262" s="60">
        <f t="shared" si="63"/>
        <v>0</v>
      </c>
      <c r="AG262" s="60" cm="1">
        <f t="array" aca="1" ref="AG262" ca="1">SQRT(SUMSQ(_xlfn._xlws.FILTER(S262:AE262,ISNUMBER(S262:AE262)))/COUNT(_xlfn._xlws.FILTER(S262:AE262,ISNUMBER(S262:AE262))))</f>
        <v>11.597413504743201</v>
      </c>
    </row>
    <row r="263" spans="3:33" x14ac:dyDescent="0.2">
      <c r="C263" s="60" t="s">
        <v>399</v>
      </c>
      <c r="D263" s="60">
        <v>0</v>
      </c>
      <c r="E263" s="60">
        <v>-2.72</v>
      </c>
      <c r="F263" s="60">
        <v>-5.4409999999999998</v>
      </c>
      <c r="G263" s="60">
        <v>-8.1609999999999996</v>
      </c>
      <c r="H263" s="60">
        <v>-10.881</v>
      </c>
      <c r="I263" s="60">
        <v>-13.601000000000001</v>
      </c>
      <c r="J263" s="60">
        <v>-16.321999999999999</v>
      </c>
      <c r="K263" s="60">
        <v>-19.042000000000002</v>
      </c>
      <c r="L263" s="60">
        <v>-21.762</v>
      </c>
      <c r="M263" s="60">
        <v>8.1609999999999996</v>
      </c>
      <c r="N263" s="60">
        <v>5.4409999999999998</v>
      </c>
      <c r="O263" s="60">
        <v>2.72</v>
      </c>
      <c r="P263" s="60">
        <v>0</v>
      </c>
      <c r="S263" s="60" t="e">
        <f t="shared" ca="1" si="52"/>
        <v>#REF!</v>
      </c>
      <c r="T263" s="60">
        <f t="shared" si="53"/>
        <v>2.72</v>
      </c>
      <c r="U263" s="60">
        <f t="shared" si="54"/>
        <v>5.4409999999999998</v>
      </c>
      <c r="V263" s="60">
        <f t="shared" si="55"/>
        <v>8.1609999999999996</v>
      </c>
      <c r="W263" s="60">
        <f t="shared" si="56"/>
        <v>10.881</v>
      </c>
      <c r="X263" s="60">
        <f t="shared" si="57"/>
        <v>13.601000000000001</v>
      </c>
      <c r="Y263" s="60">
        <f t="shared" si="58"/>
        <v>16.321999999999999</v>
      </c>
      <c r="Z263" s="60">
        <f t="shared" si="59"/>
        <v>19.042000000000002</v>
      </c>
      <c r="AA263" s="60">
        <f t="shared" si="64"/>
        <v>21.762</v>
      </c>
      <c r="AB263" s="60">
        <f t="shared" si="60"/>
        <v>-8.1609999999999996</v>
      </c>
      <c r="AC263" s="60">
        <f t="shared" si="61"/>
        <v>-5.4409999999999998</v>
      </c>
      <c r="AD263" s="60">
        <f t="shared" si="62"/>
        <v>-2.72</v>
      </c>
      <c r="AE263" s="60">
        <f t="shared" si="63"/>
        <v>0</v>
      </c>
      <c r="AG263" s="60" cm="1">
        <f t="array" aca="1" ref="AG263" ca="1">SQRT(SUMSQ(_xlfn._xlws.FILTER(S263:AE263,ISNUMBER(S263:AE263)))/COUNT(_xlfn._xlws.FILTER(S263:AE263,ISNUMBER(S263:AE263))))</f>
        <v>11.594478060697687</v>
      </c>
    </row>
    <row r="264" spans="3:33" x14ac:dyDescent="0.2">
      <c r="C264" s="60" t="s">
        <v>400</v>
      </c>
      <c r="D264" s="60">
        <v>0</v>
      </c>
      <c r="E264" s="60">
        <v>-4</v>
      </c>
      <c r="F264" s="60">
        <v>-7</v>
      </c>
      <c r="G264" s="60">
        <v>-10</v>
      </c>
      <c r="H264" s="60">
        <v>-14</v>
      </c>
      <c r="I264" s="60">
        <v>-17</v>
      </c>
      <c r="J264" s="60">
        <v>3</v>
      </c>
      <c r="K264" s="60">
        <v>-4</v>
      </c>
      <c r="L264" s="60">
        <v>-7</v>
      </c>
      <c r="M264" s="60">
        <v>-10</v>
      </c>
      <c r="N264" s="60">
        <v>-14</v>
      </c>
      <c r="O264" s="60">
        <v>8</v>
      </c>
      <c r="P264" s="60">
        <v>0</v>
      </c>
      <c r="S264" s="60" t="e">
        <f t="shared" ca="1" si="52"/>
        <v>#REF!</v>
      </c>
      <c r="T264" s="60">
        <f t="shared" si="53"/>
        <v>4</v>
      </c>
      <c r="U264" s="60">
        <f t="shared" si="54"/>
        <v>7</v>
      </c>
      <c r="V264" s="60">
        <f t="shared" si="55"/>
        <v>10</v>
      </c>
      <c r="W264" s="60">
        <f t="shared" si="56"/>
        <v>14</v>
      </c>
      <c r="X264" s="60">
        <f t="shared" si="57"/>
        <v>17</v>
      </c>
      <c r="Y264" s="60">
        <f t="shared" si="58"/>
        <v>-3</v>
      </c>
      <c r="Z264" s="60">
        <f t="shared" si="59"/>
        <v>4</v>
      </c>
      <c r="AA264" s="60">
        <f t="shared" si="64"/>
        <v>7</v>
      </c>
      <c r="AB264" s="60">
        <f t="shared" si="60"/>
        <v>10</v>
      </c>
      <c r="AC264" s="60">
        <f t="shared" si="61"/>
        <v>14</v>
      </c>
      <c r="AD264" s="60">
        <f t="shared" si="62"/>
        <v>-8</v>
      </c>
      <c r="AE264" s="60">
        <f t="shared" si="63"/>
        <v>0</v>
      </c>
      <c r="AG264" s="60" cm="1">
        <f t="array" aca="1" ref="AG264" ca="1">SQRT(SUMSQ(_xlfn._xlws.FILTER(S264:AE264,ISNUMBER(S264:AE264)))/COUNT(_xlfn._xlws.FILTER(S264:AE264,ISNUMBER(S264:AE264))))</f>
        <v>9.5043849529221678</v>
      </c>
    </row>
    <row r="265" spans="3:33" x14ac:dyDescent="0.2">
      <c r="C265" s="60" t="s">
        <v>401</v>
      </c>
      <c r="D265" s="60">
        <v>0</v>
      </c>
      <c r="E265" s="60">
        <v>-2</v>
      </c>
      <c r="F265" s="60">
        <v>-4</v>
      </c>
      <c r="G265" s="60">
        <v>-6</v>
      </c>
      <c r="H265" s="60">
        <v>-6</v>
      </c>
      <c r="I265" s="60">
        <v>-6</v>
      </c>
      <c r="J265" s="60">
        <v>-6</v>
      </c>
      <c r="K265" s="60">
        <v>-4</v>
      </c>
      <c r="L265" s="60">
        <v>-2</v>
      </c>
      <c r="M265" s="60">
        <v>0</v>
      </c>
      <c r="N265" s="60">
        <v>0</v>
      </c>
      <c r="O265" s="60">
        <v>0</v>
      </c>
      <c r="P265" s="60">
        <v>0</v>
      </c>
      <c r="S265" s="60" t="e">
        <f t="shared" ca="1" si="52"/>
        <v>#REF!</v>
      </c>
      <c r="T265" s="60">
        <f t="shared" si="53"/>
        <v>2</v>
      </c>
      <c r="U265" s="60">
        <f t="shared" si="54"/>
        <v>4</v>
      </c>
      <c r="V265" s="60">
        <f t="shared" si="55"/>
        <v>6</v>
      </c>
      <c r="W265" s="60">
        <f t="shared" si="56"/>
        <v>6</v>
      </c>
      <c r="X265" s="60">
        <f t="shared" si="57"/>
        <v>6</v>
      </c>
      <c r="Y265" s="60">
        <f t="shared" si="58"/>
        <v>6</v>
      </c>
      <c r="Z265" s="60">
        <f t="shared" si="59"/>
        <v>4</v>
      </c>
      <c r="AA265" s="60">
        <f t="shared" si="64"/>
        <v>2</v>
      </c>
      <c r="AB265" s="60">
        <f t="shared" si="60"/>
        <v>0</v>
      </c>
      <c r="AC265" s="60">
        <f t="shared" si="61"/>
        <v>0</v>
      </c>
      <c r="AD265" s="60">
        <f t="shared" si="62"/>
        <v>0</v>
      </c>
      <c r="AE265" s="60">
        <f t="shared" si="63"/>
        <v>0</v>
      </c>
      <c r="AG265" s="60" cm="1">
        <f t="array" aca="1" ref="AG265" ca="1">SQRT(SUMSQ(_xlfn._xlws.FILTER(S265:AE265,ISNUMBER(S265:AE265)))/COUNT(_xlfn._xlws.FILTER(S265:AE265,ISNUMBER(S265:AE265))))</f>
        <v>3.9157800414902435</v>
      </c>
    </row>
    <row r="266" spans="3:33" x14ac:dyDescent="0.2">
      <c r="C266" s="60" t="s">
        <v>402</v>
      </c>
      <c r="D266" s="60">
        <v>0</v>
      </c>
      <c r="E266" s="60">
        <v>-4</v>
      </c>
      <c r="F266" s="60">
        <v>-8</v>
      </c>
      <c r="G266" s="60">
        <v>-12</v>
      </c>
      <c r="H266" s="60">
        <v>-16</v>
      </c>
      <c r="I266" s="60">
        <v>-14</v>
      </c>
      <c r="J266" s="60">
        <v>-12</v>
      </c>
      <c r="K266" s="60">
        <v>-10</v>
      </c>
      <c r="L266" s="60">
        <v>-8</v>
      </c>
      <c r="M266" s="60">
        <v>-6</v>
      </c>
      <c r="N266" s="60">
        <v>-4</v>
      </c>
      <c r="O266" s="60">
        <v>-2</v>
      </c>
      <c r="P266" s="60">
        <v>0</v>
      </c>
      <c r="S266" s="60" t="e">
        <f t="shared" ca="1" si="52"/>
        <v>#REF!</v>
      </c>
      <c r="T266" s="60">
        <f t="shared" si="53"/>
        <v>4</v>
      </c>
      <c r="U266" s="60">
        <f t="shared" si="54"/>
        <v>8</v>
      </c>
      <c r="V266" s="60">
        <f t="shared" si="55"/>
        <v>12</v>
      </c>
      <c r="W266" s="60">
        <f t="shared" si="56"/>
        <v>16</v>
      </c>
      <c r="X266" s="60">
        <f t="shared" si="57"/>
        <v>14</v>
      </c>
      <c r="Y266" s="60">
        <f t="shared" si="58"/>
        <v>12</v>
      </c>
      <c r="Z266" s="60">
        <f t="shared" si="59"/>
        <v>10</v>
      </c>
      <c r="AA266" s="60">
        <f t="shared" si="64"/>
        <v>8</v>
      </c>
      <c r="AB266" s="60">
        <f t="shared" si="60"/>
        <v>6</v>
      </c>
      <c r="AC266" s="60">
        <f t="shared" si="61"/>
        <v>4</v>
      </c>
      <c r="AD266" s="60">
        <f t="shared" si="62"/>
        <v>2</v>
      </c>
      <c r="AE266" s="60">
        <f t="shared" si="63"/>
        <v>0</v>
      </c>
      <c r="AG266" s="60" cm="1">
        <f t="array" aca="1" ref="AG266" ca="1">SQRT(SUMSQ(_xlfn._xlws.FILTER(S266:AE266,ISNUMBER(S266:AE266)))/COUNT(_xlfn._xlws.FILTER(S266:AE266,ISNUMBER(S266:AE266))))</f>
        <v>9.3094933625126277</v>
      </c>
    </row>
    <row r="267" spans="3:33" x14ac:dyDescent="0.2">
      <c r="C267" s="60" t="s">
        <v>403</v>
      </c>
      <c r="D267" s="60">
        <v>0</v>
      </c>
      <c r="E267" s="60">
        <v>-2</v>
      </c>
      <c r="F267" s="60">
        <v>-4</v>
      </c>
      <c r="G267" s="60">
        <v>-4</v>
      </c>
      <c r="H267" s="60">
        <v>-4</v>
      </c>
      <c r="I267" s="60">
        <v>-2</v>
      </c>
      <c r="J267" s="60">
        <v>-2</v>
      </c>
      <c r="K267" s="60">
        <v>-2</v>
      </c>
      <c r="L267" s="60">
        <v>0</v>
      </c>
      <c r="M267" s="60">
        <v>2</v>
      </c>
      <c r="N267" s="60">
        <v>2</v>
      </c>
      <c r="O267" s="60">
        <v>0</v>
      </c>
      <c r="P267" s="60">
        <v>0</v>
      </c>
      <c r="S267" s="60" t="e">
        <f t="shared" ca="1" si="52"/>
        <v>#REF!</v>
      </c>
      <c r="T267" s="60">
        <f t="shared" si="53"/>
        <v>2</v>
      </c>
      <c r="U267" s="60">
        <f t="shared" si="54"/>
        <v>4</v>
      </c>
      <c r="V267" s="60">
        <f t="shared" si="55"/>
        <v>4</v>
      </c>
      <c r="W267" s="60">
        <f t="shared" si="56"/>
        <v>4</v>
      </c>
      <c r="X267" s="60">
        <f t="shared" si="57"/>
        <v>2</v>
      </c>
      <c r="Y267" s="60">
        <f t="shared" si="58"/>
        <v>2</v>
      </c>
      <c r="Z267" s="60">
        <f t="shared" si="59"/>
        <v>2</v>
      </c>
      <c r="AA267" s="60">
        <f t="shared" si="64"/>
        <v>0</v>
      </c>
      <c r="AB267" s="60">
        <f t="shared" si="60"/>
        <v>-2</v>
      </c>
      <c r="AC267" s="60">
        <f t="shared" si="61"/>
        <v>-2</v>
      </c>
      <c r="AD267" s="60">
        <f t="shared" si="62"/>
        <v>0</v>
      </c>
      <c r="AE267" s="60">
        <f t="shared" si="63"/>
        <v>0</v>
      </c>
      <c r="AG267" s="60" cm="1">
        <f t="array" aca="1" ref="AG267" ca="1">SQRT(SUMSQ(_xlfn._xlws.FILTER(S267:AE267,ISNUMBER(S267:AE267)))/COUNT(_xlfn._xlws.FILTER(S267:AE267,ISNUMBER(S267:AE267))))</f>
        <v>2.4494897427831779</v>
      </c>
    </row>
    <row r="268" spans="3:33" x14ac:dyDescent="0.2">
      <c r="C268" s="60" t="s">
        <v>404</v>
      </c>
      <c r="D268" s="60">
        <v>0</v>
      </c>
      <c r="E268" s="60">
        <v>-2</v>
      </c>
      <c r="F268" s="60">
        <v>-4</v>
      </c>
      <c r="G268" s="60">
        <v>-6</v>
      </c>
      <c r="H268" s="60">
        <v>-6</v>
      </c>
      <c r="I268" s="60">
        <v>-4</v>
      </c>
      <c r="J268" s="60">
        <v>-4</v>
      </c>
      <c r="K268" s="60">
        <v>-4</v>
      </c>
      <c r="L268" s="60">
        <v>-2</v>
      </c>
      <c r="M268" s="60">
        <v>-2</v>
      </c>
      <c r="N268" s="60">
        <v>-2</v>
      </c>
      <c r="O268" s="60">
        <v>-2</v>
      </c>
      <c r="P268" s="60">
        <v>0</v>
      </c>
      <c r="S268" s="60" t="e">
        <f t="shared" ca="1" si="52"/>
        <v>#REF!</v>
      </c>
      <c r="T268" s="60">
        <f t="shared" si="53"/>
        <v>2</v>
      </c>
      <c r="U268" s="60">
        <f t="shared" si="54"/>
        <v>4</v>
      </c>
      <c r="V268" s="60">
        <f t="shared" si="55"/>
        <v>6</v>
      </c>
      <c r="W268" s="60">
        <f t="shared" si="56"/>
        <v>6</v>
      </c>
      <c r="X268" s="60">
        <f t="shared" si="57"/>
        <v>4</v>
      </c>
      <c r="Y268" s="60">
        <f t="shared" si="58"/>
        <v>4</v>
      </c>
      <c r="Z268" s="60">
        <f t="shared" si="59"/>
        <v>4</v>
      </c>
      <c r="AA268" s="60">
        <f t="shared" si="64"/>
        <v>2</v>
      </c>
      <c r="AB268" s="60">
        <f t="shared" si="60"/>
        <v>2</v>
      </c>
      <c r="AC268" s="60">
        <f t="shared" si="61"/>
        <v>2</v>
      </c>
      <c r="AD268" s="60">
        <f t="shared" si="62"/>
        <v>2</v>
      </c>
      <c r="AE268" s="60">
        <f t="shared" si="63"/>
        <v>0</v>
      </c>
      <c r="AG268" s="60" cm="1">
        <f t="array" aca="1" ref="AG268" ca="1">SQRT(SUMSQ(_xlfn._xlws.FILTER(S268:AE268,ISNUMBER(S268:AE268)))/COUNT(_xlfn._xlws.FILTER(S268:AE268,ISNUMBER(S268:AE268))))</f>
        <v>3.6055512754639891</v>
      </c>
    </row>
    <row r="269" spans="3:33" x14ac:dyDescent="0.2">
      <c r="C269" s="60" t="s">
        <v>405</v>
      </c>
      <c r="D269" s="60">
        <v>0</v>
      </c>
      <c r="E269" s="60">
        <v>4</v>
      </c>
      <c r="F269" s="60">
        <v>3</v>
      </c>
      <c r="G269" s="60">
        <v>-1</v>
      </c>
      <c r="H269" s="60">
        <v>-4</v>
      </c>
      <c r="I269" s="60">
        <v>-5</v>
      </c>
      <c r="J269" s="60">
        <v>-7</v>
      </c>
      <c r="K269" s="60">
        <v>-8</v>
      </c>
      <c r="L269" s="60">
        <v>-9</v>
      </c>
      <c r="M269" s="60">
        <v>-12</v>
      </c>
      <c r="N269" s="60">
        <v>-8</v>
      </c>
      <c r="O269" s="60">
        <v>-4</v>
      </c>
      <c r="P269" s="60">
        <v>0</v>
      </c>
      <c r="S269" s="60" t="e">
        <f t="shared" ca="1" si="52"/>
        <v>#REF!</v>
      </c>
      <c r="T269" s="60">
        <f t="shared" si="53"/>
        <v>-4</v>
      </c>
      <c r="U269" s="60">
        <f t="shared" si="54"/>
        <v>-3</v>
      </c>
      <c r="V269" s="60">
        <f t="shared" si="55"/>
        <v>1</v>
      </c>
      <c r="W269" s="60">
        <f t="shared" si="56"/>
        <v>4</v>
      </c>
      <c r="X269" s="60">
        <f t="shared" si="57"/>
        <v>5</v>
      </c>
      <c r="Y269" s="60">
        <f t="shared" si="58"/>
        <v>7</v>
      </c>
      <c r="Z269" s="60">
        <f t="shared" si="59"/>
        <v>8</v>
      </c>
      <c r="AA269" s="60">
        <f t="shared" si="64"/>
        <v>9</v>
      </c>
      <c r="AB269" s="60">
        <f t="shared" si="60"/>
        <v>12</v>
      </c>
      <c r="AC269" s="60">
        <f t="shared" si="61"/>
        <v>8</v>
      </c>
      <c r="AD269" s="60">
        <f t="shared" si="62"/>
        <v>4</v>
      </c>
      <c r="AE269" s="60">
        <f t="shared" si="63"/>
        <v>0</v>
      </c>
      <c r="AG269" s="60" cm="1">
        <f t="array" aca="1" ref="AG269" ca="1">SQRT(SUMSQ(_xlfn._xlws.FILTER(S269:AE269,ISNUMBER(S269:AE269)))/COUNT(_xlfn._xlws.FILTER(S269:AE269,ISNUMBER(S269:AE269))))</f>
        <v>6.3574103742535497</v>
      </c>
    </row>
    <row r="270" spans="3:33" x14ac:dyDescent="0.2">
      <c r="C270" s="60" t="s">
        <v>406</v>
      </c>
      <c r="D270" s="60">
        <v>0</v>
      </c>
      <c r="E270" s="60">
        <v>-3</v>
      </c>
      <c r="F270" s="60">
        <v>-7</v>
      </c>
      <c r="G270" s="60">
        <v>-10</v>
      </c>
      <c r="H270" s="60">
        <v>-14</v>
      </c>
      <c r="I270" s="60">
        <v>-14</v>
      </c>
      <c r="J270" s="60">
        <v>-21</v>
      </c>
      <c r="K270" s="60">
        <v>-16</v>
      </c>
      <c r="L270" s="60">
        <v>-17</v>
      </c>
      <c r="M270" s="60">
        <v>0</v>
      </c>
      <c r="N270" s="60">
        <v>-1</v>
      </c>
      <c r="O270" s="60">
        <v>3</v>
      </c>
      <c r="P270" s="60">
        <v>0</v>
      </c>
      <c r="S270" s="60" t="e">
        <f t="shared" ca="1" si="52"/>
        <v>#REF!</v>
      </c>
      <c r="T270" s="60">
        <f t="shared" si="53"/>
        <v>3</v>
      </c>
      <c r="U270" s="60">
        <f t="shared" si="54"/>
        <v>7</v>
      </c>
      <c r="V270" s="60">
        <f t="shared" si="55"/>
        <v>10</v>
      </c>
      <c r="W270" s="60">
        <f t="shared" si="56"/>
        <v>14</v>
      </c>
      <c r="X270" s="60">
        <f t="shared" si="57"/>
        <v>14</v>
      </c>
      <c r="Y270" s="60">
        <f t="shared" si="58"/>
        <v>21</v>
      </c>
      <c r="Z270" s="60">
        <f t="shared" si="59"/>
        <v>16</v>
      </c>
      <c r="AA270" s="60">
        <f t="shared" si="64"/>
        <v>17</v>
      </c>
      <c r="AB270" s="60">
        <f t="shared" si="60"/>
        <v>0</v>
      </c>
      <c r="AC270" s="60">
        <f t="shared" si="61"/>
        <v>1</v>
      </c>
      <c r="AD270" s="60">
        <f t="shared" si="62"/>
        <v>-3</v>
      </c>
      <c r="AE270" s="60">
        <f t="shared" si="63"/>
        <v>0</v>
      </c>
      <c r="AG270" s="60" cm="1">
        <f t="array" aca="1" ref="AG270" ca="1">SQRT(SUMSQ(_xlfn._xlws.FILTER(S270:AE270,ISNUMBER(S270:AE270)))/COUNT(_xlfn._xlws.FILTER(S270:AE270,ISNUMBER(S270:AE270))))</f>
        <v>11.350477229320948</v>
      </c>
    </row>
    <row r="271" spans="3:33" x14ac:dyDescent="0.2">
      <c r="C271" s="60" t="s">
        <v>407</v>
      </c>
      <c r="D271" s="60">
        <v>0</v>
      </c>
      <c r="E271" s="60">
        <v>-3.42</v>
      </c>
      <c r="F271" s="60">
        <v>-6.84</v>
      </c>
      <c r="G271" s="60">
        <v>-10.26</v>
      </c>
      <c r="H271" s="60">
        <v>-13.69</v>
      </c>
      <c r="I271" s="60">
        <v>-14.42</v>
      </c>
      <c r="J271" s="60">
        <v>-20.53</v>
      </c>
      <c r="K271" s="60">
        <v>-15.89</v>
      </c>
      <c r="L271" s="60">
        <v>-16.62</v>
      </c>
      <c r="M271" s="60">
        <v>-0.49</v>
      </c>
      <c r="N271" s="60">
        <v>-1.22</v>
      </c>
      <c r="O271" s="60">
        <v>3.42</v>
      </c>
      <c r="P271" s="60">
        <v>0</v>
      </c>
      <c r="S271" s="60" t="e">
        <f t="shared" ca="1" si="52"/>
        <v>#REF!</v>
      </c>
      <c r="T271" s="60">
        <f t="shared" si="53"/>
        <v>3.42</v>
      </c>
      <c r="U271" s="60">
        <f t="shared" si="54"/>
        <v>6.84</v>
      </c>
      <c r="V271" s="60">
        <f t="shared" si="55"/>
        <v>10.26</v>
      </c>
      <c r="W271" s="60">
        <f t="shared" si="56"/>
        <v>13.69</v>
      </c>
      <c r="X271" s="60">
        <f t="shared" si="57"/>
        <v>14.42</v>
      </c>
      <c r="Y271" s="60">
        <f t="shared" si="58"/>
        <v>20.53</v>
      </c>
      <c r="Z271" s="60">
        <f t="shared" si="59"/>
        <v>15.89</v>
      </c>
      <c r="AA271" s="60">
        <f t="shared" si="64"/>
        <v>16.62</v>
      </c>
      <c r="AB271" s="60">
        <f t="shared" si="60"/>
        <v>0.49</v>
      </c>
      <c r="AC271" s="60">
        <f t="shared" si="61"/>
        <v>1.22</v>
      </c>
      <c r="AD271" s="60">
        <f t="shared" si="62"/>
        <v>-3.42</v>
      </c>
      <c r="AE271" s="60">
        <f t="shared" si="63"/>
        <v>0</v>
      </c>
      <c r="AG271" s="60" cm="1">
        <f t="array" aca="1" ref="AG271" ca="1">SQRT(SUMSQ(_xlfn._xlws.FILTER(S271:AE271,ISNUMBER(S271:AE271)))/COUNT(_xlfn._xlws.FILTER(S271:AE271,ISNUMBER(S271:AE271))))</f>
        <v>11.264710382428836</v>
      </c>
    </row>
    <row r="272" spans="3:33" x14ac:dyDescent="0.2">
      <c r="C272" s="60" t="s">
        <v>408</v>
      </c>
      <c r="D272" s="60">
        <v>0</v>
      </c>
      <c r="E272" s="60">
        <v>-2</v>
      </c>
      <c r="F272" s="60">
        <v>-5</v>
      </c>
      <c r="G272" s="60">
        <v>-7</v>
      </c>
      <c r="H272" s="60">
        <v>-9</v>
      </c>
      <c r="I272" s="60">
        <v>-12</v>
      </c>
      <c r="J272" s="60">
        <v>-14</v>
      </c>
      <c r="K272" s="60">
        <v>-12</v>
      </c>
      <c r="L272" s="60">
        <v>-10</v>
      </c>
      <c r="M272" s="60">
        <v>-4</v>
      </c>
      <c r="N272" s="60">
        <v>0</v>
      </c>
      <c r="O272" s="60">
        <v>2</v>
      </c>
      <c r="P272" s="60">
        <v>0</v>
      </c>
      <c r="S272" s="60" t="e">
        <f t="shared" ca="1" si="52"/>
        <v>#REF!</v>
      </c>
      <c r="T272" s="60">
        <f t="shared" si="53"/>
        <v>2</v>
      </c>
      <c r="U272" s="60">
        <f t="shared" si="54"/>
        <v>5</v>
      </c>
      <c r="V272" s="60">
        <f t="shared" si="55"/>
        <v>7</v>
      </c>
      <c r="W272" s="60">
        <f t="shared" si="56"/>
        <v>9</v>
      </c>
      <c r="X272" s="60">
        <f t="shared" si="57"/>
        <v>12</v>
      </c>
      <c r="Y272" s="60">
        <f t="shared" si="58"/>
        <v>14</v>
      </c>
      <c r="Z272" s="60">
        <f t="shared" si="59"/>
        <v>12</v>
      </c>
      <c r="AA272" s="60">
        <f t="shared" si="64"/>
        <v>10</v>
      </c>
      <c r="AB272" s="60">
        <f t="shared" si="60"/>
        <v>4</v>
      </c>
      <c r="AC272" s="60">
        <f t="shared" si="61"/>
        <v>0</v>
      </c>
      <c r="AD272" s="60">
        <f t="shared" si="62"/>
        <v>-2</v>
      </c>
      <c r="AE272" s="60">
        <f t="shared" si="63"/>
        <v>0</v>
      </c>
      <c r="AG272" s="60" cm="1">
        <f t="array" aca="1" ref="AG272" ca="1">SQRT(SUMSQ(_xlfn._xlws.FILTER(S272:AE272,ISNUMBER(S272:AE272)))/COUNT(_xlfn._xlws.FILTER(S272:AE272,ISNUMBER(S272:AE272))))</f>
        <v>7.9739158092704576</v>
      </c>
    </row>
    <row r="273" spans="3:33" x14ac:dyDescent="0.2">
      <c r="C273" s="60" t="s">
        <v>409</v>
      </c>
      <c r="D273" s="60">
        <v>0</v>
      </c>
      <c r="E273" s="60">
        <v>-2.35</v>
      </c>
      <c r="F273" s="60">
        <v>-4.6900000000000004</v>
      </c>
      <c r="G273" s="60">
        <v>-7.04</v>
      </c>
      <c r="H273" s="60">
        <v>-9.39</v>
      </c>
      <c r="I273" s="60">
        <v>-11.73</v>
      </c>
      <c r="J273" s="60">
        <v>-14.08</v>
      </c>
      <c r="K273" s="60">
        <v>-12.12</v>
      </c>
      <c r="L273" s="60">
        <v>-10.17</v>
      </c>
      <c r="M273" s="60">
        <v>-3.91</v>
      </c>
      <c r="N273" s="60">
        <v>0.4</v>
      </c>
      <c r="O273" s="60">
        <v>2.35</v>
      </c>
      <c r="P273" s="60">
        <v>0</v>
      </c>
      <c r="S273" s="60" t="e">
        <f t="shared" ca="1" si="52"/>
        <v>#REF!</v>
      </c>
      <c r="T273" s="60">
        <f t="shared" si="53"/>
        <v>2.35</v>
      </c>
      <c r="U273" s="60">
        <f t="shared" si="54"/>
        <v>4.6900000000000004</v>
      </c>
      <c r="V273" s="60">
        <f t="shared" si="55"/>
        <v>7.04</v>
      </c>
      <c r="W273" s="60">
        <f t="shared" si="56"/>
        <v>9.39</v>
      </c>
      <c r="X273" s="60">
        <f t="shared" si="57"/>
        <v>11.73</v>
      </c>
      <c r="Y273" s="60">
        <f t="shared" si="58"/>
        <v>14.08</v>
      </c>
      <c r="Z273" s="60">
        <f t="shared" si="59"/>
        <v>12.12</v>
      </c>
      <c r="AA273" s="60">
        <f t="shared" si="64"/>
        <v>10.17</v>
      </c>
      <c r="AB273" s="60">
        <f t="shared" si="60"/>
        <v>3.91</v>
      </c>
      <c r="AC273" s="60">
        <f t="shared" si="61"/>
        <v>-0.4</v>
      </c>
      <c r="AD273" s="60">
        <f t="shared" si="62"/>
        <v>-2.35</v>
      </c>
      <c r="AE273" s="60">
        <f t="shared" si="63"/>
        <v>0</v>
      </c>
      <c r="AG273" s="60" cm="1">
        <f t="array" aca="1" ref="AG273" ca="1">SQRT(SUMSQ(_xlfn._xlws.FILTER(S273:AE273,ISNUMBER(S273:AE273)))/COUNT(_xlfn._xlws.FILTER(S273:AE273,ISNUMBER(S273:AE273))))</f>
        <v>8.0228086312296725</v>
      </c>
    </row>
    <row r="274" spans="3:33" x14ac:dyDescent="0.2">
      <c r="C274" s="60" t="s">
        <v>410</v>
      </c>
      <c r="D274" s="60">
        <v>0</v>
      </c>
      <c r="E274" s="60">
        <v>2</v>
      </c>
      <c r="F274" s="60">
        <v>-3</v>
      </c>
      <c r="G274" s="60">
        <v>-8</v>
      </c>
      <c r="H274" s="60">
        <v>-14</v>
      </c>
      <c r="I274" s="60">
        <v>-12</v>
      </c>
      <c r="J274" s="60">
        <v>-11</v>
      </c>
      <c r="K274" s="60">
        <v>-9</v>
      </c>
      <c r="L274" s="60">
        <v>-7</v>
      </c>
      <c r="M274" s="60">
        <v>-5</v>
      </c>
      <c r="N274" s="60">
        <v>-4</v>
      </c>
      <c r="O274" s="60">
        <v>-2</v>
      </c>
      <c r="P274" s="60">
        <v>0</v>
      </c>
      <c r="S274" s="60" t="e">
        <f t="shared" ca="1" si="52"/>
        <v>#REF!</v>
      </c>
      <c r="T274" s="60">
        <f t="shared" si="53"/>
        <v>-2</v>
      </c>
      <c r="U274" s="60">
        <f t="shared" si="54"/>
        <v>3</v>
      </c>
      <c r="V274" s="60">
        <f t="shared" si="55"/>
        <v>8</v>
      </c>
      <c r="W274" s="60">
        <f t="shared" si="56"/>
        <v>14</v>
      </c>
      <c r="X274" s="60">
        <f t="shared" si="57"/>
        <v>12</v>
      </c>
      <c r="Y274" s="60">
        <f t="shared" si="58"/>
        <v>11</v>
      </c>
      <c r="Z274" s="60">
        <f t="shared" si="59"/>
        <v>9</v>
      </c>
      <c r="AA274" s="60">
        <f t="shared" si="64"/>
        <v>7</v>
      </c>
      <c r="AB274" s="60">
        <f t="shared" si="60"/>
        <v>5</v>
      </c>
      <c r="AC274" s="60">
        <f t="shared" si="61"/>
        <v>4</v>
      </c>
      <c r="AD274" s="60">
        <f t="shared" si="62"/>
        <v>2</v>
      </c>
      <c r="AE274" s="60">
        <f t="shared" si="63"/>
        <v>0</v>
      </c>
      <c r="AG274" s="60" cm="1">
        <f t="array" aca="1" ref="AG274" ca="1">SQRT(SUMSQ(_xlfn._xlws.FILTER(S274:AE274,ISNUMBER(S274:AE274)))/COUNT(_xlfn._xlws.FILTER(S274:AE274,ISNUMBER(S274:AE274))))</f>
        <v>7.7082207198981179</v>
      </c>
    </row>
    <row r="275" spans="3:33" x14ac:dyDescent="0.2">
      <c r="C275" s="60" t="s">
        <v>411</v>
      </c>
      <c r="D275" s="60">
        <v>0</v>
      </c>
      <c r="E275" s="60">
        <v>0</v>
      </c>
      <c r="F275" s="60">
        <v>0</v>
      </c>
      <c r="G275" s="60">
        <v>0</v>
      </c>
      <c r="H275" s="60">
        <v>0</v>
      </c>
      <c r="I275" s="60">
        <v>0</v>
      </c>
      <c r="J275" s="60">
        <v>0</v>
      </c>
      <c r="K275" s="60">
        <v>0</v>
      </c>
      <c r="L275" s="60">
        <v>0</v>
      </c>
      <c r="M275" s="60">
        <v>0</v>
      </c>
      <c r="N275" s="60">
        <v>0</v>
      </c>
      <c r="O275" s="60">
        <v>0</v>
      </c>
      <c r="P275" s="60">
        <v>0</v>
      </c>
      <c r="S275" s="60" t="e">
        <f t="shared" ca="1" si="52"/>
        <v>#REF!</v>
      </c>
      <c r="T275" s="60">
        <f t="shared" si="53"/>
        <v>0</v>
      </c>
      <c r="U275" s="60">
        <f t="shared" si="54"/>
        <v>0</v>
      </c>
      <c r="V275" s="60">
        <f t="shared" si="55"/>
        <v>0</v>
      </c>
      <c r="W275" s="60">
        <f t="shared" si="56"/>
        <v>0</v>
      </c>
      <c r="X275" s="60">
        <f t="shared" si="57"/>
        <v>0</v>
      </c>
      <c r="Y275" s="60">
        <f t="shared" si="58"/>
        <v>0</v>
      </c>
      <c r="Z275" s="60">
        <f t="shared" si="59"/>
        <v>0</v>
      </c>
      <c r="AA275" s="60">
        <f t="shared" si="64"/>
        <v>0</v>
      </c>
      <c r="AB275" s="60">
        <f t="shared" si="60"/>
        <v>0</v>
      </c>
      <c r="AC275" s="60">
        <f t="shared" si="61"/>
        <v>0</v>
      </c>
      <c r="AD275" s="60">
        <f t="shared" si="62"/>
        <v>0</v>
      </c>
      <c r="AE275" s="60">
        <f t="shared" si="63"/>
        <v>0</v>
      </c>
      <c r="AG275" s="60" cm="1">
        <f t="array" aca="1" ref="AG275" ca="1">SQRT(SUMSQ(_xlfn._xlws.FILTER(S275:AE275,ISNUMBER(S275:AE275)))/COUNT(_xlfn._xlws.FILTER(S275:AE275,ISNUMBER(S275:AE275))))</f>
        <v>0</v>
      </c>
    </row>
    <row r="276" spans="3:33" x14ac:dyDescent="0.2">
      <c r="C276" s="60" t="s">
        <v>519</v>
      </c>
      <c r="D276" s="60">
        <v>0</v>
      </c>
      <c r="E276" s="60">
        <v>-1</v>
      </c>
      <c r="F276" s="60">
        <v>2</v>
      </c>
      <c r="G276" s="60">
        <v>-3</v>
      </c>
      <c r="H276" s="60">
        <v>1</v>
      </c>
      <c r="I276" s="60">
        <v>-1</v>
      </c>
      <c r="J276" s="60">
        <v>0</v>
      </c>
      <c r="K276" s="60">
        <v>1</v>
      </c>
      <c r="L276" s="60">
        <v>-2</v>
      </c>
      <c r="M276" s="60">
        <v>2</v>
      </c>
      <c r="N276" s="60">
        <v>-2</v>
      </c>
      <c r="O276" s="60">
        <v>0</v>
      </c>
      <c r="P276" s="60">
        <v>0</v>
      </c>
      <c r="S276" s="60" t="e">
        <f t="shared" ca="1" si="52"/>
        <v>#REF!</v>
      </c>
      <c r="T276" s="60">
        <f t="shared" si="53"/>
        <v>1</v>
      </c>
      <c r="U276" s="60">
        <f t="shared" si="54"/>
        <v>-2</v>
      </c>
      <c r="V276" s="60">
        <f t="shared" si="55"/>
        <v>3</v>
      </c>
      <c r="W276" s="60">
        <f t="shared" si="56"/>
        <v>-1</v>
      </c>
      <c r="X276" s="60">
        <f t="shared" si="57"/>
        <v>1</v>
      </c>
      <c r="Y276" s="60">
        <f t="shared" si="58"/>
        <v>0</v>
      </c>
      <c r="Z276" s="60">
        <f t="shared" si="59"/>
        <v>-1</v>
      </c>
      <c r="AA276" s="60">
        <f t="shared" si="64"/>
        <v>2</v>
      </c>
      <c r="AB276" s="60">
        <f t="shared" si="60"/>
        <v>-2</v>
      </c>
      <c r="AC276" s="60">
        <f t="shared" si="61"/>
        <v>2</v>
      </c>
      <c r="AD276" s="60">
        <f t="shared" si="62"/>
        <v>0</v>
      </c>
      <c r="AE276" s="60">
        <f t="shared" si="63"/>
        <v>0</v>
      </c>
      <c r="AG276" s="60" cm="1">
        <f t="array" aca="1" ref="AG276" ca="1">SQRT(SUMSQ(_xlfn._xlws.FILTER(S276:AE276,ISNUMBER(S276:AE276)))/COUNT(_xlfn._xlws.FILTER(S276:AE276,ISNUMBER(S276:AE276))))</f>
        <v>1.5545631755148024</v>
      </c>
    </row>
    <row r="277" spans="3:33" x14ac:dyDescent="0.2">
      <c r="C277" s="60" t="s">
        <v>412</v>
      </c>
      <c r="D277" s="60">
        <v>0</v>
      </c>
      <c r="E277" s="60">
        <v>2</v>
      </c>
      <c r="F277" s="60">
        <v>4</v>
      </c>
      <c r="G277" s="60">
        <v>-16</v>
      </c>
      <c r="H277" s="60">
        <v>-14</v>
      </c>
      <c r="I277" s="60">
        <v>-12</v>
      </c>
      <c r="J277" s="60">
        <v>-10</v>
      </c>
      <c r="K277" s="60">
        <v>-8</v>
      </c>
      <c r="L277" s="60">
        <v>-6</v>
      </c>
      <c r="M277" s="60">
        <v>-4</v>
      </c>
      <c r="N277" s="60">
        <v>-4</v>
      </c>
      <c r="O277" s="60">
        <v>-2</v>
      </c>
      <c r="P277" s="60">
        <v>0</v>
      </c>
      <c r="S277" s="60" t="e">
        <f t="shared" ca="1" si="52"/>
        <v>#REF!</v>
      </c>
      <c r="T277" s="60">
        <f t="shared" si="53"/>
        <v>-2</v>
      </c>
      <c r="U277" s="60">
        <f t="shared" si="54"/>
        <v>-4</v>
      </c>
      <c r="V277" s="60">
        <f t="shared" si="55"/>
        <v>16</v>
      </c>
      <c r="W277" s="60">
        <f t="shared" si="56"/>
        <v>14</v>
      </c>
      <c r="X277" s="60">
        <f t="shared" si="57"/>
        <v>12</v>
      </c>
      <c r="Y277" s="60">
        <f t="shared" si="58"/>
        <v>10</v>
      </c>
      <c r="Z277" s="60">
        <f t="shared" si="59"/>
        <v>8</v>
      </c>
      <c r="AA277" s="60">
        <f t="shared" si="64"/>
        <v>6</v>
      </c>
      <c r="AB277" s="60">
        <f t="shared" si="60"/>
        <v>4</v>
      </c>
      <c r="AC277" s="60">
        <f t="shared" si="61"/>
        <v>4</v>
      </c>
      <c r="AD277" s="60">
        <f t="shared" si="62"/>
        <v>2</v>
      </c>
      <c r="AE277" s="60">
        <f t="shared" si="63"/>
        <v>0</v>
      </c>
      <c r="AG277" s="60" cm="1">
        <f t="array" aca="1" ref="AG277" ca="1">SQRT(SUMSQ(_xlfn._xlws.FILTER(S277:AE277,ISNUMBER(S277:AE277)))/COUNT(_xlfn._xlws.FILTER(S277:AE277,ISNUMBER(S277:AE277))))</f>
        <v>8.426149773176359</v>
      </c>
    </row>
    <row r="278" spans="3:33" x14ac:dyDescent="0.2">
      <c r="C278" s="60" t="s">
        <v>413</v>
      </c>
      <c r="D278" s="60">
        <v>0</v>
      </c>
      <c r="E278" s="60">
        <v>2</v>
      </c>
      <c r="F278" s="60">
        <v>-18</v>
      </c>
      <c r="G278" s="60">
        <v>-16</v>
      </c>
      <c r="H278" s="60">
        <v>-14</v>
      </c>
      <c r="I278" s="60">
        <v>7</v>
      </c>
      <c r="J278" s="60">
        <v>9</v>
      </c>
      <c r="K278" s="60">
        <v>11</v>
      </c>
      <c r="L278" s="60">
        <v>13</v>
      </c>
      <c r="M278" s="60">
        <v>-6</v>
      </c>
      <c r="N278" s="60">
        <v>-4</v>
      </c>
      <c r="O278" s="60">
        <v>-2</v>
      </c>
      <c r="P278" s="60">
        <v>0</v>
      </c>
      <c r="S278" s="60" t="e">
        <f t="shared" ca="1" si="52"/>
        <v>#REF!</v>
      </c>
      <c r="T278" s="60">
        <f t="shared" si="53"/>
        <v>-2</v>
      </c>
      <c r="U278" s="60">
        <f t="shared" si="54"/>
        <v>18</v>
      </c>
      <c r="V278" s="60">
        <f t="shared" si="55"/>
        <v>16</v>
      </c>
      <c r="W278" s="60">
        <f t="shared" si="56"/>
        <v>14</v>
      </c>
      <c r="X278" s="60">
        <f t="shared" si="57"/>
        <v>-7</v>
      </c>
      <c r="Y278" s="60">
        <f t="shared" si="58"/>
        <v>-9</v>
      </c>
      <c r="Z278" s="60">
        <f t="shared" si="59"/>
        <v>-11</v>
      </c>
      <c r="AA278" s="60">
        <f t="shared" si="64"/>
        <v>-13</v>
      </c>
      <c r="AB278" s="60">
        <f t="shared" si="60"/>
        <v>6</v>
      </c>
      <c r="AC278" s="60">
        <f t="shared" si="61"/>
        <v>4</v>
      </c>
      <c r="AD278" s="60">
        <f t="shared" si="62"/>
        <v>2</v>
      </c>
      <c r="AE278" s="60">
        <f t="shared" si="63"/>
        <v>0</v>
      </c>
      <c r="AG278" s="60" cm="1">
        <f t="array" aca="1" ref="AG278" ca="1">SQRT(SUMSQ(_xlfn._xlws.FILTER(S278:AE278,ISNUMBER(S278:AE278)))/COUNT(_xlfn._xlws.FILTER(S278:AE278,ISNUMBER(S278:AE278))))</f>
        <v>10.230672835481871</v>
      </c>
    </row>
    <row r="279" spans="3:33" x14ac:dyDescent="0.2">
      <c r="C279" s="60" t="s">
        <v>414</v>
      </c>
      <c r="D279" s="60">
        <v>0</v>
      </c>
      <c r="E279" s="60">
        <v>2</v>
      </c>
      <c r="F279" s="60">
        <v>3</v>
      </c>
      <c r="G279" s="60">
        <v>25</v>
      </c>
      <c r="H279" s="60">
        <v>27</v>
      </c>
      <c r="I279" s="60">
        <v>29</v>
      </c>
      <c r="J279" s="60">
        <v>9</v>
      </c>
      <c r="K279" s="60">
        <v>11</v>
      </c>
      <c r="L279" s="60">
        <v>13</v>
      </c>
      <c r="M279" s="60">
        <v>15</v>
      </c>
      <c r="N279" s="60">
        <v>17</v>
      </c>
      <c r="O279" s="60">
        <v>-2</v>
      </c>
      <c r="P279" s="60">
        <v>0</v>
      </c>
      <c r="S279" s="60" t="e">
        <f t="shared" ca="1" si="52"/>
        <v>#REF!</v>
      </c>
      <c r="T279" s="60">
        <f t="shared" si="53"/>
        <v>-2</v>
      </c>
      <c r="U279" s="60">
        <f t="shared" si="54"/>
        <v>-3</v>
      </c>
      <c r="V279" s="60">
        <f t="shared" si="55"/>
        <v>-25</v>
      </c>
      <c r="W279" s="60">
        <f t="shared" si="56"/>
        <v>-27</v>
      </c>
      <c r="X279" s="60">
        <f t="shared" si="57"/>
        <v>-29</v>
      </c>
      <c r="Y279" s="60">
        <f t="shared" si="58"/>
        <v>-9</v>
      </c>
      <c r="Z279" s="60">
        <f t="shared" si="59"/>
        <v>-11</v>
      </c>
      <c r="AA279" s="60">
        <f t="shared" si="64"/>
        <v>-13</v>
      </c>
      <c r="AB279" s="60">
        <f t="shared" si="60"/>
        <v>-15</v>
      </c>
      <c r="AC279" s="60">
        <f t="shared" si="61"/>
        <v>-17</v>
      </c>
      <c r="AD279" s="60">
        <f t="shared" si="62"/>
        <v>2</v>
      </c>
      <c r="AE279" s="60">
        <f t="shared" si="63"/>
        <v>0</v>
      </c>
      <c r="AG279" s="60" cm="1">
        <f t="array" aca="1" ref="AG279" ca="1">SQRT(SUMSQ(_xlfn._xlws.FILTER(S279:AE279,ISNUMBER(S279:AE279)))/COUNT(_xlfn._xlws.FILTER(S279:AE279,ISNUMBER(S279:AE279))))</f>
        <v>16.064972248134552</v>
      </c>
    </row>
    <row r="280" spans="3:33" x14ac:dyDescent="0.2">
      <c r="C280" s="60" t="s">
        <v>415</v>
      </c>
      <c r="D280" s="60">
        <v>0</v>
      </c>
      <c r="E280" s="60">
        <v>-3</v>
      </c>
      <c r="F280" s="60">
        <v>7</v>
      </c>
      <c r="G280" s="60">
        <v>3</v>
      </c>
      <c r="H280" s="60">
        <v>0</v>
      </c>
      <c r="I280" s="60">
        <v>-10</v>
      </c>
      <c r="J280" s="60">
        <v>0</v>
      </c>
      <c r="K280" s="60">
        <v>-3</v>
      </c>
      <c r="L280" s="60">
        <v>-7</v>
      </c>
      <c r="M280" s="60">
        <v>-3</v>
      </c>
      <c r="N280" s="60">
        <v>7</v>
      </c>
      <c r="O280" s="60">
        <v>3</v>
      </c>
      <c r="P280" s="60">
        <v>0</v>
      </c>
      <c r="S280" s="60" t="e">
        <f t="shared" ca="1" si="52"/>
        <v>#REF!</v>
      </c>
      <c r="T280" s="60">
        <f t="shared" si="53"/>
        <v>3</v>
      </c>
      <c r="U280" s="60">
        <f t="shared" si="54"/>
        <v>-7</v>
      </c>
      <c r="V280" s="60">
        <f t="shared" si="55"/>
        <v>-3</v>
      </c>
      <c r="W280" s="60">
        <f t="shared" si="56"/>
        <v>0</v>
      </c>
      <c r="X280" s="60">
        <f t="shared" si="57"/>
        <v>10</v>
      </c>
      <c r="Y280" s="60">
        <f t="shared" si="58"/>
        <v>0</v>
      </c>
      <c r="Z280" s="60">
        <f t="shared" si="59"/>
        <v>3</v>
      </c>
      <c r="AA280" s="60">
        <f t="shared" si="64"/>
        <v>7</v>
      </c>
      <c r="AB280" s="60">
        <f t="shared" si="60"/>
        <v>3</v>
      </c>
      <c r="AC280" s="60">
        <f t="shared" si="61"/>
        <v>-7</v>
      </c>
      <c r="AD280" s="60">
        <f t="shared" si="62"/>
        <v>-3</v>
      </c>
      <c r="AE280" s="60">
        <f t="shared" si="63"/>
        <v>0</v>
      </c>
      <c r="AG280" s="60" cm="1">
        <f t="array" aca="1" ref="AG280" ca="1">SQRT(SUMSQ(_xlfn._xlws.FILTER(S280:AE280,ISNUMBER(S280:AE280)))/COUNT(_xlfn._xlws.FILTER(S280:AE280,ISNUMBER(S280:AE280))))</f>
        <v>4.9328828623162471</v>
      </c>
    </row>
    <row r="281" spans="3:33" x14ac:dyDescent="0.2">
      <c r="C281" s="60" t="s">
        <v>416</v>
      </c>
      <c r="D281" s="60">
        <v>0</v>
      </c>
      <c r="E281" s="60">
        <v>-3.4220000000000002</v>
      </c>
      <c r="F281" s="60">
        <v>6.843</v>
      </c>
      <c r="G281" s="60">
        <v>3.4209999999999998</v>
      </c>
      <c r="H281" s="60">
        <v>0</v>
      </c>
      <c r="I281" s="60">
        <v>-10.265000000000001</v>
      </c>
      <c r="J281" s="60">
        <v>0</v>
      </c>
      <c r="K281" s="60">
        <v>-3.4220000000000002</v>
      </c>
      <c r="L281" s="60">
        <v>-6.8440000000000003</v>
      </c>
      <c r="M281" s="60">
        <v>-3.4220000000000002</v>
      </c>
      <c r="N281" s="60">
        <v>6.843</v>
      </c>
      <c r="O281" s="60">
        <v>3.4220000000000002</v>
      </c>
      <c r="P281" s="60">
        <v>0</v>
      </c>
      <c r="S281" s="60" t="e">
        <f t="shared" ca="1" si="52"/>
        <v>#REF!</v>
      </c>
      <c r="T281" s="60">
        <f t="shared" si="53"/>
        <v>3.4220000000000002</v>
      </c>
      <c r="U281" s="60">
        <f t="shared" si="54"/>
        <v>-6.843</v>
      </c>
      <c r="V281" s="60">
        <f t="shared" si="55"/>
        <v>-3.4209999999999998</v>
      </c>
      <c r="W281" s="60">
        <f t="shared" si="56"/>
        <v>0</v>
      </c>
      <c r="X281" s="60">
        <f t="shared" si="57"/>
        <v>10.265000000000001</v>
      </c>
      <c r="Y281" s="60">
        <f t="shared" si="58"/>
        <v>0</v>
      </c>
      <c r="Z281" s="60">
        <f t="shared" si="59"/>
        <v>3.4220000000000002</v>
      </c>
      <c r="AA281" s="60">
        <f t="shared" si="64"/>
        <v>6.8440000000000003</v>
      </c>
      <c r="AB281" s="60">
        <f t="shared" si="60"/>
        <v>3.4220000000000002</v>
      </c>
      <c r="AC281" s="60">
        <f t="shared" si="61"/>
        <v>-6.843</v>
      </c>
      <c r="AD281" s="60">
        <f t="shared" si="62"/>
        <v>-3.4220000000000002</v>
      </c>
      <c r="AE281" s="60">
        <f t="shared" si="63"/>
        <v>0</v>
      </c>
      <c r="AG281" s="60" cm="1">
        <f t="array" aca="1" ref="AG281" ca="1">SQRT(SUMSQ(_xlfn._xlws.FILTER(S281:AE281,ISNUMBER(S281:AE281)))/COUNT(_xlfn._xlws.FILTER(S281:AE281,ISNUMBER(S281:AE281))))</f>
        <v>5.0365947160093523</v>
      </c>
    </row>
    <row r="282" spans="3:33" x14ac:dyDescent="0.2">
      <c r="C282" s="60" t="s">
        <v>417</v>
      </c>
      <c r="D282" s="60">
        <v>0</v>
      </c>
      <c r="E282" s="60">
        <v>0</v>
      </c>
      <c r="F282" s="60">
        <v>0</v>
      </c>
      <c r="G282" s="60">
        <v>0</v>
      </c>
      <c r="H282" s="60">
        <v>0</v>
      </c>
      <c r="I282" s="60">
        <v>0</v>
      </c>
      <c r="J282" s="60">
        <v>0</v>
      </c>
      <c r="K282" s="60">
        <v>0</v>
      </c>
      <c r="L282" s="60">
        <v>0</v>
      </c>
      <c r="M282" s="60">
        <v>0</v>
      </c>
      <c r="N282" s="60">
        <v>0</v>
      </c>
      <c r="O282" s="60">
        <v>0</v>
      </c>
      <c r="P282" s="60">
        <v>0</v>
      </c>
      <c r="S282" s="60" t="e">
        <f t="shared" ca="1" si="52"/>
        <v>#REF!</v>
      </c>
      <c r="T282" s="60">
        <f t="shared" si="53"/>
        <v>0</v>
      </c>
      <c r="U282" s="60">
        <f t="shared" si="54"/>
        <v>0</v>
      </c>
      <c r="V282" s="60">
        <f t="shared" si="55"/>
        <v>0</v>
      </c>
      <c r="W282" s="60">
        <f t="shared" si="56"/>
        <v>0</v>
      </c>
      <c r="X282" s="60">
        <f t="shared" si="57"/>
        <v>0</v>
      </c>
      <c r="Y282" s="60">
        <f t="shared" si="58"/>
        <v>0</v>
      </c>
      <c r="Z282" s="60">
        <f t="shared" si="59"/>
        <v>0</v>
      </c>
      <c r="AA282" s="60">
        <f t="shared" si="64"/>
        <v>0</v>
      </c>
      <c r="AB282" s="60">
        <f t="shared" si="60"/>
        <v>0</v>
      </c>
      <c r="AC282" s="60">
        <f t="shared" si="61"/>
        <v>0</v>
      </c>
      <c r="AD282" s="60">
        <f t="shared" si="62"/>
        <v>0</v>
      </c>
      <c r="AE282" s="60">
        <f t="shared" si="63"/>
        <v>0</v>
      </c>
      <c r="AG282" s="60" cm="1">
        <f t="array" aca="1" ref="AG282" ca="1">SQRT(SUMSQ(_xlfn._xlws.FILTER(S282:AE282,ISNUMBER(S282:AE282)))/COUNT(_xlfn._xlws.FILTER(S282:AE282,ISNUMBER(S282:AE282))))</f>
        <v>0</v>
      </c>
    </row>
    <row r="283" spans="3:33" x14ac:dyDescent="0.2">
      <c r="C283" s="60" t="s">
        <v>418</v>
      </c>
      <c r="D283" s="60">
        <v>0</v>
      </c>
      <c r="E283" s="60">
        <v>-2</v>
      </c>
      <c r="F283" s="60">
        <v>-4</v>
      </c>
      <c r="G283" s="60">
        <v>-6</v>
      </c>
      <c r="H283" s="60">
        <v>-6</v>
      </c>
      <c r="I283" s="60">
        <v>-4</v>
      </c>
      <c r="J283" s="60">
        <v>-4</v>
      </c>
      <c r="K283" s="60">
        <v>-4</v>
      </c>
      <c r="L283" s="60">
        <v>-4</v>
      </c>
      <c r="M283" s="60">
        <v>-2</v>
      </c>
      <c r="N283" s="60">
        <v>0</v>
      </c>
      <c r="O283" s="60">
        <v>0</v>
      </c>
      <c r="P283" s="60">
        <v>0</v>
      </c>
      <c r="S283" s="60" t="e">
        <f t="shared" ca="1" si="52"/>
        <v>#REF!</v>
      </c>
      <c r="T283" s="60">
        <f t="shared" si="53"/>
        <v>2</v>
      </c>
      <c r="U283" s="60">
        <f t="shared" si="54"/>
        <v>4</v>
      </c>
      <c r="V283" s="60">
        <f t="shared" si="55"/>
        <v>6</v>
      </c>
      <c r="W283" s="60">
        <f t="shared" si="56"/>
        <v>6</v>
      </c>
      <c r="X283" s="60">
        <f t="shared" si="57"/>
        <v>4</v>
      </c>
      <c r="Y283" s="60">
        <f t="shared" si="58"/>
        <v>4</v>
      </c>
      <c r="Z283" s="60">
        <f t="shared" si="59"/>
        <v>4</v>
      </c>
      <c r="AA283" s="60">
        <f t="shared" si="64"/>
        <v>4</v>
      </c>
      <c r="AB283" s="60">
        <f t="shared" si="60"/>
        <v>2</v>
      </c>
      <c r="AC283" s="60">
        <f t="shared" si="61"/>
        <v>0</v>
      </c>
      <c r="AD283" s="60">
        <f t="shared" si="62"/>
        <v>0</v>
      </c>
      <c r="AE283" s="60">
        <f t="shared" si="63"/>
        <v>0</v>
      </c>
      <c r="AG283" s="60" cm="1">
        <f t="array" aca="1" ref="AG283" ca="1">SQRT(SUMSQ(_xlfn._xlws.FILTER(S283:AE283,ISNUMBER(S283:AE283)))/COUNT(_xlfn._xlws.FILTER(S283:AE283,ISNUMBER(S283:AE283))))</f>
        <v>3.6514837167011076</v>
      </c>
    </row>
    <row r="284" spans="3:33" x14ac:dyDescent="0.2">
      <c r="C284" s="60" t="s">
        <v>419</v>
      </c>
      <c r="D284" s="60">
        <v>0</v>
      </c>
      <c r="E284" s="60">
        <v>-2</v>
      </c>
      <c r="F284" s="60">
        <v>-4</v>
      </c>
      <c r="G284" s="60">
        <v>-6</v>
      </c>
      <c r="H284" s="60">
        <v>-8</v>
      </c>
      <c r="I284" s="60">
        <v>-8</v>
      </c>
      <c r="J284" s="60">
        <v>-8</v>
      </c>
      <c r="K284" s="60">
        <v>-6</v>
      </c>
      <c r="L284" s="60">
        <v>-4</v>
      </c>
      <c r="M284" s="60">
        <v>-4</v>
      </c>
      <c r="N284" s="60">
        <v>-4</v>
      </c>
      <c r="O284" s="60">
        <v>-2</v>
      </c>
      <c r="P284" s="60">
        <v>0</v>
      </c>
      <c r="S284" s="60" t="e">
        <f t="shared" ca="1" si="52"/>
        <v>#REF!</v>
      </c>
      <c r="T284" s="60">
        <f t="shared" si="53"/>
        <v>2</v>
      </c>
      <c r="U284" s="60">
        <f t="shared" si="54"/>
        <v>4</v>
      </c>
      <c r="V284" s="60">
        <f t="shared" si="55"/>
        <v>6</v>
      </c>
      <c r="W284" s="60">
        <f t="shared" si="56"/>
        <v>8</v>
      </c>
      <c r="X284" s="60">
        <f t="shared" si="57"/>
        <v>8</v>
      </c>
      <c r="Y284" s="60">
        <f t="shared" si="58"/>
        <v>8</v>
      </c>
      <c r="Z284" s="60">
        <f t="shared" si="59"/>
        <v>6</v>
      </c>
      <c r="AA284" s="60">
        <f t="shared" si="64"/>
        <v>4</v>
      </c>
      <c r="AB284" s="60">
        <f t="shared" si="60"/>
        <v>4</v>
      </c>
      <c r="AC284" s="60">
        <f t="shared" si="61"/>
        <v>4</v>
      </c>
      <c r="AD284" s="60">
        <f t="shared" si="62"/>
        <v>2</v>
      </c>
      <c r="AE284" s="60">
        <f t="shared" si="63"/>
        <v>0</v>
      </c>
      <c r="AG284" s="60" cm="1">
        <f t="array" aca="1" ref="AG284" ca="1">SQRT(SUMSQ(_xlfn._xlws.FILTER(S284:AE284,ISNUMBER(S284:AE284)))/COUNT(_xlfn._xlws.FILTER(S284:AE284,ISNUMBER(S284:AE284))))</f>
        <v>5.2915026221291814</v>
      </c>
    </row>
    <row r="285" spans="3:33" x14ac:dyDescent="0.2">
      <c r="C285" s="60" t="s">
        <v>420</v>
      </c>
      <c r="D285" s="60">
        <v>0</v>
      </c>
      <c r="E285" s="60">
        <v>0</v>
      </c>
      <c r="F285" s="60">
        <v>-2</v>
      </c>
      <c r="G285" s="60">
        <v>-6</v>
      </c>
      <c r="H285" s="60">
        <v>-10</v>
      </c>
      <c r="I285" s="60">
        <v>-8</v>
      </c>
      <c r="J285" s="60">
        <v>-8</v>
      </c>
      <c r="K285" s="60">
        <v>-6</v>
      </c>
      <c r="L285" s="60">
        <v>-6</v>
      </c>
      <c r="M285" s="60">
        <v>-4</v>
      </c>
      <c r="N285" s="60">
        <v>-2</v>
      </c>
      <c r="O285" s="60">
        <v>-2</v>
      </c>
      <c r="P285" s="60">
        <v>0</v>
      </c>
      <c r="S285" s="60" t="e">
        <f t="shared" ca="1" si="52"/>
        <v>#REF!</v>
      </c>
      <c r="T285" s="60">
        <f t="shared" si="53"/>
        <v>0</v>
      </c>
      <c r="U285" s="60">
        <f t="shared" si="54"/>
        <v>2</v>
      </c>
      <c r="V285" s="60">
        <f t="shared" si="55"/>
        <v>6</v>
      </c>
      <c r="W285" s="60">
        <f t="shared" si="56"/>
        <v>10</v>
      </c>
      <c r="X285" s="60">
        <f t="shared" si="57"/>
        <v>8</v>
      </c>
      <c r="Y285" s="60">
        <f t="shared" si="58"/>
        <v>8</v>
      </c>
      <c r="Z285" s="60">
        <f t="shared" si="59"/>
        <v>6</v>
      </c>
      <c r="AA285" s="60">
        <f t="shared" si="64"/>
        <v>6</v>
      </c>
      <c r="AB285" s="60">
        <f t="shared" si="60"/>
        <v>4</v>
      </c>
      <c r="AC285" s="60">
        <f t="shared" si="61"/>
        <v>2</v>
      </c>
      <c r="AD285" s="60">
        <f t="shared" si="62"/>
        <v>2</v>
      </c>
      <c r="AE285" s="60">
        <f t="shared" si="63"/>
        <v>0</v>
      </c>
      <c r="AG285" s="60" cm="1">
        <f t="array" aca="1" ref="AG285" ca="1">SQRT(SUMSQ(_xlfn._xlws.FILTER(S285:AE285,ISNUMBER(S285:AE285)))/COUNT(_xlfn._xlws.FILTER(S285:AE285,ISNUMBER(S285:AE285))))</f>
        <v>5.5075705472861021</v>
      </c>
    </row>
    <row r="286" spans="3:33" x14ac:dyDescent="0.2">
      <c r="C286" s="60" t="s">
        <v>421</v>
      </c>
      <c r="D286" s="60">
        <v>0</v>
      </c>
      <c r="E286" s="60">
        <v>-1</v>
      </c>
      <c r="F286" s="60">
        <v>-2</v>
      </c>
      <c r="G286" s="60">
        <v>-3</v>
      </c>
      <c r="H286" s="60">
        <v>-4</v>
      </c>
      <c r="I286" s="60">
        <v>-5</v>
      </c>
      <c r="J286" s="60">
        <v>-6</v>
      </c>
      <c r="K286" s="60">
        <v>-7</v>
      </c>
      <c r="L286" s="60">
        <v>-8</v>
      </c>
      <c r="M286" s="60">
        <v>-3</v>
      </c>
      <c r="N286" s="60">
        <v>2</v>
      </c>
      <c r="O286" s="60">
        <v>1</v>
      </c>
      <c r="P286" s="60">
        <v>0</v>
      </c>
      <c r="S286" s="60" t="e">
        <f t="shared" ca="1" si="52"/>
        <v>#REF!</v>
      </c>
      <c r="T286" s="60">
        <f t="shared" si="53"/>
        <v>1</v>
      </c>
      <c r="U286" s="60">
        <f t="shared" si="54"/>
        <v>2</v>
      </c>
      <c r="V286" s="60">
        <f t="shared" si="55"/>
        <v>3</v>
      </c>
      <c r="W286" s="60">
        <f t="shared" si="56"/>
        <v>4</v>
      </c>
      <c r="X286" s="60">
        <f t="shared" si="57"/>
        <v>5</v>
      </c>
      <c r="Y286" s="60">
        <f t="shared" si="58"/>
        <v>6</v>
      </c>
      <c r="Z286" s="60">
        <f t="shared" si="59"/>
        <v>7</v>
      </c>
      <c r="AA286" s="60">
        <f t="shared" si="64"/>
        <v>8</v>
      </c>
      <c r="AB286" s="60">
        <f t="shared" si="60"/>
        <v>3</v>
      </c>
      <c r="AC286" s="60">
        <f t="shared" si="61"/>
        <v>-2</v>
      </c>
      <c r="AD286" s="60">
        <f t="shared" si="62"/>
        <v>-1</v>
      </c>
      <c r="AE286" s="60">
        <f t="shared" si="63"/>
        <v>0</v>
      </c>
      <c r="AG286" s="60" cm="1">
        <f t="array" aca="1" ref="AG286" ca="1">SQRT(SUMSQ(_xlfn._xlws.FILTER(S286:AE286,ISNUMBER(S286:AE286)))/COUNT(_xlfn._xlws.FILTER(S286:AE286,ISNUMBER(S286:AE286))))</f>
        <v>4.2622372841814737</v>
      </c>
    </row>
    <row r="287" spans="3:33" x14ac:dyDescent="0.2">
      <c r="C287" s="60" t="s">
        <v>422</v>
      </c>
      <c r="D287" s="60">
        <v>0</v>
      </c>
      <c r="E287" s="60">
        <v>-2</v>
      </c>
      <c r="F287" s="60">
        <v>-4</v>
      </c>
      <c r="G287" s="60">
        <v>-6</v>
      </c>
      <c r="H287" s="60">
        <v>-8</v>
      </c>
      <c r="I287" s="60">
        <v>-10</v>
      </c>
      <c r="J287" s="60">
        <v>-8</v>
      </c>
      <c r="K287" s="60">
        <v>-6</v>
      </c>
      <c r="L287" s="60">
        <v>-4</v>
      </c>
      <c r="M287" s="60">
        <v>-2</v>
      </c>
      <c r="N287" s="60">
        <v>0</v>
      </c>
      <c r="O287" s="60">
        <v>2</v>
      </c>
      <c r="P287" s="60">
        <v>0</v>
      </c>
      <c r="S287" s="60" t="e">
        <f t="shared" ca="1" si="52"/>
        <v>#REF!</v>
      </c>
      <c r="T287" s="60">
        <f t="shared" si="53"/>
        <v>2</v>
      </c>
      <c r="U287" s="60">
        <f t="shared" si="54"/>
        <v>4</v>
      </c>
      <c r="V287" s="60">
        <f t="shared" si="55"/>
        <v>6</v>
      </c>
      <c r="W287" s="60">
        <f t="shared" si="56"/>
        <v>8</v>
      </c>
      <c r="X287" s="60">
        <f t="shared" si="57"/>
        <v>10</v>
      </c>
      <c r="Y287" s="60">
        <f t="shared" si="58"/>
        <v>8</v>
      </c>
      <c r="Z287" s="60">
        <f t="shared" si="59"/>
        <v>6</v>
      </c>
      <c r="AA287" s="60">
        <f t="shared" si="64"/>
        <v>4</v>
      </c>
      <c r="AB287" s="60">
        <f t="shared" si="60"/>
        <v>2</v>
      </c>
      <c r="AC287" s="60">
        <f t="shared" si="61"/>
        <v>0</v>
      </c>
      <c r="AD287" s="60">
        <f t="shared" si="62"/>
        <v>-2</v>
      </c>
      <c r="AE287" s="60">
        <f t="shared" si="63"/>
        <v>0</v>
      </c>
      <c r="AG287" s="60" cm="1">
        <f t="array" aca="1" ref="AG287" ca="1">SQRT(SUMSQ(_xlfn._xlws.FILTER(S287:AE287,ISNUMBER(S287:AE287)))/COUNT(_xlfn._xlws.FILTER(S287:AE287,ISNUMBER(S287:AE287))))</f>
        <v>5.3541261347363367</v>
      </c>
    </row>
    <row r="288" spans="3:33" x14ac:dyDescent="0.2">
      <c r="C288" s="60" t="s">
        <v>423</v>
      </c>
      <c r="D288" s="60">
        <v>0</v>
      </c>
      <c r="E288" s="60">
        <v>-1.9550000000000001</v>
      </c>
      <c r="F288" s="60">
        <v>-3.91</v>
      </c>
      <c r="G288" s="60">
        <v>-5.8650000000000002</v>
      </c>
      <c r="H288" s="60">
        <v>-7.82</v>
      </c>
      <c r="I288" s="60">
        <v>-9.7750000000000004</v>
      </c>
      <c r="J288" s="60">
        <v>-7.82</v>
      </c>
      <c r="K288" s="60">
        <v>-5.8650000000000002</v>
      </c>
      <c r="L288" s="60">
        <v>-3.91</v>
      </c>
      <c r="M288" s="60">
        <v>-1.9550000000000001</v>
      </c>
      <c r="N288" s="60">
        <v>0</v>
      </c>
      <c r="O288" s="60">
        <v>1.9550000000000001</v>
      </c>
      <c r="P288" s="60">
        <v>0</v>
      </c>
      <c r="S288" s="60" t="e">
        <f t="shared" ca="1" si="52"/>
        <v>#REF!</v>
      </c>
      <c r="T288" s="60">
        <f t="shared" si="53"/>
        <v>1.9550000000000001</v>
      </c>
      <c r="U288" s="60">
        <f t="shared" si="54"/>
        <v>3.91</v>
      </c>
      <c r="V288" s="60">
        <f t="shared" si="55"/>
        <v>5.8650000000000002</v>
      </c>
      <c r="W288" s="60">
        <f t="shared" si="56"/>
        <v>7.82</v>
      </c>
      <c r="X288" s="60">
        <f t="shared" si="57"/>
        <v>9.7750000000000004</v>
      </c>
      <c r="Y288" s="60">
        <f t="shared" si="58"/>
        <v>7.82</v>
      </c>
      <c r="Z288" s="60">
        <f t="shared" si="59"/>
        <v>5.8650000000000002</v>
      </c>
      <c r="AA288" s="60">
        <f t="shared" si="64"/>
        <v>3.91</v>
      </c>
      <c r="AB288" s="60">
        <f t="shared" si="60"/>
        <v>1.9550000000000001</v>
      </c>
      <c r="AC288" s="60">
        <f t="shared" si="61"/>
        <v>0</v>
      </c>
      <c r="AD288" s="60">
        <f t="shared" si="62"/>
        <v>-1.9550000000000001</v>
      </c>
      <c r="AE288" s="60">
        <f t="shared" si="63"/>
        <v>0</v>
      </c>
      <c r="AG288" s="60" cm="1">
        <f t="array" aca="1" ref="AG288" ca="1">SQRT(SUMSQ(_xlfn._xlws.FILTER(S288:AE288,ISNUMBER(S288:AE288)))/COUNT(_xlfn._xlws.FILTER(S288:AE288,ISNUMBER(S288:AE288))))</f>
        <v>5.2336582967047693</v>
      </c>
    </row>
    <row r="289" spans="3:33" x14ac:dyDescent="0.2">
      <c r="C289" s="60" t="s">
        <v>424</v>
      </c>
      <c r="D289" s="60">
        <v>0</v>
      </c>
      <c r="E289" s="60">
        <v>-2</v>
      </c>
      <c r="F289" s="60">
        <v>-3</v>
      </c>
      <c r="G289" s="60">
        <v>-5</v>
      </c>
      <c r="H289" s="60">
        <v>-7</v>
      </c>
      <c r="I289" s="60">
        <v>-8</v>
      </c>
      <c r="J289" s="60">
        <v>-7</v>
      </c>
      <c r="K289" s="60">
        <v>-5</v>
      </c>
      <c r="L289" s="60">
        <v>-3</v>
      </c>
      <c r="M289" s="60">
        <v>-2</v>
      </c>
      <c r="N289" s="60">
        <v>0</v>
      </c>
      <c r="O289" s="60">
        <v>2</v>
      </c>
      <c r="P289" s="60">
        <v>0</v>
      </c>
      <c r="S289" s="60" t="e">
        <f t="shared" ca="1" si="52"/>
        <v>#REF!</v>
      </c>
      <c r="T289" s="60">
        <f t="shared" si="53"/>
        <v>2</v>
      </c>
      <c r="U289" s="60">
        <f t="shared" si="54"/>
        <v>3</v>
      </c>
      <c r="V289" s="60">
        <f t="shared" si="55"/>
        <v>5</v>
      </c>
      <c r="W289" s="60">
        <f t="shared" si="56"/>
        <v>7</v>
      </c>
      <c r="X289" s="60">
        <f t="shared" si="57"/>
        <v>8</v>
      </c>
      <c r="Y289" s="60">
        <f t="shared" si="58"/>
        <v>7</v>
      </c>
      <c r="Z289" s="60">
        <f t="shared" si="59"/>
        <v>5</v>
      </c>
      <c r="AA289" s="60">
        <f t="shared" si="64"/>
        <v>3</v>
      </c>
      <c r="AB289" s="60">
        <f t="shared" si="60"/>
        <v>2</v>
      </c>
      <c r="AC289" s="60">
        <f t="shared" si="61"/>
        <v>0</v>
      </c>
      <c r="AD289" s="60">
        <f t="shared" si="62"/>
        <v>-2</v>
      </c>
      <c r="AE289" s="60">
        <f t="shared" si="63"/>
        <v>0</v>
      </c>
      <c r="AG289" s="60" cm="1">
        <f t="array" aca="1" ref="AG289" ca="1">SQRT(SUMSQ(_xlfn._xlws.FILTER(S289:AE289,ISNUMBER(S289:AE289)))/COUNT(_xlfn._xlws.FILTER(S289:AE289,ISNUMBER(S289:AE289))))</f>
        <v>4.4907311951024935</v>
      </c>
    </row>
    <row r="290" spans="3:33" x14ac:dyDescent="0.2">
      <c r="C290" s="60" t="s">
        <v>425</v>
      </c>
      <c r="D290" s="60">
        <v>0</v>
      </c>
      <c r="E290" s="60">
        <v>2</v>
      </c>
      <c r="F290" s="60">
        <v>4</v>
      </c>
      <c r="G290" s="60">
        <v>-16</v>
      </c>
      <c r="H290" s="60">
        <v>-14</v>
      </c>
      <c r="I290" s="60">
        <v>-12</v>
      </c>
      <c r="J290" s="60">
        <v>-16</v>
      </c>
      <c r="K290" s="60">
        <v>-19</v>
      </c>
      <c r="L290" s="60">
        <v>-7</v>
      </c>
      <c r="M290" s="60">
        <v>5</v>
      </c>
      <c r="N290" s="60">
        <v>1</v>
      </c>
      <c r="O290" s="60">
        <v>-2</v>
      </c>
      <c r="P290" s="60">
        <v>0</v>
      </c>
      <c r="S290" s="60" t="e">
        <f t="shared" ca="1" si="52"/>
        <v>#REF!</v>
      </c>
      <c r="T290" s="60">
        <f t="shared" si="53"/>
        <v>-2</v>
      </c>
      <c r="U290" s="60">
        <f t="shared" si="54"/>
        <v>-4</v>
      </c>
      <c r="V290" s="60">
        <f t="shared" si="55"/>
        <v>16</v>
      </c>
      <c r="W290" s="60">
        <f t="shared" si="56"/>
        <v>14</v>
      </c>
      <c r="X290" s="60">
        <f t="shared" si="57"/>
        <v>12</v>
      </c>
      <c r="Y290" s="60">
        <f t="shared" si="58"/>
        <v>16</v>
      </c>
      <c r="Z290" s="60">
        <f t="shared" si="59"/>
        <v>19</v>
      </c>
      <c r="AA290" s="60">
        <f t="shared" si="64"/>
        <v>7</v>
      </c>
      <c r="AB290" s="60">
        <f t="shared" si="60"/>
        <v>-5</v>
      </c>
      <c r="AC290" s="60">
        <f t="shared" si="61"/>
        <v>-1</v>
      </c>
      <c r="AD290" s="60">
        <f t="shared" si="62"/>
        <v>2</v>
      </c>
      <c r="AE290" s="60">
        <f t="shared" si="63"/>
        <v>0</v>
      </c>
      <c r="AG290" s="60" cm="1">
        <f t="array" aca="1" ref="AG290" ca="1">SQRT(SUMSQ(_xlfn._xlws.FILTER(S290:AE290,ISNUMBER(S290:AE290)))/COUNT(_xlfn._xlws.FILTER(S290:AE290,ISNUMBER(S290:AE290))))</f>
        <v>10.456258094238748</v>
      </c>
    </row>
    <row r="291" spans="3:33" x14ac:dyDescent="0.2">
      <c r="C291" s="60" t="s">
        <v>426</v>
      </c>
      <c r="D291" s="60">
        <v>0</v>
      </c>
      <c r="E291" s="60">
        <v>-2</v>
      </c>
      <c r="F291" s="60">
        <v>-3</v>
      </c>
      <c r="G291" s="60">
        <v>-5</v>
      </c>
      <c r="H291" s="60">
        <v>-7</v>
      </c>
      <c r="I291" s="60">
        <v>-8</v>
      </c>
      <c r="J291" s="60">
        <v>-6</v>
      </c>
      <c r="K291" s="60">
        <v>-4</v>
      </c>
      <c r="L291" s="60">
        <v>-2</v>
      </c>
      <c r="M291" s="60">
        <v>0</v>
      </c>
      <c r="N291" s="60">
        <v>2</v>
      </c>
      <c r="O291" s="60">
        <v>2</v>
      </c>
      <c r="P291" s="60">
        <v>0</v>
      </c>
      <c r="S291" s="60" t="e">
        <f t="shared" ca="1" si="52"/>
        <v>#REF!</v>
      </c>
      <c r="T291" s="60">
        <f t="shared" si="53"/>
        <v>2</v>
      </c>
      <c r="U291" s="60">
        <f t="shared" si="54"/>
        <v>3</v>
      </c>
      <c r="V291" s="60">
        <f t="shared" si="55"/>
        <v>5</v>
      </c>
      <c r="W291" s="60">
        <f t="shared" si="56"/>
        <v>7</v>
      </c>
      <c r="X291" s="60">
        <f t="shared" si="57"/>
        <v>8</v>
      </c>
      <c r="Y291" s="60">
        <f t="shared" si="58"/>
        <v>6</v>
      </c>
      <c r="Z291" s="60">
        <f t="shared" si="59"/>
        <v>4</v>
      </c>
      <c r="AA291" s="60">
        <f t="shared" si="64"/>
        <v>2</v>
      </c>
      <c r="AB291" s="60">
        <f t="shared" si="60"/>
        <v>0</v>
      </c>
      <c r="AC291" s="60">
        <f t="shared" si="61"/>
        <v>-2</v>
      </c>
      <c r="AD291" s="60">
        <f t="shared" si="62"/>
        <v>-2</v>
      </c>
      <c r="AE291" s="60">
        <f t="shared" si="63"/>
        <v>0</v>
      </c>
      <c r="AG291" s="60" cm="1">
        <f t="array" aca="1" ref="AG291" ca="1">SQRT(SUMSQ(_xlfn._xlws.FILTER(S291:AE291,ISNUMBER(S291:AE291)))/COUNT(_xlfn._xlws.FILTER(S291:AE291,ISNUMBER(S291:AE291))))</f>
        <v>4.2328083664000982</v>
      </c>
    </row>
    <row r="292" spans="3:33" x14ac:dyDescent="0.2">
      <c r="C292" s="60" t="s">
        <v>427</v>
      </c>
      <c r="D292" s="60">
        <v>0</v>
      </c>
      <c r="E292" s="60">
        <v>-2</v>
      </c>
      <c r="F292" s="60">
        <v>-5</v>
      </c>
      <c r="G292" s="60">
        <v>-7</v>
      </c>
      <c r="H292" s="60">
        <v>-9</v>
      </c>
      <c r="I292" s="60">
        <v>-12</v>
      </c>
      <c r="J292" s="60">
        <v>-14</v>
      </c>
      <c r="K292" s="60">
        <v>-16</v>
      </c>
      <c r="L292" s="60">
        <v>-19</v>
      </c>
      <c r="M292" s="60">
        <v>7</v>
      </c>
      <c r="N292" s="60">
        <v>5</v>
      </c>
      <c r="O292" s="60">
        <v>2</v>
      </c>
      <c r="P292" s="60">
        <v>0</v>
      </c>
      <c r="S292" s="60" t="e">
        <f t="shared" ca="1" si="52"/>
        <v>#REF!</v>
      </c>
      <c r="T292" s="60">
        <f t="shared" si="53"/>
        <v>2</v>
      </c>
      <c r="U292" s="60">
        <f t="shared" si="54"/>
        <v>5</v>
      </c>
      <c r="V292" s="60">
        <f t="shared" si="55"/>
        <v>7</v>
      </c>
      <c r="W292" s="60">
        <f t="shared" si="56"/>
        <v>9</v>
      </c>
      <c r="X292" s="60">
        <f t="shared" si="57"/>
        <v>12</v>
      </c>
      <c r="Y292" s="60">
        <f t="shared" si="58"/>
        <v>14</v>
      </c>
      <c r="Z292" s="60">
        <f t="shared" si="59"/>
        <v>16</v>
      </c>
      <c r="AA292" s="60">
        <f t="shared" si="64"/>
        <v>19</v>
      </c>
      <c r="AB292" s="60">
        <f t="shared" si="60"/>
        <v>-7</v>
      </c>
      <c r="AC292" s="60">
        <f t="shared" si="61"/>
        <v>-5</v>
      </c>
      <c r="AD292" s="60">
        <f t="shared" si="62"/>
        <v>-2</v>
      </c>
      <c r="AE292" s="60">
        <f t="shared" si="63"/>
        <v>0</v>
      </c>
      <c r="AG292" s="60" cm="1">
        <f t="array" aca="1" ref="AG292" ca="1">SQRT(SUMSQ(_xlfn._xlws.FILTER(S292:AE292,ISNUMBER(S292:AE292)))/COUNT(_xlfn._xlws.FILTER(S292:AE292,ISNUMBER(S292:AE292))))</f>
        <v>9.9749686716300019</v>
      </c>
    </row>
    <row r="293" spans="3:33" x14ac:dyDescent="0.2">
      <c r="C293" s="60" t="s">
        <v>428</v>
      </c>
      <c r="D293" s="60">
        <v>0</v>
      </c>
      <c r="E293" s="60">
        <v>-2.3460000000000001</v>
      </c>
      <c r="F293" s="60">
        <v>-4.6929999999999996</v>
      </c>
      <c r="G293" s="60">
        <v>-7.0389999999999997</v>
      </c>
      <c r="H293" s="60">
        <v>-9.3849999999999998</v>
      </c>
      <c r="I293" s="60">
        <v>-11.731</v>
      </c>
      <c r="J293" s="60">
        <v>-14.077999999999999</v>
      </c>
      <c r="K293" s="60">
        <v>-16.423999999999999</v>
      </c>
      <c r="L293" s="60">
        <v>-18.77</v>
      </c>
      <c r="M293" s="60">
        <v>7.0389999999999997</v>
      </c>
      <c r="N293" s="60">
        <v>4.6929999999999996</v>
      </c>
      <c r="O293" s="60">
        <v>2.3460000000000001</v>
      </c>
      <c r="P293" s="60">
        <v>0</v>
      </c>
      <c r="S293" s="60" t="e">
        <f t="shared" ref="S293:S324" ca="1" si="65">S$4-D293</f>
        <v>#REF!</v>
      </c>
      <c r="T293" s="60">
        <f t="shared" ref="T293:T324" si="66">T$4-E293</f>
        <v>2.3460000000000001</v>
      </c>
      <c r="U293" s="60">
        <f t="shared" ref="U293:U324" si="67">U$4-F293</f>
        <v>4.6929999999999996</v>
      </c>
      <c r="V293" s="60">
        <f t="shared" ref="V293:V324" si="68">V$4-G293</f>
        <v>7.0389999999999997</v>
      </c>
      <c r="W293" s="60">
        <f t="shared" ref="W293:W324" si="69">W$4-H293</f>
        <v>9.3849999999999998</v>
      </c>
      <c r="X293" s="60">
        <f t="shared" ref="X293:X324" si="70">X$4-I293</f>
        <v>11.731</v>
      </c>
      <c r="Y293" s="60">
        <f t="shared" ref="Y293:Y324" si="71">Y$4-J293</f>
        <v>14.077999999999999</v>
      </c>
      <c r="Z293" s="60">
        <f t="shared" ref="Z293:Z324" si="72">Z$4-K293</f>
        <v>16.423999999999999</v>
      </c>
      <c r="AA293" s="60">
        <f t="shared" si="64"/>
        <v>18.77</v>
      </c>
      <c r="AB293" s="60">
        <f t="shared" ref="AB293:AB324" si="73">AB$4-M293</f>
        <v>-7.0389999999999997</v>
      </c>
      <c r="AC293" s="60">
        <f t="shared" ref="AC293:AC324" si="74">AC$4-N293</f>
        <v>-4.6929999999999996</v>
      </c>
      <c r="AD293" s="60">
        <f t="shared" ref="AD293:AD324" si="75">AD$4-O293</f>
        <v>-2.3460000000000001</v>
      </c>
      <c r="AE293" s="60">
        <f t="shared" ref="AE293:AE324" si="76">AE$4-P293</f>
        <v>0</v>
      </c>
      <c r="AG293" s="60" cm="1">
        <f t="array" aca="1" ref="AG293" ca="1">SQRT(SUMSQ(_xlfn._xlws.FILTER(S293:AE293,ISNUMBER(S293:AE293)))/COUNT(_xlfn._xlws.FILTER(S293:AE293,ISNUMBER(S293:AE293))))</f>
        <v>10.000401316947235</v>
      </c>
    </row>
    <row r="294" spans="3:33" x14ac:dyDescent="0.2">
      <c r="C294" s="60" t="s">
        <v>429</v>
      </c>
      <c r="D294" s="60">
        <v>0</v>
      </c>
      <c r="E294" s="60">
        <v>-3</v>
      </c>
      <c r="F294" s="60">
        <v>-5</v>
      </c>
      <c r="G294" s="60">
        <v>-8</v>
      </c>
      <c r="H294" s="60">
        <v>-11</v>
      </c>
      <c r="I294" s="60">
        <v>-14</v>
      </c>
      <c r="J294" s="60">
        <v>-11</v>
      </c>
      <c r="K294" s="60">
        <v>-5</v>
      </c>
      <c r="L294" s="60">
        <v>-8</v>
      </c>
      <c r="M294" s="60">
        <v>-6</v>
      </c>
      <c r="N294" s="60">
        <v>-4</v>
      </c>
      <c r="O294" s="60">
        <v>3</v>
      </c>
      <c r="P294" s="60">
        <v>0</v>
      </c>
      <c r="S294" s="60" t="e">
        <f t="shared" ca="1" si="65"/>
        <v>#REF!</v>
      </c>
      <c r="T294" s="60">
        <f t="shared" si="66"/>
        <v>3</v>
      </c>
      <c r="U294" s="60">
        <f t="shared" si="67"/>
        <v>5</v>
      </c>
      <c r="V294" s="60">
        <f t="shared" si="68"/>
        <v>8</v>
      </c>
      <c r="W294" s="60">
        <f t="shared" si="69"/>
        <v>11</v>
      </c>
      <c r="X294" s="60">
        <f t="shared" si="70"/>
        <v>14</v>
      </c>
      <c r="Y294" s="60">
        <f t="shared" si="71"/>
        <v>11</v>
      </c>
      <c r="Z294" s="60">
        <f t="shared" si="72"/>
        <v>5</v>
      </c>
      <c r="AA294" s="60">
        <f t="shared" ref="AA294:AA325" si="77">AA$4-L294</f>
        <v>8</v>
      </c>
      <c r="AB294" s="60">
        <f t="shared" si="73"/>
        <v>6</v>
      </c>
      <c r="AC294" s="60">
        <f t="shared" si="74"/>
        <v>4</v>
      </c>
      <c r="AD294" s="60">
        <f t="shared" si="75"/>
        <v>-3</v>
      </c>
      <c r="AE294" s="60">
        <f t="shared" si="76"/>
        <v>0</v>
      </c>
      <c r="AG294" s="60" cm="1">
        <f t="array" aca="1" ref="AG294" ca="1">SQRT(SUMSQ(_xlfn._xlws.FILTER(S294:AE294,ISNUMBER(S294:AE294)))/COUNT(_xlfn._xlws.FILTER(S294:AE294,ISNUMBER(S294:AE294))))</f>
        <v>7.5608641481425032</v>
      </c>
    </row>
    <row r="295" spans="3:33" x14ac:dyDescent="0.2">
      <c r="C295" s="60" t="s">
        <v>430</v>
      </c>
      <c r="D295" s="60">
        <v>0</v>
      </c>
      <c r="E295" s="60">
        <v>2</v>
      </c>
      <c r="F295" s="60">
        <v>4</v>
      </c>
      <c r="G295" s="60">
        <v>6</v>
      </c>
      <c r="H295" s="60">
        <v>8</v>
      </c>
      <c r="I295" s="60">
        <v>10</v>
      </c>
      <c r="J295" s="60">
        <v>0</v>
      </c>
      <c r="K295" s="60">
        <v>2</v>
      </c>
      <c r="L295" s="60">
        <v>4</v>
      </c>
      <c r="M295" s="60">
        <v>6</v>
      </c>
      <c r="N295" s="60">
        <v>8</v>
      </c>
      <c r="O295" s="60">
        <v>-2</v>
      </c>
      <c r="P295" s="60">
        <v>0</v>
      </c>
      <c r="S295" s="60" t="e">
        <f t="shared" ca="1" si="65"/>
        <v>#REF!</v>
      </c>
      <c r="T295" s="60">
        <f t="shared" si="66"/>
        <v>-2</v>
      </c>
      <c r="U295" s="60">
        <f t="shared" si="67"/>
        <v>-4</v>
      </c>
      <c r="V295" s="60">
        <f t="shared" si="68"/>
        <v>-6</v>
      </c>
      <c r="W295" s="60">
        <f t="shared" si="69"/>
        <v>-8</v>
      </c>
      <c r="X295" s="60">
        <f t="shared" si="70"/>
        <v>-10</v>
      </c>
      <c r="Y295" s="60">
        <f t="shared" si="71"/>
        <v>0</v>
      </c>
      <c r="Z295" s="60">
        <f t="shared" si="72"/>
        <v>-2</v>
      </c>
      <c r="AA295" s="60">
        <f t="shared" si="77"/>
        <v>-4</v>
      </c>
      <c r="AB295" s="60">
        <f t="shared" si="73"/>
        <v>-6</v>
      </c>
      <c r="AC295" s="60">
        <f t="shared" si="74"/>
        <v>-8</v>
      </c>
      <c r="AD295" s="60">
        <f t="shared" si="75"/>
        <v>2</v>
      </c>
      <c r="AE295" s="60">
        <f t="shared" si="76"/>
        <v>0</v>
      </c>
      <c r="AG295" s="60" cm="1">
        <f t="array" aca="1" ref="AG295" ca="1">SQRT(SUMSQ(_xlfn._xlws.FILTER(S295:AE295,ISNUMBER(S295:AE295)))/COUNT(_xlfn._xlws.FILTER(S295:AE295,ISNUMBER(S295:AE295))))</f>
        <v>5.3541261347363367</v>
      </c>
    </row>
    <row r="296" spans="3:33" x14ac:dyDescent="0.2">
      <c r="C296" s="60" t="s">
        <v>431</v>
      </c>
      <c r="D296" s="60">
        <v>0</v>
      </c>
      <c r="E296" s="60">
        <v>2</v>
      </c>
      <c r="F296" s="60">
        <v>4</v>
      </c>
      <c r="G296" s="60">
        <v>-6</v>
      </c>
      <c r="H296" s="60">
        <v>-4</v>
      </c>
      <c r="I296" s="60">
        <v>-2</v>
      </c>
      <c r="J296" s="60">
        <v>0</v>
      </c>
      <c r="K296" s="60">
        <v>2</v>
      </c>
      <c r="L296" s="60">
        <v>4</v>
      </c>
      <c r="M296" s="60">
        <v>6</v>
      </c>
      <c r="N296" s="60">
        <v>8</v>
      </c>
      <c r="O296" s="60">
        <v>-2</v>
      </c>
      <c r="P296" s="60">
        <v>0</v>
      </c>
      <c r="S296" s="60" t="e">
        <f t="shared" ca="1" si="65"/>
        <v>#REF!</v>
      </c>
      <c r="T296" s="60">
        <f t="shared" si="66"/>
        <v>-2</v>
      </c>
      <c r="U296" s="60">
        <f t="shared" si="67"/>
        <v>-4</v>
      </c>
      <c r="V296" s="60">
        <f t="shared" si="68"/>
        <v>6</v>
      </c>
      <c r="W296" s="60">
        <f t="shared" si="69"/>
        <v>4</v>
      </c>
      <c r="X296" s="60">
        <f t="shared" si="70"/>
        <v>2</v>
      </c>
      <c r="Y296" s="60">
        <f t="shared" si="71"/>
        <v>0</v>
      </c>
      <c r="Z296" s="60">
        <f t="shared" si="72"/>
        <v>-2</v>
      </c>
      <c r="AA296" s="60">
        <f t="shared" si="77"/>
        <v>-4</v>
      </c>
      <c r="AB296" s="60">
        <f t="shared" si="73"/>
        <v>-6</v>
      </c>
      <c r="AC296" s="60">
        <f t="shared" si="74"/>
        <v>-8</v>
      </c>
      <c r="AD296" s="60">
        <f t="shared" si="75"/>
        <v>2</v>
      </c>
      <c r="AE296" s="60">
        <f t="shared" si="76"/>
        <v>0</v>
      </c>
      <c r="AG296" s="60" cm="1">
        <f t="array" aca="1" ref="AG296" ca="1">SQRT(SUMSQ(_xlfn._xlws.FILTER(S296:AE296,ISNUMBER(S296:AE296)))/COUNT(_xlfn._xlws.FILTER(S296:AE296,ISNUMBER(S296:AE296))))</f>
        <v>4.0824829046386304</v>
      </c>
    </row>
    <row r="297" spans="3:33" x14ac:dyDescent="0.2">
      <c r="C297" s="60" t="s">
        <v>432</v>
      </c>
      <c r="D297" s="60">
        <v>0</v>
      </c>
      <c r="E297" s="60">
        <v>2</v>
      </c>
      <c r="F297" s="60">
        <v>-8</v>
      </c>
      <c r="G297" s="60">
        <v>-6</v>
      </c>
      <c r="H297" s="60">
        <v>-4</v>
      </c>
      <c r="I297" s="60">
        <v>-2</v>
      </c>
      <c r="J297" s="60">
        <v>-12</v>
      </c>
      <c r="K297" s="60">
        <v>-10</v>
      </c>
      <c r="L297" s="60">
        <v>-8</v>
      </c>
      <c r="M297" s="60">
        <v>-6</v>
      </c>
      <c r="N297" s="60">
        <v>-4</v>
      </c>
      <c r="O297" s="60">
        <v>-2</v>
      </c>
      <c r="P297" s="60">
        <v>0</v>
      </c>
      <c r="S297" s="60" t="e">
        <f t="shared" ca="1" si="65"/>
        <v>#REF!</v>
      </c>
      <c r="T297" s="60">
        <f t="shared" si="66"/>
        <v>-2</v>
      </c>
      <c r="U297" s="60">
        <f t="shared" si="67"/>
        <v>8</v>
      </c>
      <c r="V297" s="60">
        <f t="shared" si="68"/>
        <v>6</v>
      </c>
      <c r="W297" s="60">
        <f t="shared" si="69"/>
        <v>4</v>
      </c>
      <c r="X297" s="60">
        <f t="shared" si="70"/>
        <v>2</v>
      </c>
      <c r="Y297" s="60">
        <f t="shared" si="71"/>
        <v>12</v>
      </c>
      <c r="Z297" s="60">
        <f t="shared" si="72"/>
        <v>10</v>
      </c>
      <c r="AA297" s="60">
        <f t="shared" si="77"/>
        <v>8</v>
      </c>
      <c r="AB297" s="60">
        <f t="shared" si="73"/>
        <v>6</v>
      </c>
      <c r="AC297" s="60">
        <f t="shared" si="74"/>
        <v>4</v>
      </c>
      <c r="AD297" s="60">
        <f t="shared" si="75"/>
        <v>2</v>
      </c>
      <c r="AE297" s="60">
        <f t="shared" si="76"/>
        <v>0</v>
      </c>
      <c r="AG297" s="60" cm="1">
        <f t="array" aca="1" ref="AG297" ca="1">SQRT(SUMSQ(_xlfn._xlws.FILTER(S297:AE297,ISNUMBER(S297:AE297)))/COUNT(_xlfn._xlws.FILTER(S297:AE297,ISNUMBER(S297:AE297))))</f>
        <v>6.3770421565696633</v>
      </c>
    </row>
    <row r="298" spans="3:33" x14ac:dyDescent="0.2">
      <c r="C298" s="60" t="s">
        <v>433</v>
      </c>
      <c r="D298" s="60">
        <v>0</v>
      </c>
      <c r="E298" s="60">
        <v>2</v>
      </c>
      <c r="F298" s="60">
        <v>4</v>
      </c>
      <c r="G298" s="60">
        <v>6</v>
      </c>
      <c r="H298" s="60">
        <v>8</v>
      </c>
      <c r="I298" s="60">
        <v>10</v>
      </c>
      <c r="J298" s="60">
        <v>0</v>
      </c>
      <c r="K298" s="60">
        <v>-10</v>
      </c>
      <c r="L298" s="60">
        <v>-8</v>
      </c>
      <c r="M298" s="60">
        <v>-6</v>
      </c>
      <c r="N298" s="60">
        <v>-4</v>
      </c>
      <c r="O298" s="60">
        <v>-2</v>
      </c>
      <c r="P298" s="60">
        <v>0</v>
      </c>
      <c r="S298" s="60" t="e">
        <f t="shared" ca="1" si="65"/>
        <v>#REF!</v>
      </c>
      <c r="T298" s="60">
        <f t="shared" si="66"/>
        <v>-2</v>
      </c>
      <c r="U298" s="60">
        <f t="shared" si="67"/>
        <v>-4</v>
      </c>
      <c r="V298" s="60">
        <f t="shared" si="68"/>
        <v>-6</v>
      </c>
      <c r="W298" s="60">
        <f t="shared" si="69"/>
        <v>-8</v>
      </c>
      <c r="X298" s="60">
        <f t="shared" si="70"/>
        <v>-10</v>
      </c>
      <c r="Y298" s="60">
        <f t="shared" si="71"/>
        <v>0</v>
      </c>
      <c r="Z298" s="60">
        <f t="shared" si="72"/>
        <v>10</v>
      </c>
      <c r="AA298" s="60">
        <f t="shared" si="77"/>
        <v>8</v>
      </c>
      <c r="AB298" s="60">
        <f t="shared" si="73"/>
        <v>6</v>
      </c>
      <c r="AC298" s="60">
        <f t="shared" si="74"/>
        <v>4</v>
      </c>
      <c r="AD298" s="60">
        <f t="shared" si="75"/>
        <v>2</v>
      </c>
      <c r="AE298" s="60">
        <f t="shared" si="76"/>
        <v>0</v>
      </c>
      <c r="AG298" s="60" cm="1">
        <f t="array" aca="1" ref="AG298" ca="1">SQRT(SUMSQ(_xlfn._xlws.FILTER(S298:AE298,ISNUMBER(S298:AE298)))/COUNT(_xlfn._xlws.FILTER(S298:AE298,ISNUMBER(S298:AE298))))</f>
        <v>6.0553007081949835</v>
      </c>
    </row>
    <row r="299" spans="3:33" x14ac:dyDescent="0.2">
      <c r="C299" s="60" t="s">
        <v>434</v>
      </c>
      <c r="D299" s="60">
        <v>0</v>
      </c>
      <c r="E299" s="60">
        <v>2</v>
      </c>
      <c r="F299" s="60">
        <v>4</v>
      </c>
      <c r="G299" s="60">
        <v>-6</v>
      </c>
      <c r="H299" s="60">
        <v>-16</v>
      </c>
      <c r="I299" s="60">
        <v>-14</v>
      </c>
      <c r="J299" s="60">
        <v>-12</v>
      </c>
      <c r="K299" s="60">
        <v>-10</v>
      </c>
      <c r="L299" s="60">
        <v>-8</v>
      </c>
      <c r="M299" s="60">
        <v>-6</v>
      </c>
      <c r="N299" s="60">
        <v>-4</v>
      </c>
      <c r="O299" s="60">
        <v>-2</v>
      </c>
      <c r="P299" s="60">
        <v>0</v>
      </c>
      <c r="S299" s="60" t="e">
        <f t="shared" ca="1" si="65"/>
        <v>#REF!</v>
      </c>
      <c r="T299" s="60">
        <f t="shared" si="66"/>
        <v>-2</v>
      </c>
      <c r="U299" s="60">
        <f t="shared" si="67"/>
        <v>-4</v>
      </c>
      <c r="V299" s="60">
        <f t="shared" si="68"/>
        <v>6</v>
      </c>
      <c r="W299" s="60">
        <f t="shared" si="69"/>
        <v>16</v>
      </c>
      <c r="X299" s="60">
        <f t="shared" si="70"/>
        <v>14</v>
      </c>
      <c r="Y299" s="60">
        <f t="shared" si="71"/>
        <v>12</v>
      </c>
      <c r="Z299" s="60">
        <f t="shared" si="72"/>
        <v>10</v>
      </c>
      <c r="AA299" s="60">
        <f t="shared" si="77"/>
        <v>8</v>
      </c>
      <c r="AB299" s="60">
        <f t="shared" si="73"/>
        <v>6</v>
      </c>
      <c r="AC299" s="60">
        <f t="shared" si="74"/>
        <v>4</v>
      </c>
      <c r="AD299" s="60">
        <f t="shared" si="75"/>
        <v>2</v>
      </c>
      <c r="AE299" s="60">
        <f t="shared" si="76"/>
        <v>0</v>
      </c>
      <c r="AG299" s="60" cm="1">
        <f t="array" aca="1" ref="AG299" ca="1">SQRT(SUMSQ(_xlfn._xlws.FILTER(S299:AE299,ISNUMBER(S299:AE299)))/COUNT(_xlfn._xlws.FILTER(S299:AE299,ISNUMBER(S299:AE299))))</f>
        <v>8.5244745683629475</v>
      </c>
    </row>
    <row r="300" spans="3:33" x14ac:dyDescent="0.2">
      <c r="C300" s="60" t="s">
        <v>435</v>
      </c>
      <c r="D300" s="60">
        <v>0</v>
      </c>
      <c r="E300" s="60">
        <v>2</v>
      </c>
      <c r="F300" s="60">
        <v>4</v>
      </c>
      <c r="G300" s="60">
        <v>6</v>
      </c>
      <c r="H300" s="60">
        <v>8</v>
      </c>
      <c r="I300" s="60">
        <v>10</v>
      </c>
      <c r="J300" s="60">
        <v>0</v>
      </c>
      <c r="K300" s="60">
        <v>2</v>
      </c>
      <c r="L300" s="60">
        <v>4</v>
      </c>
      <c r="M300" s="60">
        <v>6</v>
      </c>
      <c r="N300" s="60">
        <v>-4</v>
      </c>
      <c r="O300" s="60">
        <v>-2</v>
      </c>
      <c r="P300" s="60">
        <v>0</v>
      </c>
      <c r="S300" s="60" t="e">
        <f t="shared" ca="1" si="65"/>
        <v>#REF!</v>
      </c>
      <c r="T300" s="60">
        <f t="shared" si="66"/>
        <v>-2</v>
      </c>
      <c r="U300" s="60">
        <f t="shared" si="67"/>
        <v>-4</v>
      </c>
      <c r="V300" s="60">
        <f t="shared" si="68"/>
        <v>-6</v>
      </c>
      <c r="W300" s="60">
        <f t="shared" si="69"/>
        <v>-8</v>
      </c>
      <c r="X300" s="60">
        <f t="shared" si="70"/>
        <v>-10</v>
      </c>
      <c r="Y300" s="60">
        <f t="shared" si="71"/>
        <v>0</v>
      </c>
      <c r="Z300" s="60">
        <f t="shared" si="72"/>
        <v>-2</v>
      </c>
      <c r="AA300" s="60">
        <f t="shared" si="77"/>
        <v>-4</v>
      </c>
      <c r="AB300" s="60">
        <f t="shared" si="73"/>
        <v>-6</v>
      </c>
      <c r="AC300" s="60">
        <f t="shared" si="74"/>
        <v>4</v>
      </c>
      <c r="AD300" s="60">
        <f t="shared" si="75"/>
        <v>2</v>
      </c>
      <c r="AE300" s="60">
        <f t="shared" si="76"/>
        <v>0</v>
      </c>
      <c r="AG300" s="60" cm="1">
        <f t="array" aca="1" ref="AG300" ca="1">SQRT(SUMSQ(_xlfn._xlws.FILTER(S300:AE300,ISNUMBER(S300:AE300)))/COUNT(_xlfn._xlws.FILTER(S300:AE300,ISNUMBER(S300:AE300))))</f>
        <v>4.9665548085837798</v>
      </c>
    </row>
    <row r="301" spans="3:33" x14ac:dyDescent="0.2">
      <c r="C301" s="60" t="s">
        <v>436</v>
      </c>
      <c r="D301" s="60">
        <v>0</v>
      </c>
      <c r="E301" s="60">
        <v>-10</v>
      </c>
      <c r="F301" s="60">
        <v>-8</v>
      </c>
      <c r="G301" s="60">
        <v>-6</v>
      </c>
      <c r="H301" s="60">
        <v>-4</v>
      </c>
      <c r="I301" s="60">
        <v>-14</v>
      </c>
      <c r="J301" s="60">
        <v>-12</v>
      </c>
      <c r="K301" s="60">
        <v>-10</v>
      </c>
      <c r="L301" s="60">
        <v>-8</v>
      </c>
      <c r="M301" s="60">
        <v>-6</v>
      </c>
      <c r="N301" s="60">
        <v>-4</v>
      </c>
      <c r="O301" s="60">
        <v>-2</v>
      </c>
      <c r="P301" s="60">
        <v>0</v>
      </c>
      <c r="S301" s="60" t="e">
        <f t="shared" ca="1" si="65"/>
        <v>#REF!</v>
      </c>
      <c r="T301" s="60">
        <f t="shared" si="66"/>
        <v>10</v>
      </c>
      <c r="U301" s="60">
        <f t="shared" si="67"/>
        <v>8</v>
      </c>
      <c r="V301" s="60">
        <f t="shared" si="68"/>
        <v>6</v>
      </c>
      <c r="W301" s="60">
        <f t="shared" si="69"/>
        <v>4</v>
      </c>
      <c r="X301" s="60">
        <f t="shared" si="70"/>
        <v>14</v>
      </c>
      <c r="Y301" s="60">
        <f t="shared" si="71"/>
        <v>12</v>
      </c>
      <c r="Z301" s="60">
        <f t="shared" si="72"/>
        <v>10</v>
      </c>
      <c r="AA301" s="60">
        <f t="shared" si="77"/>
        <v>8</v>
      </c>
      <c r="AB301" s="60">
        <f t="shared" si="73"/>
        <v>6</v>
      </c>
      <c r="AC301" s="60">
        <f t="shared" si="74"/>
        <v>4</v>
      </c>
      <c r="AD301" s="60">
        <f t="shared" si="75"/>
        <v>2</v>
      </c>
      <c r="AE301" s="60">
        <f t="shared" si="76"/>
        <v>0</v>
      </c>
      <c r="AG301" s="60" cm="1">
        <f t="array" aca="1" ref="AG301" ca="1">SQRT(SUMSQ(_xlfn._xlws.FILTER(S301:AE301,ISNUMBER(S301:AE301)))/COUNT(_xlfn._xlws.FILTER(S301:AE301,ISNUMBER(S301:AE301))))</f>
        <v>8.0415587212098796</v>
      </c>
    </row>
    <row r="302" spans="3:33" x14ac:dyDescent="0.2">
      <c r="C302" s="60" t="s">
        <v>437</v>
      </c>
      <c r="D302" s="60">
        <v>0</v>
      </c>
      <c r="E302" s="60">
        <v>-2</v>
      </c>
      <c r="F302" s="60">
        <v>-4</v>
      </c>
      <c r="G302" s="60">
        <v>-6</v>
      </c>
      <c r="H302" s="60">
        <v>-8</v>
      </c>
      <c r="I302" s="60">
        <v>-11</v>
      </c>
      <c r="J302" s="60">
        <v>-13</v>
      </c>
      <c r="K302" s="60">
        <v>-15</v>
      </c>
      <c r="L302" s="60">
        <v>-17</v>
      </c>
      <c r="M302" s="60">
        <v>6</v>
      </c>
      <c r="N302" s="60">
        <v>4</v>
      </c>
      <c r="O302" s="60">
        <v>2</v>
      </c>
      <c r="P302" s="60">
        <v>0</v>
      </c>
      <c r="S302" s="60" t="e">
        <f t="shared" ca="1" si="65"/>
        <v>#REF!</v>
      </c>
      <c r="T302" s="60">
        <f t="shared" si="66"/>
        <v>2</v>
      </c>
      <c r="U302" s="60">
        <f t="shared" si="67"/>
        <v>4</v>
      </c>
      <c r="V302" s="60">
        <f t="shared" si="68"/>
        <v>6</v>
      </c>
      <c r="W302" s="60">
        <f t="shared" si="69"/>
        <v>8</v>
      </c>
      <c r="X302" s="60">
        <f t="shared" si="70"/>
        <v>11</v>
      </c>
      <c r="Y302" s="60">
        <f t="shared" si="71"/>
        <v>13</v>
      </c>
      <c r="Z302" s="60">
        <f t="shared" si="72"/>
        <v>15</v>
      </c>
      <c r="AA302" s="60">
        <f t="shared" si="77"/>
        <v>17</v>
      </c>
      <c r="AB302" s="60">
        <f t="shared" si="73"/>
        <v>-6</v>
      </c>
      <c r="AC302" s="60">
        <f t="shared" si="74"/>
        <v>-4</v>
      </c>
      <c r="AD302" s="60">
        <f t="shared" si="75"/>
        <v>-2</v>
      </c>
      <c r="AE302" s="60">
        <f t="shared" si="76"/>
        <v>0</v>
      </c>
      <c r="AG302" s="60" cm="1">
        <f t="array" aca="1" ref="AG302" ca="1">SQRT(SUMSQ(_xlfn._xlws.FILTER(S302:AE302,ISNUMBER(S302:AE302)))/COUNT(_xlfn._xlws.FILTER(S302:AE302,ISNUMBER(S302:AE302))))</f>
        <v>9.0369611411506394</v>
      </c>
    </row>
    <row r="303" spans="3:33" x14ac:dyDescent="0.2">
      <c r="C303" s="60" t="s">
        <v>438</v>
      </c>
      <c r="D303" s="60">
        <v>0</v>
      </c>
      <c r="E303" s="60">
        <v>-2.133</v>
      </c>
      <c r="F303" s="60">
        <v>-4.266</v>
      </c>
      <c r="G303" s="60">
        <v>-6.399</v>
      </c>
      <c r="H303" s="60">
        <v>-8.532</v>
      </c>
      <c r="I303" s="60">
        <v>-10.664999999999999</v>
      </c>
      <c r="J303" s="60">
        <v>-12.798</v>
      </c>
      <c r="K303" s="60">
        <v>-14.930999999999999</v>
      </c>
      <c r="L303" s="60">
        <v>-17.064</v>
      </c>
      <c r="M303" s="60">
        <v>6.399</v>
      </c>
      <c r="N303" s="60">
        <v>4.266</v>
      </c>
      <c r="O303" s="60">
        <v>2.133</v>
      </c>
      <c r="P303" s="60">
        <v>0</v>
      </c>
      <c r="S303" s="60" t="e">
        <f t="shared" ca="1" si="65"/>
        <v>#REF!</v>
      </c>
      <c r="T303" s="60">
        <f t="shared" si="66"/>
        <v>2.133</v>
      </c>
      <c r="U303" s="60">
        <f t="shared" si="67"/>
        <v>4.266</v>
      </c>
      <c r="V303" s="60">
        <f t="shared" si="68"/>
        <v>6.399</v>
      </c>
      <c r="W303" s="60">
        <f t="shared" si="69"/>
        <v>8.532</v>
      </c>
      <c r="X303" s="60">
        <f t="shared" si="70"/>
        <v>10.664999999999999</v>
      </c>
      <c r="Y303" s="60">
        <f t="shared" si="71"/>
        <v>12.798</v>
      </c>
      <c r="Z303" s="60">
        <f t="shared" si="72"/>
        <v>14.930999999999999</v>
      </c>
      <c r="AA303" s="60">
        <f t="shared" si="77"/>
        <v>17.064</v>
      </c>
      <c r="AB303" s="60">
        <f t="shared" si="73"/>
        <v>-6.399</v>
      </c>
      <c r="AC303" s="60">
        <f t="shared" si="74"/>
        <v>-4.266</v>
      </c>
      <c r="AD303" s="60">
        <f t="shared" si="75"/>
        <v>-2.133</v>
      </c>
      <c r="AE303" s="60">
        <f t="shared" si="76"/>
        <v>0</v>
      </c>
      <c r="AG303" s="60" cm="1">
        <f t="array" aca="1" ref="AG303" ca="1">SQRT(SUMSQ(_xlfn._xlws.FILTER(S303:AE303,ISNUMBER(S303:AE303)))/COUNT(_xlfn._xlws.FILTER(S303:AE303,ISNUMBER(S303:AE303))))</f>
        <v>9.091352127159082</v>
      </c>
    </row>
    <row r="304" spans="3:33" x14ac:dyDescent="0.2">
      <c r="C304" s="60" t="s">
        <v>439</v>
      </c>
      <c r="D304" s="60">
        <v>0</v>
      </c>
      <c r="E304" s="60">
        <v>-2</v>
      </c>
      <c r="F304" s="60">
        <v>-4</v>
      </c>
      <c r="G304" s="60">
        <v>-5</v>
      </c>
      <c r="H304" s="60">
        <v>-6</v>
      </c>
      <c r="I304" s="60">
        <v>-9</v>
      </c>
      <c r="J304" s="60">
        <v>-9</v>
      </c>
      <c r="K304" s="60">
        <v>-5</v>
      </c>
      <c r="L304" s="60">
        <v>-2</v>
      </c>
      <c r="M304" s="60">
        <v>1</v>
      </c>
      <c r="N304" s="60">
        <v>1</v>
      </c>
      <c r="O304" s="60">
        <v>-1</v>
      </c>
      <c r="P304" s="60">
        <v>0</v>
      </c>
      <c r="S304" s="60" t="e">
        <f t="shared" ca="1" si="65"/>
        <v>#REF!</v>
      </c>
      <c r="T304" s="60">
        <f t="shared" si="66"/>
        <v>2</v>
      </c>
      <c r="U304" s="60">
        <f t="shared" si="67"/>
        <v>4</v>
      </c>
      <c r="V304" s="60">
        <f t="shared" si="68"/>
        <v>5</v>
      </c>
      <c r="W304" s="60">
        <f t="shared" si="69"/>
        <v>6</v>
      </c>
      <c r="X304" s="60">
        <f t="shared" si="70"/>
        <v>9</v>
      </c>
      <c r="Y304" s="60">
        <f t="shared" si="71"/>
        <v>9</v>
      </c>
      <c r="Z304" s="60">
        <f t="shared" si="72"/>
        <v>5</v>
      </c>
      <c r="AA304" s="60">
        <f t="shared" si="77"/>
        <v>2</v>
      </c>
      <c r="AB304" s="60">
        <f t="shared" si="73"/>
        <v>-1</v>
      </c>
      <c r="AC304" s="60">
        <f t="shared" si="74"/>
        <v>-1</v>
      </c>
      <c r="AD304" s="60">
        <f t="shared" si="75"/>
        <v>1</v>
      </c>
      <c r="AE304" s="60">
        <f t="shared" si="76"/>
        <v>0</v>
      </c>
      <c r="AG304" s="60" cm="1">
        <f t="array" aca="1" ref="AG304" ca="1">SQRT(SUMSQ(_xlfn._xlws.FILTER(S304:AE304,ISNUMBER(S304:AE304)))/COUNT(_xlfn._xlws.FILTER(S304:AE304,ISNUMBER(S304:AE304))))</f>
        <v>4.7871355387816905</v>
      </c>
    </row>
    <row r="305" spans="3:33" x14ac:dyDescent="0.2">
      <c r="C305" s="60" t="s">
        <v>440</v>
      </c>
      <c r="D305" s="60">
        <v>0</v>
      </c>
      <c r="E305" s="60">
        <v>-4</v>
      </c>
      <c r="F305" s="60">
        <v>2</v>
      </c>
      <c r="G305" s="60">
        <v>-1</v>
      </c>
      <c r="H305" s="60">
        <v>-3</v>
      </c>
      <c r="I305" s="60">
        <v>-6</v>
      </c>
      <c r="J305" s="60">
        <v>-1</v>
      </c>
      <c r="K305" s="60">
        <v>-3</v>
      </c>
      <c r="L305" s="60">
        <v>-7</v>
      </c>
      <c r="M305" s="60">
        <v>-3</v>
      </c>
      <c r="N305" s="60">
        <v>4</v>
      </c>
      <c r="O305" s="60">
        <v>2</v>
      </c>
      <c r="P305" s="60">
        <v>0</v>
      </c>
      <c r="S305" s="60" t="e">
        <f t="shared" ca="1" si="65"/>
        <v>#REF!</v>
      </c>
      <c r="T305" s="60">
        <f t="shared" si="66"/>
        <v>4</v>
      </c>
      <c r="U305" s="60">
        <f t="shared" si="67"/>
        <v>-2</v>
      </c>
      <c r="V305" s="60">
        <f t="shared" si="68"/>
        <v>1</v>
      </c>
      <c r="W305" s="60">
        <f t="shared" si="69"/>
        <v>3</v>
      </c>
      <c r="X305" s="60">
        <f t="shared" si="70"/>
        <v>6</v>
      </c>
      <c r="Y305" s="60">
        <f t="shared" si="71"/>
        <v>1</v>
      </c>
      <c r="Z305" s="60">
        <f t="shared" si="72"/>
        <v>3</v>
      </c>
      <c r="AA305" s="60">
        <f t="shared" si="77"/>
        <v>7</v>
      </c>
      <c r="AB305" s="60">
        <f t="shared" si="73"/>
        <v>3</v>
      </c>
      <c r="AC305" s="60">
        <f t="shared" si="74"/>
        <v>-4</v>
      </c>
      <c r="AD305" s="60">
        <f t="shared" si="75"/>
        <v>-2</v>
      </c>
      <c r="AE305" s="60">
        <f t="shared" si="76"/>
        <v>0</v>
      </c>
      <c r="AG305" s="60" cm="1">
        <f t="array" aca="1" ref="AG305" ca="1">SQRT(SUMSQ(_xlfn._xlws.FILTER(S305:AE305,ISNUMBER(S305:AE305)))/COUNT(_xlfn._xlws.FILTER(S305:AE305,ISNUMBER(S305:AE305))))</f>
        <v>3.5823642100341129</v>
      </c>
    </row>
    <row r="306" spans="3:33" x14ac:dyDescent="0.2">
      <c r="C306" s="60" t="s">
        <v>441</v>
      </c>
      <c r="D306" s="60">
        <v>0</v>
      </c>
      <c r="E306" s="60">
        <v>-4</v>
      </c>
      <c r="F306" s="60">
        <v>-8</v>
      </c>
      <c r="G306" s="60">
        <v>-12</v>
      </c>
      <c r="H306" s="60">
        <v>-10</v>
      </c>
      <c r="I306" s="60">
        <v>-8</v>
      </c>
      <c r="J306" s="60">
        <v>-12</v>
      </c>
      <c r="K306" s="60">
        <v>-10</v>
      </c>
      <c r="L306" s="60">
        <v>-8</v>
      </c>
      <c r="M306" s="60">
        <v>-6</v>
      </c>
      <c r="N306" s="60">
        <v>-4</v>
      </c>
      <c r="O306" s="60">
        <v>-2</v>
      </c>
      <c r="P306" s="60">
        <v>0</v>
      </c>
      <c r="S306" s="60" t="e">
        <f t="shared" ca="1" si="65"/>
        <v>#REF!</v>
      </c>
      <c r="T306" s="60">
        <f t="shared" si="66"/>
        <v>4</v>
      </c>
      <c r="U306" s="60">
        <f t="shared" si="67"/>
        <v>8</v>
      </c>
      <c r="V306" s="60">
        <f t="shared" si="68"/>
        <v>12</v>
      </c>
      <c r="W306" s="60">
        <f t="shared" si="69"/>
        <v>10</v>
      </c>
      <c r="X306" s="60">
        <f t="shared" si="70"/>
        <v>8</v>
      </c>
      <c r="Y306" s="60">
        <f t="shared" si="71"/>
        <v>12</v>
      </c>
      <c r="Z306" s="60">
        <f t="shared" si="72"/>
        <v>10</v>
      </c>
      <c r="AA306" s="60">
        <f t="shared" si="77"/>
        <v>8</v>
      </c>
      <c r="AB306" s="60">
        <f t="shared" si="73"/>
        <v>6</v>
      </c>
      <c r="AC306" s="60">
        <f t="shared" si="74"/>
        <v>4</v>
      </c>
      <c r="AD306" s="60">
        <f t="shared" si="75"/>
        <v>2</v>
      </c>
      <c r="AE306" s="60">
        <f t="shared" si="76"/>
        <v>0</v>
      </c>
      <c r="AG306" s="60" cm="1">
        <f t="array" aca="1" ref="AG306" ca="1">SQRT(SUMSQ(_xlfn._xlws.FILTER(S306:AE306,ISNUMBER(S306:AE306)))/COUNT(_xlfn._xlws.FILTER(S306:AE306,ISNUMBER(S306:AE306))))</f>
        <v>7.9162280580252782</v>
      </c>
    </row>
    <row r="307" spans="3:33" x14ac:dyDescent="0.2">
      <c r="C307" s="60" t="s">
        <v>442</v>
      </c>
      <c r="D307" s="60">
        <v>0</v>
      </c>
      <c r="E307" s="60">
        <v>-3.91</v>
      </c>
      <c r="F307" s="60">
        <v>-7.82</v>
      </c>
      <c r="G307" s="60">
        <v>-11.73</v>
      </c>
      <c r="H307" s="60">
        <v>-9.7750000000000004</v>
      </c>
      <c r="I307" s="60">
        <v>-7.82</v>
      </c>
      <c r="J307" s="60">
        <v>-11.73</v>
      </c>
      <c r="K307" s="60">
        <v>-9.7750000000000004</v>
      </c>
      <c r="L307" s="60">
        <v>-7.82</v>
      </c>
      <c r="M307" s="60">
        <v>-5.8650000000000002</v>
      </c>
      <c r="N307" s="60">
        <v>-3.91</v>
      </c>
      <c r="O307" s="60">
        <v>-1.9550000000000001</v>
      </c>
      <c r="P307" s="60">
        <v>0</v>
      </c>
      <c r="S307" s="60" t="e">
        <f t="shared" ca="1" si="65"/>
        <v>#REF!</v>
      </c>
      <c r="T307" s="60">
        <f t="shared" si="66"/>
        <v>3.91</v>
      </c>
      <c r="U307" s="60">
        <f t="shared" si="67"/>
        <v>7.82</v>
      </c>
      <c r="V307" s="60">
        <f t="shared" si="68"/>
        <v>11.73</v>
      </c>
      <c r="W307" s="60">
        <f t="shared" si="69"/>
        <v>9.7750000000000004</v>
      </c>
      <c r="X307" s="60">
        <f t="shared" si="70"/>
        <v>7.82</v>
      </c>
      <c r="Y307" s="60">
        <f t="shared" si="71"/>
        <v>11.73</v>
      </c>
      <c r="Z307" s="60">
        <f t="shared" si="72"/>
        <v>9.7750000000000004</v>
      </c>
      <c r="AA307" s="60">
        <f t="shared" si="77"/>
        <v>7.82</v>
      </c>
      <c r="AB307" s="60">
        <f t="shared" si="73"/>
        <v>5.8650000000000002</v>
      </c>
      <c r="AC307" s="60">
        <f t="shared" si="74"/>
        <v>3.91</v>
      </c>
      <c r="AD307" s="60">
        <f t="shared" si="75"/>
        <v>1.9550000000000001</v>
      </c>
      <c r="AE307" s="60">
        <f t="shared" si="76"/>
        <v>0</v>
      </c>
      <c r="AG307" s="60" cm="1">
        <f t="array" aca="1" ref="AG307" ca="1">SQRT(SUMSQ(_xlfn._xlws.FILTER(S307:AE307,ISNUMBER(S307:AE307)))/COUNT(_xlfn._xlws.FILTER(S307:AE307,ISNUMBER(S307:AE307))))</f>
        <v>7.73811292671971</v>
      </c>
    </row>
    <row r="308" spans="3:33" x14ac:dyDescent="0.2">
      <c r="C308" s="60" t="s">
        <v>443</v>
      </c>
      <c r="D308" s="60">
        <v>0</v>
      </c>
      <c r="E308" s="60">
        <v>-6</v>
      </c>
      <c r="F308" s="60">
        <v>-4</v>
      </c>
      <c r="G308" s="60">
        <v>-10</v>
      </c>
      <c r="H308" s="60">
        <v>-8</v>
      </c>
      <c r="I308" s="60">
        <v>-14</v>
      </c>
      <c r="J308" s="60">
        <v>-12</v>
      </c>
      <c r="K308" s="60">
        <v>-18</v>
      </c>
      <c r="L308" s="60">
        <v>-16</v>
      </c>
      <c r="M308" s="60">
        <v>-6</v>
      </c>
      <c r="N308" s="60">
        <v>4</v>
      </c>
      <c r="O308" s="60">
        <v>-2</v>
      </c>
      <c r="P308" s="60">
        <v>0</v>
      </c>
      <c r="S308" s="60" t="e">
        <f t="shared" ca="1" si="65"/>
        <v>#REF!</v>
      </c>
      <c r="T308" s="60">
        <f t="shared" si="66"/>
        <v>6</v>
      </c>
      <c r="U308" s="60">
        <f t="shared" si="67"/>
        <v>4</v>
      </c>
      <c r="V308" s="60">
        <f t="shared" si="68"/>
        <v>10</v>
      </c>
      <c r="W308" s="60">
        <f t="shared" si="69"/>
        <v>8</v>
      </c>
      <c r="X308" s="60">
        <f t="shared" si="70"/>
        <v>14</v>
      </c>
      <c r="Y308" s="60">
        <f t="shared" si="71"/>
        <v>12</v>
      </c>
      <c r="Z308" s="60">
        <f t="shared" si="72"/>
        <v>18</v>
      </c>
      <c r="AA308" s="60">
        <f t="shared" si="77"/>
        <v>16</v>
      </c>
      <c r="AB308" s="60">
        <f t="shared" si="73"/>
        <v>6</v>
      </c>
      <c r="AC308" s="60">
        <f t="shared" si="74"/>
        <v>-4</v>
      </c>
      <c r="AD308" s="60">
        <f t="shared" si="75"/>
        <v>2</v>
      </c>
      <c r="AE308" s="60">
        <f t="shared" si="76"/>
        <v>0</v>
      </c>
      <c r="AG308" s="60" cm="1">
        <f t="array" aca="1" ref="AG308" ca="1">SQRT(SUMSQ(_xlfn._xlws.FILTER(S308:AE308,ISNUMBER(S308:AE308)))/COUNT(_xlfn._xlws.FILTER(S308:AE308,ISNUMBER(S308:AE308))))</f>
        <v>9.966610925150702</v>
      </c>
    </row>
    <row r="309" spans="3:33" x14ac:dyDescent="0.2">
      <c r="C309" s="60" t="s">
        <v>444</v>
      </c>
      <c r="D309" s="60">
        <v>0</v>
      </c>
      <c r="E309" s="60">
        <v>-5.87</v>
      </c>
      <c r="F309" s="60">
        <v>-3.91</v>
      </c>
      <c r="G309" s="60">
        <v>-9.8699999999999992</v>
      </c>
      <c r="H309" s="60">
        <v>-7.82</v>
      </c>
      <c r="I309" s="60">
        <v>-13.69</v>
      </c>
      <c r="J309" s="60">
        <v>-11.73</v>
      </c>
      <c r="K309" s="60">
        <v>-17.96</v>
      </c>
      <c r="L309" s="60">
        <v>-15.64</v>
      </c>
      <c r="M309" s="60">
        <v>-5.87</v>
      </c>
      <c r="N309" s="60">
        <v>3.91</v>
      </c>
      <c r="O309" s="60">
        <v>-1.96</v>
      </c>
      <c r="P309" s="60">
        <v>0</v>
      </c>
      <c r="S309" s="60" t="e">
        <f t="shared" ca="1" si="65"/>
        <v>#REF!</v>
      </c>
      <c r="T309" s="60">
        <f t="shared" si="66"/>
        <v>5.87</v>
      </c>
      <c r="U309" s="60">
        <f t="shared" si="67"/>
        <v>3.91</v>
      </c>
      <c r="V309" s="60">
        <f t="shared" si="68"/>
        <v>9.8699999999999992</v>
      </c>
      <c r="W309" s="60">
        <f t="shared" si="69"/>
        <v>7.82</v>
      </c>
      <c r="X309" s="60">
        <f t="shared" si="70"/>
        <v>13.69</v>
      </c>
      <c r="Y309" s="60">
        <f t="shared" si="71"/>
        <v>11.73</v>
      </c>
      <c r="Z309" s="60">
        <f t="shared" si="72"/>
        <v>17.96</v>
      </c>
      <c r="AA309" s="60">
        <f t="shared" si="77"/>
        <v>15.64</v>
      </c>
      <c r="AB309" s="60">
        <f t="shared" si="73"/>
        <v>5.87</v>
      </c>
      <c r="AC309" s="60">
        <f t="shared" si="74"/>
        <v>-3.91</v>
      </c>
      <c r="AD309" s="60">
        <f t="shared" si="75"/>
        <v>1.96</v>
      </c>
      <c r="AE309" s="60">
        <f t="shared" si="76"/>
        <v>0</v>
      </c>
      <c r="AG309" s="60" cm="1">
        <f t="array" aca="1" ref="AG309" ca="1">SQRT(SUMSQ(_xlfn._xlws.FILTER(S309:AE309,ISNUMBER(S309:AE309)))/COUNT(_xlfn._xlws.FILTER(S309:AE309,ISNUMBER(S309:AE309))))</f>
        <v>9.8068050352803482</v>
      </c>
    </row>
    <row r="310" spans="3:33" x14ac:dyDescent="0.2">
      <c r="C310" s="60" t="s">
        <v>445</v>
      </c>
      <c r="D310" s="60">
        <v>0</v>
      </c>
      <c r="E310" s="60">
        <v>2</v>
      </c>
      <c r="F310" s="60">
        <v>4</v>
      </c>
      <c r="G310" s="60">
        <v>0</v>
      </c>
      <c r="H310" s="60">
        <v>-4</v>
      </c>
      <c r="I310" s="60">
        <v>-2</v>
      </c>
      <c r="J310" s="60">
        <v>0</v>
      </c>
      <c r="K310" s="60">
        <v>-4</v>
      </c>
      <c r="L310" s="60">
        <v>-8</v>
      </c>
      <c r="M310" s="60">
        <v>0</v>
      </c>
      <c r="N310" s="60">
        <v>2</v>
      </c>
      <c r="O310" s="60">
        <v>4</v>
      </c>
      <c r="P310" s="60">
        <v>0</v>
      </c>
      <c r="S310" s="60" t="e">
        <f t="shared" ca="1" si="65"/>
        <v>#REF!</v>
      </c>
      <c r="T310" s="60">
        <f t="shared" si="66"/>
        <v>-2</v>
      </c>
      <c r="U310" s="60">
        <f t="shared" si="67"/>
        <v>-4</v>
      </c>
      <c r="V310" s="60">
        <f t="shared" si="68"/>
        <v>0</v>
      </c>
      <c r="W310" s="60">
        <f t="shared" si="69"/>
        <v>4</v>
      </c>
      <c r="X310" s="60">
        <f t="shared" si="70"/>
        <v>2</v>
      </c>
      <c r="Y310" s="60">
        <f t="shared" si="71"/>
        <v>0</v>
      </c>
      <c r="Z310" s="60">
        <f t="shared" si="72"/>
        <v>4</v>
      </c>
      <c r="AA310" s="60">
        <f t="shared" si="77"/>
        <v>8</v>
      </c>
      <c r="AB310" s="60">
        <f t="shared" si="73"/>
        <v>0</v>
      </c>
      <c r="AC310" s="60">
        <f t="shared" si="74"/>
        <v>-2</v>
      </c>
      <c r="AD310" s="60">
        <f t="shared" si="75"/>
        <v>-4</v>
      </c>
      <c r="AE310" s="60">
        <f t="shared" si="76"/>
        <v>0</v>
      </c>
      <c r="AG310" s="60" cm="1">
        <f t="array" aca="1" ref="AG310" ca="1">SQRT(SUMSQ(_xlfn._xlws.FILTER(S310:AE310,ISNUMBER(S310:AE310)))/COUNT(_xlfn._xlws.FILTER(S310:AE310,ISNUMBER(S310:AE310))))</f>
        <v>3.415650255319866</v>
      </c>
    </row>
    <row r="311" spans="3:33" x14ac:dyDescent="0.2">
      <c r="C311" s="60" t="s">
        <v>446</v>
      </c>
      <c r="D311" s="60">
        <v>0</v>
      </c>
      <c r="E311" s="60">
        <v>1.9550000000000001</v>
      </c>
      <c r="F311" s="60">
        <v>3.91</v>
      </c>
      <c r="G311" s="60">
        <v>0</v>
      </c>
      <c r="H311" s="60">
        <v>-3.91</v>
      </c>
      <c r="I311" s="60">
        <v>-1.9550000000000001</v>
      </c>
      <c r="J311" s="60">
        <v>0</v>
      </c>
      <c r="K311" s="60">
        <v>-3.91</v>
      </c>
      <c r="L311" s="60">
        <v>-7.82</v>
      </c>
      <c r="M311" s="60">
        <v>0</v>
      </c>
      <c r="N311" s="60">
        <v>1.9550000000000001</v>
      </c>
      <c r="O311" s="60">
        <v>3.91</v>
      </c>
      <c r="P311" s="60">
        <v>0</v>
      </c>
      <c r="S311" s="60" t="e">
        <f t="shared" ca="1" si="65"/>
        <v>#REF!</v>
      </c>
      <c r="T311" s="60">
        <f t="shared" si="66"/>
        <v>-1.9550000000000001</v>
      </c>
      <c r="U311" s="60">
        <f t="shared" si="67"/>
        <v>-3.91</v>
      </c>
      <c r="V311" s="60">
        <f t="shared" si="68"/>
        <v>0</v>
      </c>
      <c r="W311" s="60">
        <f t="shared" si="69"/>
        <v>3.91</v>
      </c>
      <c r="X311" s="60">
        <f t="shared" si="70"/>
        <v>1.9550000000000001</v>
      </c>
      <c r="Y311" s="60">
        <f t="shared" si="71"/>
        <v>0</v>
      </c>
      <c r="Z311" s="60">
        <f t="shared" si="72"/>
        <v>3.91</v>
      </c>
      <c r="AA311" s="60">
        <f t="shared" si="77"/>
        <v>7.82</v>
      </c>
      <c r="AB311" s="60">
        <f t="shared" si="73"/>
        <v>0</v>
      </c>
      <c r="AC311" s="60">
        <f t="shared" si="74"/>
        <v>-1.9550000000000001</v>
      </c>
      <c r="AD311" s="60">
        <f t="shared" si="75"/>
        <v>-3.91</v>
      </c>
      <c r="AE311" s="60">
        <f t="shared" si="76"/>
        <v>0</v>
      </c>
      <c r="AG311" s="60" cm="1">
        <f t="array" aca="1" ref="AG311" ca="1">SQRT(SUMSQ(_xlfn._xlws.FILTER(S311:AE311,ISNUMBER(S311:AE311)))/COUNT(_xlfn._xlws.FILTER(S311:AE311,ISNUMBER(S311:AE311))))</f>
        <v>3.3387981245751694</v>
      </c>
    </row>
    <row r="312" spans="3:33" x14ac:dyDescent="0.2">
      <c r="C312" s="60" t="s">
        <v>447</v>
      </c>
      <c r="D312" s="60">
        <v>0</v>
      </c>
      <c r="E312" s="60">
        <v>-1</v>
      </c>
      <c r="F312" s="60">
        <v>-13</v>
      </c>
      <c r="G312" s="60">
        <v>-8</v>
      </c>
      <c r="H312" s="60">
        <v>-6</v>
      </c>
      <c r="I312" s="60">
        <v>-4</v>
      </c>
      <c r="J312" s="60">
        <v>-5</v>
      </c>
      <c r="K312" s="60">
        <v>-10</v>
      </c>
      <c r="L312" s="60">
        <v>-8</v>
      </c>
      <c r="M312" s="60">
        <v>-3</v>
      </c>
      <c r="N312" s="60">
        <v>-1</v>
      </c>
      <c r="O312" s="60">
        <v>-2</v>
      </c>
      <c r="P312" s="60">
        <v>0</v>
      </c>
      <c r="S312" s="60" t="e">
        <f t="shared" ca="1" si="65"/>
        <v>#REF!</v>
      </c>
      <c r="T312" s="60">
        <f t="shared" si="66"/>
        <v>1</v>
      </c>
      <c r="U312" s="60">
        <f t="shared" si="67"/>
        <v>13</v>
      </c>
      <c r="V312" s="60">
        <f t="shared" si="68"/>
        <v>8</v>
      </c>
      <c r="W312" s="60">
        <f t="shared" si="69"/>
        <v>6</v>
      </c>
      <c r="X312" s="60">
        <f t="shared" si="70"/>
        <v>4</v>
      </c>
      <c r="Y312" s="60">
        <f t="shared" si="71"/>
        <v>5</v>
      </c>
      <c r="Z312" s="60">
        <f t="shared" si="72"/>
        <v>10</v>
      </c>
      <c r="AA312" s="60">
        <f t="shared" si="77"/>
        <v>8</v>
      </c>
      <c r="AB312" s="60">
        <f t="shared" si="73"/>
        <v>3</v>
      </c>
      <c r="AC312" s="60">
        <f t="shared" si="74"/>
        <v>1</v>
      </c>
      <c r="AD312" s="60">
        <f t="shared" si="75"/>
        <v>2</v>
      </c>
      <c r="AE312" s="60">
        <f t="shared" si="76"/>
        <v>0</v>
      </c>
      <c r="AG312" s="60" cm="1">
        <f t="array" aca="1" ref="AG312" ca="1">SQRT(SUMSQ(_xlfn._xlws.FILTER(S312:AE312,ISNUMBER(S312:AE312)))/COUNT(_xlfn._xlws.FILTER(S312:AE312,ISNUMBER(S312:AE312))))</f>
        <v>6.383572667401852</v>
      </c>
    </row>
    <row r="313" spans="3:33" x14ac:dyDescent="0.2">
      <c r="C313" s="60" t="s">
        <v>448</v>
      </c>
      <c r="D313" s="60">
        <v>0</v>
      </c>
      <c r="E313" s="60">
        <v>2</v>
      </c>
      <c r="F313" s="60">
        <v>-1</v>
      </c>
      <c r="G313" s="60">
        <v>-11</v>
      </c>
      <c r="H313" s="60">
        <v>-5</v>
      </c>
      <c r="I313" s="60">
        <v>-8</v>
      </c>
      <c r="J313" s="60">
        <v>-1</v>
      </c>
      <c r="K313" s="60">
        <v>-3</v>
      </c>
      <c r="L313" s="60">
        <v>-7</v>
      </c>
      <c r="M313" s="60">
        <v>-5</v>
      </c>
      <c r="N313" s="60">
        <v>0</v>
      </c>
      <c r="O313" s="60">
        <v>2</v>
      </c>
      <c r="P313" s="60">
        <v>0</v>
      </c>
      <c r="S313" s="60" t="e">
        <f t="shared" ca="1" si="65"/>
        <v>#REF!</v>
      </c>
      <c r="T313" s="60">
        <f t="shared" si="66"/>
        <v>-2</v>
      </c>
      <c r="U313" s="60">
        <f t="shared" si="67"/>
        <v>1</v>
      </c>
      <c r="V313" s="60">
        <f t="shared" si="68"/>
        <v>11</v>
      </c>
      <c r="W313" s="60">
        <f t="shared" si="69"/>
        <v>5</v>
      </c>
      <c r="X313" s="60">
        <f t="shared" si="70"/>
        <v>8</v>
      </c>
      <c r="Y313" s="60">
        <f t="shared" si="71"/>
        <v>1</v>
      </c>
      <c r="Z313" s="60">
        <f t="shared" si="72"/>
        <v>3</v>
      </c>
      <c r="AA313" s="60">
        <f t="shared" si="77"/>
        <v>7</v>
      </c>
      <c r="AB313" s="60">
        <f t="shared" si="73"/>
        <v>5</v>
      </c>
      <c r="AC313" s="60">
        <f t="shared" si="74"/>
        <v>0</v>
      </c>
      <c r="AD313" s="60">
        <f t="shared" si="75"/>
        <v>-2</v>
      </c>
      <c r="AE313" s="60">
        <f t="shared" si="76"/>
        <v>0</v>
      </c>
      <c r="AG313" s="60" cm="1">
        <f t="array" aca="1" ref="AG313" ca="1">SQRT(SUMSQ(_xlfn._xlws.FILTER(S313:AE313,ISNUMBER(S313:AE313)))/COUNT(_xlfn._xlws.FILTER(S313:AE313,ISNUMBER(S313:AE313))))</f>
        <v>5.024937810560445</v>
      </c>
    </row>
    <row r="314" spans="3:33" x14ac:dyDescent="0.2">
      <c r="C314" s="60" t="s">
        <v>449</v>
      </c>
      <c r="D314" s="60">
        <v>0</v>
      </c>
      <c r="E314" s="60">
        <v>1.95</v>
      </c>
      <c r="F314" s="60">
        <v>-0.5</v>
      </c>
      <c r="G314" s="60">
        <v>-11.71</v>
      </c>
      <c r="H314" s="60">
        <v>-4.83</v>
      </c>
      <c r="I314" s="60">
        <v>-8.2100000000000009</v>
      </c>
      <c r="J314" s="60">
        <v>-0.97</v>
      </c>
      <c r="K314" s="60">
        <v>-3.12</v>
      </c>
      <c r="L314" s="60">
        <v>-7.38</v>
      </c>
      <c r="M314" s="60">
        <v>-5.43</v>
      </c>
      <c r="N314" s="60">
        <v>0.02</v>
      </c>
      <c r="O314" s="60">
        <v>1.98</v>
      </c>
      <c r="P314" s="60">
        <v>0</v>
      </c>
      <c r="S314" s="60" t="e">
        <f t="shared" ca="1" si="65"/>
        <v>#REF!</v>
      </c>
      <c r="T314" s="60">
        <f t="shared" si="66"/>
        <v>-1.95</v>
      </c>
      <c r="U314" s="60">
        <f t="shared" si="67"/>
        <v>0.5</v>
      </c>
      <c r="V314" s="60">
        <f t="shared" si="68"/>
        <v>11.71</v>
      </c>
      <c r="W314" s="60">
        <f t="shared" si="69"/>
        <v>4.83</v>
      </c>
      <c r="X314" s="60">
        <f t="shared" si="70"/>
        <v>8.2100000000000009</v>
      </c>
      <c r="Y314" s="60">
        <f t="shared" si="71"/>
        <v>0.97</v>
      </c>
      <c r="Z314" s="60">
        <f t="shared" si="72"/>
        <v>3.12</v>
      </c>
      <c r="AA314" s="60">
        <f t="shared" si="77"/>
        <v>7.38</v>
      </c>
      <c r="AB314" s="60">
        <f t="shared" si="73"/>
        <v>5.43</v>
      </c>
      <c r="AC314" s="60">
        <f t="shared" si="74"/>
        <v>-0.02</v>
      </c>
      <c r="AD314" s="60">
        <f t="shared" si="75"/>
        <v>-1.98</v>
      </c>
      <c r="AE314" s="60">
        <f t="shared" si="76"/>
        <v>0</v>
      </c>
      <c r="AG314" s="60" cm="1">
        <f t="array" aca="1" ref="AG314" ca="1">SQRT(SUMSQ(_xlfn._xlws.FILTER(S314:AE314,ISNUMBER(S314:AE314)))/COUNT(_xlfn._xlws.FILTER(S314:AE314,ISNUMBER(S314:AE314))))</f>
        <v>5.2476582078739344</v>
      </c>
    </row>
    <row r="315" spans="3:33" x14ac:dyDescent="0.2">
      <c r="C315" s="60" t="s">
        <v>450</v>
      </c>
      <c r="D315" s="60">
        <v>0</v>
      </c>
      <c r="E315" s="60">
        <v>-2</v>
      </c>
      <c r="F315" s="60">
        <v>-13</v>
      </c>
      <c r="G315" s="60">
        <v>-7</v>
      </c>
      <c r="H315" s="60">
        <v>-5</v>
      </c>
      <c r="I315" s="60">
        <v>-3</v>
      </c>
      <c r="J315" s="60">
        <v>-5</v>
      </c>
      <c r="K315" s="60">
        <v>-3</v>
      </c>
      <c r="L315" s="60">
        <v>-7</v>
      </c>
      <c r="M315" s="60">
        <v>-2</v>
      </c>
      <c r="N315" s="60">
        <v>0</v>
      </c>
      <c r="O315" s="60">
        <v>-2</v>
      </c>
      <c r="P315" s="60">
        <v>0</v>
      </c>
      <c r="S315" s="60" t="e">
        <f t="shared" ca="1" si="65"/>
        <v>#REF!</v>
      </c>
      <c r="T315" s="60">
        <f t="shared" si="66"/>
        <v>2</v>
      </c>
      <c r="U315" s="60">
        <f t="shared" si="67"/>
        <v>13</v>
      </c>
      <c r="V315" s="60">
        <f t="shared" si="68"/>
        <v>7</v>
      </c>
      <c r="W315" s="60">
        <f t="shared" si="69"/>
        <v>5</v>
      </c>
      <c r="X315" s="60">
        <f t="shared" si="70"/>
        <v>3</v>
      </c>
      <c r="Y315" s="60">
        <f t="shared" si="71"/>
        <v>5</v>
      </c>
      <c r="Z315" s="60">
        <f t="shared" si="72"/>
        <v>3</v>
      </c>
      <c r="AA315" s="60">
        <f t="shared" si="77"/>
        <v>7</v>
      </c>
      <c r="AB315" s="60">
        <f t="shared" si="73"/>
        <v>2</v>
      </c>
      <c r="AC315" s="60">
        <f t="shared" si="74"/>
        <v>0</v>
      </c>
      <c r="AD315" s="60">
        <f t="shared" si="75"/>
        <v>2</v>
      </c>
      <c r="AE315" s="60">
        <f t="shared" si="76"/>
        <v>0</v>
      </c>
      <c r="AG315" s="60" cm="1">
        <f t="array" aca="1" ref="AG315" ca="1">SQRT(SUMSQ(_xlfn._xlws.FILTER(S315:AE315,ISNUMBER(S315:AE315)))/COUNT(_xlfn._xlws.FILTER(S315:AE315,ISNUMBER(S315:AE315))))</f>
        <v>5.3774219349672263</v>
      </c>
    </row>
    <row r="316" spans="3:33" x14ac:dyDescent="0.2">
      <c r="C316" s="60" t="s">
        <v>451</v>
      </c>
      <c r="D316" s="60">
        <v>0</v>
      </c>
      <c r="E316" s="60">
        <v>-2.46</v>
      </c>
      <c r="F316" s="60">
        <v>-13.67</v>
      </c>
      <c r="G316" s="60">
        <v>-6.79</v>
      </c>
      <c r="H316" s="60">
        <v>-4.83</v>
      </c>
      <c r="I316" s="60">
        <v>-2.88</v>
      </c>
      <c r="J316" s="60">
        <v>-5.08</v>
      </c>
      <c r="K316" s="60">
        <v>-3.34</v>
      </c>
      <c r="L316" s="60">
        <v>-7.38</v>
      </c>
      <c r="M316" s="60">
        <v>-1.93</v>
      </c>
      <c r="N316" s="60">
        <v>0.02</v>
      </c>
      <c r="O316" s="60">
        <v>-1.96</v>
      </c>
      <c r="P316" s="60">
        <v>0</v>
      </c>
      <c r="S316" s="60" t="e">
        <f t="shared" ca="1" si="65"/>
        <v>#REF!</v>
      </c>
      <c r="T316" s="60">
        <f t="shared" si="66"/>
        <v>2.46</v>
      </c>
      <c r="U316" s="60">
        <f t="shared" si="67"/>
        <v>13.67</v>
      </c>
      <c r="V316" s="60">
        <f t="shared" si="68"/>
        <v>6.79</v>
      </c>
      <c r="W316" s="60">
        <f t="shared" si="69"/>
        <v>4.83</v>
      </c>
      <c r="X316" s="60">
        <f t="shared" si="70"/>
        <v>2.88</v>
      </c>
      <c r="Y316" s="60">
        <f t="shared" si="71"/>
        <v>5.08</v>
      </c>
      <c r="Z316" s="60">
        <f t="shared" si="72"/>
        <v>3.34</v>
      </c>
      <c r="AA316" s="60">
        <f t="shared" si="77"/>
        <v>7.38</v>
      </c>
      <c r="AB316" s="60">
        <f t="shared" si="73"/>
        <v>1.93</v>
      </c>
      <c r="AC316" s="60">
        <f t="shared" si="74"/>
        <v>-0.02</v>
      </c>
      <c r="AD316" s="60">
        <f t="shared" si="75"/>
        <v>1.96</v>
      </c>
      <c r="AE316" s="60">
        <f t="shared" si="76"/>
        <v>0</v>
      </c>
      <c r="AG316" s="60" cm="1">
        <f t="array" aca="1" ref="AG316" ca="1">SQRT(SUMSQ(_xlfn._xlws.FILTER(S316:AE316,ISNUMBER(S316:AE316)))/COUNT(_xlfn._xlws.FILTER(S316:AE316,ISNUMBER(S316:AE316))))</f>
        <v>5.5500840834471452</v>
      </c>
    </row>
    <row r="317" spans="3:33" x14ac:dyDescent="0.2">
      <c r="C317" s="60" t="s">
        <v>452</v>
      </c>
      <c r="D317" s="60">
        <v>0</v>
      </c>
      <c r="E317" s="60">
        <v>-2</v>
      </c>
      <c r="F317" s="60">
        <v>-4</v>
      </c>
      <c r="G317" s="60">
        <v>-6</v>
      </c>
      <c r="H317" s="60">
        <v>-6</v>
      </c>
      <c r="I317" s="60">
        <v>-8</v>
      </c>
      <c r="J317" s="60">
        <v>-10</v>
      </c>
      <c r="K317" s="60">
        <v>-8</v>
      </c>
      <c r="L317" s="60">
        <v>-6</v>
      </c>
      <c r="M317" s="60">
        <v>-4</v>
      </c>
      <c r="N317" s="60">
        <v>-2</v>
      </c>
      <c r="O317" s="60">
        <v>0</v>
      </c>
      <c r="P317" s="60">
        <v>0</v>
      </c>
      <c r="S317" s="60" t="e">
        <f t="shared" ca="1" si="65"/>
        <v>#REF!</v>
      </c>
      <c r="T317" s="60">
        <f t="shared" si="66"/>
        <v>2</v>
      </c>
      <c r="U317" s="60">
        <f t="shared" si="67"/>
        <v>4</v>
      </c>
      <c r="V317" s="60">
        <f t="shared" si="68"/>
        <v>6</v>
      </c>
      <c r="W317" s="60">
        <f t="shared" si="69"/>
        <v>6</v>
      </c>
      <c r="X317" s="60">
        <f t="shared" si="70"/>
        <v>8</v>
      </c>
      <c r="Y317" s="60">
        <f t="shared" si="71"/>
        <v>10</v>
      </c>
      <c r="Z317" s="60">
        <f t="shared" si="72"/>
        <v>8</v>
      </c>
      <c r="AA317" s="60">
        <f t="shared" si="77"/>
        <v>6</v>
      </c>
      <c r="AB317" s="60">
        <f t="shared" si="73"/>
        <v>4</v>
      </c>
      <c r="AC317" s="60">
        <f t="shared" si="74"/>
        <v>2</v>
      </c>
      <c r="AD317" s="60">
        <f t="shared" si="75"/>
        <v>0</v>
      </c>
      <c r="AE317" s="60">
        <f t="shared" si="76"/>
        <v>0</v>
      </c>
      <c r="AG317" s="60" cm="1">
        <f t="array" aca="1" ref="AG317" ca="1">SQRT(SUMSQ(_xlfn._xlws.FILTER(S317:AE317,ISNUMBER(S317:AE317)))/COUNT(_xlfn._xlws.FILTER(S317:AE317,ISNUMBER(S317:AE317))))</f>
        <v>5.5976185412488881</v>
      </c>
    </row>
    <row r="318" spans="3:33" x14ac:dyDescent="0.2">
      <c r="C318" s="60" t="s">
        <v>453</v>
      </c>
      <c r="D318" s="60">
        <v>0</v>
      </c>
      <c r="E318" s="60">
        <v>-1.9550000000000001</v>
      </c>
      <c r="F318" s="60">
        <v>-3.91</v>
      </c>
      <c r="G318" s="60">
        <v>-5.8650000000000002</v>
      </c>
      <c r="H318" s="60">
        <v>-5.8650000000000002</v>
      </c>
      <c r="I318" s="60">
        <v>-7.82</v>
      </c>
      <c r="J318" s="60">
        <v>-9.7750000000000004</v>
      </c>
      <c r="K318" s="60">
        <v>-7.82</v>
      </c>
      <c r="L318" s="60">
        <v>-5.8650000000000002</v>
      </c>
      <c r="M318" s="60">
        <v>-3.91</v>
      </c>
      <c r="N318" s="60">
        <v>-1.9550000000000001</v>
      </c>
      <c r="O318" s="60">
        <v>0</v>
      </c>
      <c r="P318" s="60">
        <v>0</v>
      </c>
      <c r="S318" s="60" t="e">
        <f t="shared" ca="1" si="65"/>
        <v>#REF!</v>
      </c>
      <c r="T318" s="60">
        <f t="shared" si="66"/>
        <v>1.9550000000000001</v>
      </c>
      <c r="U318" s="60">
        <f t="shared" si="67"/>
        <v>3.91</v>
      </c>
      <c r="V318" s="60">
        <f t="shared" si="68"/>
        <v>5.8650000000000002</v>
      </c>
      <c r="W318" s="60">
        <f t="shared" si="69"/>
        <v>5.8650000000000002</v>
      </c>
      <c r="X318" s="60">
        <f t="shared" si="70"/>
        <v>7.82</v>
      </c>
      <c r="Y318" s="60">
        <f t="shared" si="71"/>
        <v>9.7750000000000004</v>
      </c>
      <c r="Z318" s="60">
        <f t="shared" si="72"/>
        <v>7.82</v>
      </c>
      <c r="AA318" s="60">
        <f t="shared" si="77"/>
        <v>5.8650000000000002</v>
      </c>
      <c r="AB318" s="60">
        <f t="shared" si="73"/>
        <v>3.91</v>
      </c>
      <c r="AC318" s="60">
        <f t="shared" si="74"/>
        <v>1.9550000000000001</v>
      </c>
      <c r="AD318" s="60">
        <f t="shared" si="75"/>
        <v>0</v>
      </c>
      <c r="AE318" s="60">
        <f t="shared" si="76"/>
        <v>0</v>
      </c>
      <c r="AG318" s="60" cm="1">
        <f t="array" aca="1" ref="AG318" ca="1">SQRT(SUMSQ(_xlfn._xlws.FILTER(S318:AE318,ISNUMBER(S318:AE318)))/COUNT(_xlfn._xlws.FILTER(S318:AE318,ISNUMBER(S318:AE318))))</f>
        <v>5.4716721240707882</v>
      </c>
    </row>
    <row r="319" spans="3:33" x14ac:dyDescent="0.2">
      <c r="C319" s="60" t="s">
        <v>454</v>
      </c>
      <c r="D319" s="60">
        <v>0</v>
      </c>
      <c r="E319" s="60">
        <v>-2</v>
      </c>
      <c r="F319" s="60">
        <v>-4</v>
      </c>
      <c r="G319" s="60">
        <v>-6</v>
      </c>
      <c r="H319" s="60">
        <v>-8</v>
      </c>
      <c r="I319" s="60">
        <v>-6</v>
      </c>
      <c r="J319" s="60">
        <v>-4</v>
      </c>
      <c r="K319" s="60">
        <v>-2</v>
      </c>
      <c r="L319" s="60">
        <v>-2</v>
      </c>
      <c r="M319" s="60">
        <v>-1</v>
      </c>
      <c r="N319" s="60">
        <v>0</v>
      </c>
      <c r="O319" s="60">
        <v>2</v>
      </c>
      <c r="P319" s="60">
        <v>0</v>
      </c>
      <c r="S319" s="60" t="e">
        <f t="shared" ca="1" si="65"/>
        <v>#REF!</v>
      </c>
      <c r="T319" s="60">
        <f t="shared" si="66"/>
        <v>2</v>
      </c>
      <c r="U319" s="60">
        <f t="shared" si="67"/>
        <v>4</v>
      </c>
      <c r="V319" s="60">
        <f t="shared" si="68"/>
        <v>6</v>
      </c>
      <c r="W319" s="60">
        <f t="shared" si="69"/>
        <v>8</v>
      </c>
      <c r="X319" s="60">
        <f t="shared" si="70"/>
        <v>6</v>
      </c>
      <c r="Y319" s="60">
        <f t="shared" si="71"/>
        <v>4</v>
      </c>
      <c r="Z319" s="60">
        <f t="shared" si="72"/>
        <v>2</v>
      </c>
      <c r="AA319" s="60">
        <f t="shared" si="77"/>
        <v>2</v>
      </c>
      <c r="AB319" s="60">
        <f t="shared" si="73"/>
        <v>1</v>
      </c>
      <c r="AC319" s="60">
        <f t="shared" si="74"/>
        <v>0</v>
      </c>
      <c r="AD319" s="60">
        <f t="shared" si="75"/>
        <v>-2</v>
      </c>
      <c r="AE319" s="60">
        <f t="shared" si="76"/>
        <v>0</v>
      </c>
      <c r="AG319" s="60" cm="1">
        <f t="array" aca="1" ref="AG319" ca="1">SQRT(SUMSQ(_xlfn._xlws.FILTER(S319:AE319,ISNUMBER(S319:AE319)))/COUNT(_xlfn._xlws.FILTER(S319:AE319,ISNUMBER(S319:AE319))))</f>
        <v>3.9264063297965821</v>
      </c>
    </row>
    <row r="320" spans="3:33" x14ac:dyDescent="0.2">
      <c r="C320" s="60" t="s">
        <v>455</v>
      </c>
      <c r="D320" s="60">
        <v>0</v>
      </c>
      <c r="E320" s="60">
        <v>-2</v>
      </c>
      <c r="F320" s="60">
        <v>-4</v>
      </c>
      <c r="G320" s="60">
        <v>-6</v>
      </c>
      <c r="H320" s="60">
        <v>-8</v>
      </c>
      <c r="I320" s="60">
        <v>-10</v>
      </c>
      <c r="J320" s="60">
        <v>-8</v>
      </c>
      <c r="K320" s="60">
        <v>-6</v>
      </c>
      <c r="L320" s="60">
        <v>-4</v>
      </c>
      <c r="M320" s="60">
        <v>-4</v>
      </c>
      <c r="N320" s="60">
        <v>-3</v>
      </c>
      <c r="O320" s="60">
        <v>-2</v>
      </c>
      <c r="P320" s="60">
        <v>0</v>
      </c>
      <c r="S320" s="60" t="e">
        <f t="shared" ca="1" si="65"/>
        <v>#REF!</v>
      </c>
      <c r="T320" s="60">
        <f t="shared" si="66"/>
        <v>2</v>
      </c>
      <c r="U320" s="60">
        <f t="shared" si="67"/>
        <v>4</v>
      </c>
      <c r="V320" s="60">
        <f t="shared" si="68"/>
        <v>6</v>
      </c>
      <c r="W320" s="60">
        <f t="shared" si="69"/>
        <v>8</v>
      </c>
      <c r="X320" s="60">
        <f t="shared" si="70"/>
        <v>10</v>
      </c>
      <c r="Y320" s="60">
        <f t="shared" si="71"/>
        <v>8</v>
      </c>
      <c r="Z320" s="60">
        <f t="shared" si="72"/>
        <v>6</v>
      </c>
      <c r="AA320" s="60">
        <f t="shared" si="77"/>
        <v>4</v>
      </c>
      <c r="AB320" s="60">
        <f t="shared" si="73"/>
        <v>4</v>
      </c>
      <c r="AC320" s="60">
        <f t="shared" si="74"/>
        <v>3</v>
      </c>
      <c r="AD320" s="60">
        <f t="shared" si="75"/>
        <v>2</v>
      </c>
      <c r="AE320" s="60">
        <f t="shared" si="76"/>
        <v>0</v>
      </c>
      <c r="AG320" s="60" cm="1">
        <f t="array" aca="1" ref="AG320" ca="1">SQRT(SUMSQ(_xlfn._xlws.FILTER(S320:AE320,ISNUMBER(S320:AE320)))/COUNT(_xlfn._xlws.FILTER(S320:AE320,ISNUMBER(S320:AE320))))</f>
        <v>5.5151307025914322</v>
      </c>
    </row>
    <row r="321" spans="3:33" x14ac:dyDescent="0.2">
      <c r="C321" s="60" t="s">
        <v>456</v>
      </c>
      <c r="D321" s="60">
        <v>0</v>
      </c>
      <c r="E321" s="60">
        <v>-2</v>
      </c>
      <c r="F321" s="60">
        <v>-4</v>
      </c>
      <c r="G321" s="60">
        <v>-6</v>
      </c>
      <c r="H321" s="60">
        <v>-8</v>
      </c>
      <c r="I321" s="60">
        <v>-6</v>
      </c>
      <c r="J321" s="60">
        <v>-8</v>
      </c>
      <c r="K321" s="60">
        <v>-6</v>
      </c>
      <c r="L321" s="60">
        <v>-4</v>
      </c>
      <c r="M321" s="60">
        <v>-2</v>
      </c>
      <c r="N321" s="60">
        <v>0</v>
      </c>
      <c r="O321" s="60">
        <v>2</v>
      </c>
      <c r="P321" s="60">
        <v>0</v>
      </c>
      <c r="S321" s="60" t="e">
        <f t="shared" ca="1" si="65"/>
        <v>#REF!</v>
      </c>
      <c r="T321" s="60">
        <f t="shared" si="66"/>
        <v>2</v>
      </c>
      <c r="U321" s="60">
        <f t="shared" si="67"/>
        <v>4</v>
      </c>
      <c r="V321" s="60">
        <f t="shared" si="68"/>
        <v>6</v>
      </c>
      <c r="W321" s="60">
        <f t="shared" si="69"/>
        <v>8</v>
      </c>
      <c r="X321" s="60">
        <f t="shared" si="70"/>
        <v>6</v>
      </c>
      <c r="Y321" s="60">
        <f t="shared" si="71"/>
        <v>8</v>
      </c>
      <c r="Z321" s="60">
        <f t="shared" si="72"/>
        <v>6</v>
      </c>
      <c r="AA321" s="60">
        <f t="shared" si="77"/>
        <v>4</v>
      </c>
      <c r="AB321" s="60">
        <f t="shared" si="73"/>
        <v>2</v>
      </c>
      <c r="AC321" s="60">
        <f t="shared" si="74"/>
        <v>0</v>
      </c>
      <c r="AD321" s="60">
        <f t="shared" si="75"/>
        <v>-2</v>
      </c>
      <c r="AE321" s="60">
        <f t="shared" si="76"/>
        <v>0</v>
      </c>
      <c r="AG321" s="60" cm="1">
        <f t="array" aca="1" ref="AG321" ca="1">SQRT(SUMSQ(_xlfn._xlws.FILTER(S321:AE321,ISNUMBER(S321:AE321)))/COUNT(_xlfn._xlws.FILTER(S321:AE321,ISNUMBER(S321:AE321))))</f>
        <v>4.8304589153964796</v>
      </c>
    </row>
    <row r="322" spans="3:33" x14ac:dyDescent="0.2">
      <c r="C322" s="60" t="s">
        <v>457</v>
      </c>
      <c r="D322" s="60">
        <v>0</v>
      </c>
      <c r="E322" s="60">
        <v>-1</v>
      </c>
      <c r="F322" s="60">
        <v>-2</v>
      </c>
      <c r="G322" s="60">
        <v>-3</v>
      </c>
      <c r="H322" s="60">
        <v>-4</v>
      </c>
      <c r="I322" s="60">
        <v>-5</v>
      </c>
      <c r="J322" s="60">
        <v>-6</v>
      </c>
      <c r="K322" s="60">
        <v>-4</v>
      </c>
      <c r="L322" s="60">
        <v>-2</v>
      </c>
      <c r="M322" s="60">
        <v>-3</v>
      </c>
      <c r="N322" s="60">
        <v>-1</v>
      </c>
      <c r="O322" s="60">
        <v>1</v>
      </c>
      <c r="P322" s="60">
        <v>0</v>
      </c>
      <c r="S322" s="60" t="e">
        <f t="shared" ca="1" si="65"/>
        <v>#REF!</v>
      </c>
      <c r="T322" s="60">
        <f t="shared" si="66"/>
        <v>1</v>
      </c>
      <c r="U322" s="60">
        <f t="shared" si="67"/>
        <v>2</v>
      </c>
      <c r="V322" s="60">
        <f t="shared" si="68"/>
        <v>3</v>
      </c>
      <c r="W322" s="60">
        <f t="shared" si="69"/>
        <v>4</v>
      </c>
      <c r="X322" s="60">
        <f t="shared" si="70"/>
        <v>5</v>
      </c>
      <c r="Y322" s="60">
        <f t="shared" si="71"/>
        <v>6</v>
      </c>
      <c r="Z322" s="60">
        <f t="shared" si="72"/>
        <v>4</v>
      </c>
      <c r="AA322" s="60">
        <f t="shared" si="77"/>
        <v>2</v>
      </c>
      <c r="AB322" s="60">
        <f t="shared" si="73"/>
        <v>3</v>
      </c>
      <c r="AC322" s="60">
        <f t="shared" si="74"/>
        <v>1</v>
      </c>
      <c r="AD322" s="60">
        <f t="shared" si="75"/>
        <v>-1</v>
      </c>
      <c r="AE322" s="60">
        <f t="shared" si="76"/>
        <v>0</v>
      </c>
      <c r="AG322" s="60" cm="1">
        <f t="array" aca="1" ref="AG322" ca="1">SQRT(SUMSQ(_xlfn._xlws.FILTER(S322:AE322,ISNUMBER(S322:AE322)))/COUNT(_xlfn._xlws.FILTER(S322:AE322,ISNUMBER(S322:AE322))))</f>
        <v>3.1885210782848317</v>
      </c>
    </row>
    <row r="323" spans="3:33" x14ac:dyDescent="0.2">
      <c r="C323" s="60" t="s">
        <v>458</v>
      </c>
      <c r="D323" s="60">
        <v>0</v>
      </c>
      <c r="E323" s="60">
        <v>-2</v>
      </c>
      <c r="F323" s="60">
        <v>-5</v>
      </c>
      <c r="G323" s="60">
        <v>-7</v>
      </c>
      <c r="H323" s="60">
        <v>-10</v>
      </c>
      <c r="I323" s="60">
        <v>-8</v>
      </c>
      <c r="J323" s="60">
        <v>-10</v>
      </c>
      <c r="K323" s="60">
        <v>-8</v>
      </c>
      <c r="L323" s="60">
        <v>-6</v>
      </c>
      <c r="M323" s="60">
        <v>-4</v>
      </c>
      <c r="N323" s="60">
        <v>-4</v>
      </c>
      <c r="O323" s="60">
        <v>-2</v>
      </c>
      <c r="P323" s="60">
        <v>0</v>
      </c>
      <c r="S323" s="60" t="e">
        <f t="shared" ca="1" si="65"/>
        <v>#REF!</v>
      </c>
      <c r="T323" s="60">
        <f t="shared" si="66"/>
        <v>2</v>
      </c>
      <c r="U323" s="60">
        <f t="shared" si="67"/>
        <v>5</v>
      </c>
      <c r="V323" s="60">
        <f t="shared" si="68"/>
        <v>7</v>
      </c>
      <c r="W323" s="60">
        <f t="shared" si="69"/>
        <v>10</v>
      </c>
      <c r="X323" s="60">
        <f t="shared" si="70"/>
        <v>8</v>
      </c>
      <c r="Y323" s="60">
        <f t="shared" si="71"/>
        <v>10</v>
      </c>
      <c r="Z323" s="60">
        <f t="shared" si="72"/>
        <v>8</v>
      </c>
      <c r="AA323" s="60">
        <f t="shared" si="77"/>
        <v>6</v>
      </c>
      <c r="AB323" s="60">
        <f t="shared" si="73"/>
        <v>4</v>
      </c>
      <c r="AC323" s="60">
        <f t="shared" si="74"/>
        <v>4</v>
      </c>
      <c r="AD323" s="60">
        <f t="shared" si="75"/>
        <v>2</v>
      </c>
      <c r="AE323" s="60">
        <f t="shared" si="76"/>
        <v>0</v>
      </c>
      <c r="AG323" s="60" cm="1">
        <f t="array" aca="1" ref="AG323" ca="1">SQRT(SUMSQ(_xlfn._xlws.FILTER(S323:AE323,ISNUMBER(S323:AE323)))/COUNT(_xlfn._xlws.FILTER(S323:AE323,ISNUMBER(S323:AE323))))</f>
        <v>6.3113654095871627</v>
      </c>
    </row>
    <row r="324" spans="3:33" x14ac:dyDescent="0.2">
      <c r="C324" s="60" t="s">
        <v>459</v>
      </c>
      <c r="D324" s="60">
        <v>0</v>
      </c>
      <c r="E324" s="60">
        <v>-2</v>
      </c>
      <c r="F324" s="60">
        <v>-4</v>
      </c>
      <c r="G324" s="60">
        <v>-6</v>
      </c>
      <c r="H324" s="60">
        <v>-4</v>
      </c>
      <c r="I324" s="60">
        <v>-6</v>
      </c>
      <c r="J324" s="60">
        <v>-4</v>
      </c>
      <c r="K324" s="60">
        <v>-4</v>
      </c>
      <c r="L324" s="60">
        <v>-4</v>
      </c>
      <c r="M324" s="60">
        <v>-4</v>
      </c>
      <c r="N324" s="60">
        <v>-4</v>
      </c>
      <c r="O324" s="60">
        <v>-2</v>
      </c>
      <c r="P324" s="60">
        <v>0</v>
      </c>
      <c r="S324" s="60" t="e">
        <f t="shared" ca="1" si="65"/>
        <v>#REF!</v>
      </c>
      <c r="T324" s="60">
        <f t="shared" si="66"/>
        <v>2</v>
      </c>
      <c r="U324" s="60">
        <f t="shared" si="67"/>
        <v>4</v>
      </c>
      <c r="V324" s="60">
        <f t="shared" si="68"/>
        <v>6</v>
      </c>
      <c r="W324" s="60">
        <f t="shared" si="69"/>
        <v>4</v>
      </c>
      <c r="X324" s="60">
        <f t="shared" si="70"/>
        <v>6</v>
      </c>
      <c r="Y324" s="60">
        <f t="shared" si="71"/>
        <v>4</v>
      </c>
      <c r="Z324" s="60">
        <f t="shared" si="72"/>
        <v>4</v>
      </c>
      <c r="AA324" s="60">
        <f t="shared" si="77"/>
        <v>4</v>
      </c>
      <c r="AB324" s="60">
        <f t="shared" si="73"/>
        <v>4</v>
      </c>
      <c r="AC324" s="60">
        <f t="shared" si="74"/>
        <v>4</v>
      </c>
      <c r="AD324" s="60">
        <f t="shared" si="75"/>
        <v>2</v>
      </c>
      <c r="AE324" s="60">
        <f t="shared" si="76"/>
        <v>0</v>
      </c>
      <c r="AG324" s="60" cm="1">
        <f t="array" aca="1" ref="AG324" ca="1">SQRT(SUMSQ(_xlfn._xlws.FILTER(S324:AE324,ISNUMBER(S324:AE324)))/COUNT(_xlfn._xlws.FILTER(S324:AE324,ISNUMBER(S324:AE324))))</f>
        <v>4</v>
      </c>
    </row>
    <row r="325" spans="3:33" x14ac:dyDescent="0.2">
      <c r="C325" s="60" t="s">
        <v>460</v>
      </c>
      <c r="D325" s="60">
        <v>0</v>
      </c>
      <c r="E325" s="60">
        <v>-2</v>
      </c>
      <c r="F325" s="60">
        <v>-4</v>
      </c>
      <c r="G325" s="60">
        <v>-6</v>
      </c>
      <c r="H325" s="60">
        <v>-4</v>
      </c>
      <c r="I325" s="60">
        <v>-6</v>
      </c>
      <c r="J325" s="60">
        <v>-6</v>
      </c>
      <c r="K325" s="60">
        <v>-6</v>
      </c>
      <c r="L325" s="60">
        <v>-4</v>
      </c>
      <c r="M325" s="60">
        <v>-2</v>
      </c>
      <c r="N325" s="60">
        <v>-2</v>
      </c>
      <c r="O325" s="60">
        <v>-2</v>
      </c>
      <c r="P325" s="60">
        <v>0</v>
      </c>
      <c r="S325" s="60" t="e">
        <f t="shared" ref="S325:S336" ca="1" si="78">S$4-D325</f>
        <v>#REF!</v>
      </c>
      <c r="T325" s="60">
        <f t="shared" ref="T325:T336" si="79">T$4-E325</f>
        <v>2</v>
      </c>
      <c r="U325" s="60">
        <f t="shared" ref="U325:U336" si="80">U$4-F325</f>
        <v>4</v>
      </c>
      <c r="V325" s="60">
        <f t="shared" ref="V325:V336" si="81">V$4-G325</f>
        <v>6</v>
      </c>
      <c r="W325" s="60">
        <f t="shared" ref="W325:W336" si="82">W$4-H325</f>
        <v>4</v>
      </c>
      <c r="X325" s="60">
        <f t="shared" ref="X325:X336" si="83">X$4-I325</f>
        <v>6</v>
      </c>
      <c r="Y325" s="60">
        <f t="shared" ref="Y325:Y336" si="84">Y$4-J325</f>
        <v>6</v>
      </c>
      <c r="Z325" s="60">
        <f t="shared" ref="Z325:Z336" si="85">Z$4-K325</f>
        <v>6</v>
      </c>
      <c r="AA325" s="60">
        <f t="shared" si="77"/>
        <v>4</v>
      </c>
      <c r="AB325" s="60">
        <f t="shared" ref="AB325:AB336" si="86">AB$4-M325</f>
        <v>2</v>
      </c>
      <c r="AC325" s="60">
        <f t="shared" ref="AC325:AC336" si="87">AC$4-N325</f>
        <v>2</v>
      </c>
      <c r="AD325" s="60">
        <f t="shared" ref="AD325:AD336" si="88">AD$4-O325</f>
        <v>2</v>
      </c>
      <c r="AE325" s="60">
        <f t="shared" ref="AE325:AE336" si="89">AE$4-P325</f>
        <v>0</v>
      </c>
      <c r="AG325" s="60" cm="1">
        <f t="array" aca="1" ref="AG325" ca="1">SQRT(SUMSQ(_xlfn._xlws.FILTER(S325:AE325,ISNUMBER(S325:AE325)))/COUNT(_xlfn._xlws.FILTER(S325:AE325,ISNUMBER(S325:AE325))))</f>
        <v>4.1633319989322652</v>
      </c>
    </row>
    <row r="326" spans="3:33" x14ac:dyDescent="0.2">
      <c r="C326" s="60" t="s">
        <v>461</v>
      </c>
      <c r="D326" s="60">
        <v>0</v>
      </c>
      <c r="E326" s="60">
        <v>0</v>
      </c>
      <c r="F326" s="60">
        <v>-5</v>
      </c>
      <c r="G326" s="60">
        <v>-9</v>
      </c>
      <c r="H326" s="60">
        <v>-14</v>
      </c>
      <c r="I326" s="60">
        <v>-14</v>
      </c>
      <c r="J326" s="60">
        <v>-12</v>
      </c>
      <c r="K326" s="60">
        <v>-10</v>
      </c>
      <c r="L326" s="60">
        <v>-8</v>
      </c>
      <c r="M326" s="60">
        <v>-6</v>
      </c>
      <c r="N326" s="60">
        <v>-4</v>
      </c>
      <c r="O326" s="60">
        <v>-2</v>
      </c>
      <c r="P326" s="60">
        <v>0</v>
      </c>
      <c r="S326" s="60" t="e">
        <f t="shared" ca="1" si="78"/>
        <v>#REF!</v>
      </c>
      <c r="T326" s="60">
        <f t="shared" si="79"/>
        <v>0</v>
      </c>
      <c r="U326" s="60">
        <f t="shared" si="80"/>
        <v>5</v>
      </c>
      <c r="V326" s="60">
        <f t="shared" si="81"/>
        <v>9</v>
      </c>
      <c r="W326" s="60">
        <f t="shared" si="82"/>
        <v>14</v>
      </c>
      <c r="X326" s="60">
        <f t="shared" si="83"/>
        <v>14</v>
      </c>
      <c r="Y326" s="60">
        <f t="shared" si="84"/>
        <v>12</v>
      </c>
      <c r="Z326" s="60">
        <f t="shared" si="85"/>
        <v>10</v>
      </c>
      <c r="AA326" s="60">
        <f t="shared" ref="AA326:AA336" si="90">AA$4-L326</f>
        <v>8</v>
      </c>
      <c r="AB326" s="60">
        <f t="shared" si="86"/>
        <v>6</v>
      </c>
      <c r="AC326" s="60">
        <f t="shared" si="87"/>
        <v>4</v>
      </c>
      <c r="AD326" s="60">
        <f t="shared" si="88"/>
        <v>2</v>
      </c>
      <c r="AE326" s="60">
        <f t="shared" si="89"/>
        <v>0</v>
      </c>
      <c r="AG326" s="60" cm="1">
        <f t="array" aca="1" ref="AG326" ca="1">SQRT(SUMSQ(_xlfn._xlws.FILTER(S326:AE326,ISNUMBER(S326:AE326)))/COUNT(_xlfn._xlws.FILTER(S326:AE326,ISNUMBER(S326:AE326))))</f>
        <v>8.4754547567274123</v>
      </c>
    </row>
    <row r="327" spans="3:33" x14ac:dyDescent="0.2">
      <c r="C327" s="60" t="s">
        <v>462</v>
      </c>
      <c r="D327" s="60">
        <v>0</v>
      </c>
      <c r="E327" s="60">
        <v>0</v>
      </c>
      <c r="F327" s="60">
        <v>-4</v>
      </c>
      <c r="G327" s="60">
        <v>-8</v>
      </c>
      <c r="H327" s="60">
        <v>-12</v>
      </c>
      <c r="I327" s="60">
        <v>-14</v>
      </c>
      <c r="J327" s="60">
        <v>-12</v>
      </c>
      <c r="K327" s="60">
        <v>-10</v>
      </c>
      <c r="L327" s="60">
        <v>-8</v>
      </c>
      <c r="M327" s="60">
        <v>-6</v>
      </c>
      <c r="N327" s="60">
        <v>-4</v>
      </c>
      <c r="O327" s="60">
        <v>-2</v>
      </c>
      <c r="P327" s="60">
        <v>0</v>
      </c>
      <c r="S327" s="60" t="e">
        <f t="shared" ca="1" si="78"/>
        <v>#REF!</v>
      </c>
      <c r="T327" s="60">
        <f t="shared" si="79"/>
        <v>0</v>
      </c>
      <c r="U327" s="60">
        <f t="shared" si="80"/>
        <v>4</v>
      </c>
      <c r="V327" s="60">
        <f t="shared" si="81"/>
        <v>8</v>
      </c>
      <c r="W327" s="60">
        <f t="shared" si="82"/>
        <v>12</v>
      </c>
      <c r="X327" s="60">
        <f t="shared" si="83"/>
        <v>14</v>
      </c>
      <c r="Y327" s="60">
        <f t="shared" si="84"/>
        <v>12</v>
      </c>
      <c r="Z327" s="60">
        <f t="shared" si="85"/>
        <v>10</v>
      </c>
      <c r="AA327" s="60">
        <f t="shared" si="90"/>
        <v>8</v>
      </c>
      <c r="AB327" s="60">
        <f t="shared" si="86"/>
        <v>6</v>
      </c>
      <c r="AC327" s="60">
        <f t="shared" si="87"/>
        <v>4</v>
      </c>
      <c r="AD327" s="60">
        <f t="shared" si="88"/>
        <v>2</v>
      </c>
      <c r="AE327" s="60">
        <f t="shared" si="89"/>
        <v>0</v>
      </c>
      <c r="AG327" s="60" cm="1">
        <f t="array" aca="1" ref="AG327" ca="1">SQRT(SUMSQ(_xlfn._xlws.FILTER(S327:AE327,ISNUMBER(S327:AE327)))/COUNT(_xlfn._xlws.FILTER(S327:AE327,ISNUMBER(S327:AE327))))</f>
        <v>8.0829037686547611</v>
      </c>
    </row>
    <row r="328" spans="3:33" x14ac:dyDescent="0.2">
      <c r="C328" s="60" t="s">
        <v>463</v>
      </c>
      <c r="D328" s="60">
        <v>0</v>
      </c>
      <c r="E328" s="60">
        <v>0</v>
      </c>
      <c r="F328" s="60">
        <v>-5</v>
      </c>
      <c r="G328" s="60">
        <v>-10</v>
      </c>
      <c r="H328" s="60">
        <v>-14</v>
      </c>
      <c r="I328" s="60">
        <v>-14</v>
      </c>
      <c r="J328" s="60">
        <v>-12</v>
      </c>
      <c r="K328" s="60">
        <v>-10</v>
      </c>
      <c r="L328" s="60">
        <v>-8</v>
      </c>
      <c r="M328" s="60">
        <v>-6</v>
      </c>
      <c r="N328" s="60">
        <v>-4</v>
      </c>
      <c r="O328" s="60">
        <v>-2</v>
      </c>
      <c r="P328" s="60">
        <v>0</v>
      </c>
      <c r="S328" s="60" t="e">
        <f t="shared" ca="1" si="78"/>
        <v>#REF!</v>
      </c>
      <c r="T328" s="60">
        <f t="shared" si="79"/>
        <v>0</v>
      </c>
      <c r="U328" s="60">
        <f t="shared" si="80"/>
        <v>5</v>
      </c>
      <c r="V328" s="60">
        <f t="shared" si="81"/>
        <v>10</v>
      </c>
      <c r="W328" s="60">
        <f t="shared" si="82"/>
        <v>14</v>
      </c>
      <c r="X328" s="60">
        <f t="shared" si="83"/>
        <v>14</v>
      </c>
      <c r="Y328" s="60">
        <f t="shared" si="84"/>
        <v>12</v>
      </c>
      <c r="Z328" s="60">
        <f t="shared" si="85"/>
        <v>10</v>
      </c>
      <c r="AA328" s="60">
        <f t="shared" si="90"/>
        <v>8</v>
      </c>
      <c r="AB328" s="60">
        <f t="shared" si="86"/>
        <v>6</v>
      </c>
      <c r="AC328" s="60">
        <f t="shared" si="87"/>
        <v>4</v>
      </c>
      <c r="AD328" s="60">
        <f t="shared" si="88"/>
        <v>2</v>
      </c>
      <c r="AE328" s="60">
        <f t="shared" si="89"/>
        <v>0</v>
      </c>
      <c r="AG328" s="60" cm="1">
        <f t="array" aca="1" ref="AG328" ca="1">SQRT(SUMSQ(_xlfn._xlws.FILTER(S328:AE328,ISNUMBER(S328:AE328)))/COUNT(_xlfn._xlws.FILTER(S328:AE328,ISNUMBER(S328:AE328))))</f>
        <v>8.5683526226846354</v>
      </c>
    </row>
    <row r="329" spans="3:33" x14ac:dyDescent="0.2">
      <c r="C329" s="60" t="s">
        <v>464</v>
      </c>
      <c r="D329" s="60">
        <v>0</v>
      </c>
      <c r="E329" s="60">
        <v>-3</v>
      </c>
      <c r="F329" s="60">
        <v>-5</v>
      </c>
      <c r="G329" s="60">
        <v>-8</v>
      </c>
      <c r="H329" s="60">
        <v>-11</v>
      </c>
      <c r="I329" s="60">
        <v>-9</v>
      </c>
      <c r="J329" s="60">
        <v>-12</v>
      </c>
      <c r="K329" s="60">
        <v>-10</v>
      </c>
      <c r="L329" s="60">
        <v>-8</v>
      </c>
      <c r="M329" s="60">
        <v>-6</v>
      </c>
      <c r="N329" s="60">
        <v>-4</v>
      </c>
      <c r="O329" s="60">
        <v>-2</v>
      </c>
      <c r="P329" s="60">
        <v>0</v>
      </c>
      <c r="S329" s="60" t="e">
        <f t="shared" ca="1" si="78"/>
        <v>#REF!</v>
      </c>
      <c r="T329" s="60">
        <f t="shared" si="79"/>
        <v>3</v>
      </c>
      <c r="U329" s="60">
        <f t="shared" si="80"/>
        <v>5</v>
      </c>
      <c r="V329" s="60">
        <f t="shared" si="81"/>
        <v>8</v>
      </c>
      <c r="W329" s="60">
        <f t="shared" si="82"/>
        <v>11</v>
      </c>
      <c r="X329" s="60">
        <f t="shared" si="83"/>
        <v>9</v>
      </c>
      <c r="Y329" s="60">
        <f t="shared" si="84"/>
        <v>12</v>
      </c>
      <c r="Z329" s="60">
        <f t="shared" si="85"/>
        <v>10</v>
      </c>
      <c r="AA329" s="60">
        <f t="shared" si="90"/>
        <v>8</v>
      </c>
      <c r="AB329" s="60">
        <f t="shared" si="86"/>
        <v>6</v>
      </c>
      <c r="AC329" s="60">
        <f t="shared" si="87"/>
        <v>4</v>
      </c>
      <c r="AD329" s="60">
        <f t="shared" si="88"/>
        <v>2</v>
      </c>
      <c r="AE329" s="60">
        <f t="shared" si="89"/>
        <v>0</v>
      </c>
      <c r="AG329" s="60" cm="1">
        <f t="array" aca="1" ref="AG329" ca="1">SQRT(SUMSQ(_xlfn._xlws.FILTER(S329:AE329,ISNUMBER(S329:AE329)))/COUNT(_xlfn._xlws.FILTER(S329:AE329,ISNUMBER(S329:AE329))))</f>
        <v>7.4386378681404661</v>
      </c>
    </row>
    <row r="330" spans="3:33" x14ac:dyDescent="0.2">
      <c r="C330" s="60" t="s">
        <v>465</v>
      </c>
      <c r="D330" s="60">
        <v>0</v>
      </c>
      <c r="E330" s="60">
        <v>-2</v>
      </c>
      <c r="F330" s="60">
        <v>-4</v>
      </c>
      <c r="G330" s="60">
        <v>-6</v>
      </c>
      <c r="H330" s="60">
        <v>-8</v>
      </c>
      <c r="I330" s="60">
        <v>-6</v>
      </c>
      <c r="J330" s="60">
        <v>-4</v>
      </c>
      <c r="K330" s="60">
        <v>-2</v>
      </c>
      <c r="L330" s="60">
        <v>-2</v>
      </c>
      <c r="M330" s="60">
        <v>-2</v>
      </c>
      <c r="N330" s="60">
        <v>-2</v>
      </c>
      <c r="O330" s="60">
        <v>2</v>
      </c>
      <c r="P330" s="60">
        <v>0</v>
      </c>
      <c r="S330" s="60" t="e">
        <f t="shared" ca="1" si="78"/>
        <v>#REF!</v>
      </c>
      <c r="T330" s="60">
        <f t="shared" si="79"/>
        <v>2</v>
      </c>
      <c r="U330" s="60">
        <f t="shared" si="80"/>
        <v>4</v>
      </c>
      <c r="V330" s="60">
        <f t="shared" si="81"/>
        <v>6</v>
      </c>
      <c r="W330" s="60">
        <f t="shared" si="82"/>
        <v>8</v>
      </c>
      <c r="X330" s="60">
        <f t="shared" si="83"/>
        <v>6</v>
      </c>
      <c r="Y330" s="60">
        <f t="shared" si="84"/>
        <v>4</v>
      </c>
      <c r="Z330" s="60">
        <f t="shared" si="85"/>
        <v>2</v>
      </c>
      <c r="AA330" s="60">
        <f t="shared" si="90"/>
        <v>2</v>
      </c>
      <c r="AB330" s="60">
        <f t="shared" si="86"/>
        <v>2</v>
      </c>
      <c r="AC330" s="60">
        <f t="shared" si="87"/>
        <v>2</v>
      </c>
      <c r="AD330" s="60">
        <f t="shared" si="88"/>
        <v>-2</v>
      </c>
      <c r="AE330" s="60">
        <f t="shared" si="89"/>
        <v>0</v>
      </c>
      <c r="AG330" s="60" cm="1">
        <f t="array" aca="1" ref="AG330" ca="1">SQRT(SUMSQ(_xlfn._xlws.FILTER(S330:AE330,ISNUMBER(S330:AE330)))/COUNT(_xlfn._xlws.FILTER(S330:AE330,ISNUMBER(S330:AE330))))</f>
        <v>4</v>
      </c>
    </row>
    <row r="331" spans="3:33" x14ac:dyDescent="0.2">
      <c r="C331" s="60" t="s">
        <v>466</v>
      </c>
      <c r="D331" s="60">
        <v>0</v>
      </c>
      <c r="E331" s="60">
        <v>-2</v>
      </c>
      <c r="F331" s="60">
        <v>-4</v>
      </c>
      <c r="G331" s="60">
        <v>-6</v>
      </c>
      <c r="H331" s="60">
        <v>-8</v>
      </c>
      <c r="I331" s="60">
        <v>-10</v>
      </c>
      <c r="J331" s="60">
        <v>-12</v>
      </c>
      <c r="K331" s="60">
        <v>-10</v>
      </c>
      <c r="L331" s="60">
        <v>-8</v>
      </c>
      <c r="M331" s="60">
        <v>-6</v>
      </c>
      <c r="N331" s="60">
        <v>-4</v>
      </c>
      <c r="O331" s="60">
        <v>-2</v>
      </c>
      <c r="P331" s="60">
        <v>0</v>
      </c>
      <c r="S331" s="60" t="e">
        <f t="shared" ca="1" si="78"/>
        <v>#REF!</v>
      </c>
      <c r="T331" s="60">
        <f t="shared" si="79"/>
        <v>2</v>
      </c>
      <c r="U331" s="60">
        <f t="shared" si="80"/>
        <v>4</v>
      </c>
      <c r="V331" s="60">
        <f t="shared" si="81"/>
        <v>6</v>
      </c>
      <c r="W331" s="60">
        <f t="shared" si="82"/>
        <v>8</v>
      </c>
      <c r="X331" s="60">
        <f t="shared" si="83"/>
        <v>10</v>
      </c>
      <c r="Y331" s="60">
        <f t="shared" si="84"/>
        <v>12</v>
      </c>
      <c r="Z331" s="60">
        <f t="shared" si="85"/>
        <v>10</v>
      </c>
      <c r="AA331" s="60">
        <f t="shared" si="90"/>
        <v>8</v>
      </c>
      <c r="AB331" s="60">
        <f t="shared" si="86"/>
        <v>6</v>
      </c>
      <c r="AC331" s="60">
        <f t="shared" si="87"/>
        <v>4</v>
      </c>
      <c r="AD331" s="60">
        <f t="shared" si="88"/>
        <v>2</v>
      </c>
      <c r="AE331" s="60">
        <f t="shared" si="89"/>
        <v>0</v>
      </c>
      <c r="AG331" s="60" cm="1">
        <f t="array" aca="1" ref="AG331" ca="1">SQRT(SUMSQ(_xlfn._xlws.FILTER(S331:AE331,ISNUMBER(S331:AE331)))/COUNT(_xlfn._xlws.FILTER(S331:AE331,ISNUMBER(S331:AE331))))</f>
        <v>6.97614984548545</v>
      </c>
    </row>
    <row r="332" spans="3:33" x14ac:dyDescent="0.2">
      <c r="C332" s="60" t="s">
        <v>467</v>
      </c>
      <c r="D332" s="60">
        <v>0</v>
      </c>
      <c r="E332" s="60">
        <v>-1.9550000000000001</v>
      </c>
      <c r="F332" s="60">
        <v>-3.91</v>
      </c>
      <c r="G332" s="60">
        <v>-5.8650000000000002</v>
      </c>
      <c r="H332" s="60">
        <v>-7.82</v>
      </c>
      <c r="I332" s="60">
        <v>-9.7750000000000004</v>
      </c>
      <c r="J332" s="60">
        <v>-11.73</v>
      </c>
      <c r="K332" s="60">
        <v>-9.7750000000000004</v>
      </c>
      <c r="L332" s="60">
        <v>-7.82</v>
      </c>
      <c r="M332" s="60">
        <v>-5.8650000000000002</v>
      </c>
      <c r="N332" s="60">
        <v>-3.91</v>
      </c>
      <c r="O332" s="60">
        <v>-1.9550000000000001</v>
      </c>
      <c r="P332" s="60">
        <v>0</v>
      </c>
      <c r="S332" s="60" t="e">
        <f t="shared" ca="1" si="78"/>
        <v>#REF!</v>
      </c>
      <c r="T332" s="60">
        <f t="shared" si="79"/>
        <v>1.9550000000000001</v>
      </c>
      <c r="U332" s="60">
        <f t="shared" si="80"/>
        <v>3.91</v>
      </c>
      <c r="V332" s="60">
        <f t="shared" si="81"/>
        <v>5.8650000000000002</v>
      </c>
      <c r="W332" s="60">
        <f t="shared" si="82"/>
        <v>7.82</v>
      </c>
      <c r="X332" s="60">
        <f t="shared" si="83"/>
        <v>9.7750000000000004</v>
      </c>
      <c r="Y332" s="60">
        <f t="shared" si="84"/>
        <v>11.73</v>
      </c>
      <c r="Z332" s="60">
        <f t="shared" si="85"/>
        <v>9.7750000000000004</v>
      </c>
      <c r="AA332" s="60">
        <f t="shared" si="90"/>
        <v>7.82</v>
      </c>
      <c r="AB332" s="60">
        <f t="shared" si="86"/>
        <v>5.8650000000000002</v>
      </c>
      <c r="AC332" s="60">
        <f t="shared" si="87"/>
        <v>3.91</v>
      </c>
      <c r="AD332" s="60">
        <f t="shared" si="88"/>
        <v>1.9550000000000001</v>
      </c>
      <c r="AE332" s="60">
        <f t="shared" si="89"/>
        <v>0</v>
      </c>
      <c r="AG332" s="60" cm="1">
        <f t="array" aca="1" ref="AG332" ca="1">SQRT(SUMSQ(_xlfn._xlws.FILTER(S332:AE332,ISNUMBER(S332:AE332)))/COUNT(_xlfn._xlws.FILTER(S332:AE332,ISNUMBER(S332:AE332))))</f>
        <v>6.819186473962028</v>
      </c>
    </row>
    <row r="333" spans="3:33" x14ac:dyDescent="0.2">
      <c r="C333" s="60" t="s">
        <v>468</v>
      </c>
      <c r="D333" s="60">
        <v>0</v>
      </c>
      <c r="E333" s="60">
        <v>-2</v>
      </c>
      <c r="F333" s="60">
        <v>-4</v>
      </c>
      <c r="G333" s="60">
        <v>-6</v>
      </c>
      <c r="H333" s="60">
        <v>-8</v>
      </c>
      <c r="I333" s="60">
        <v>-8</v>
      </c>
      <c r="J333" s="60">
        <v>-8</v>
      </c>
      <c r="K333" s="60">
        <v>-6</v>
      </c>
      <c r="L333" s="60">
        <v>-4</v>
      </c>
      <c r="M333" s="60">
        <v>-2</v>
      </c>
      <c r="N333" s="60">
        <v>0</v>
      </c>
      <c r="O333" s="60">
        <v>0</v>
      </c>
      <c r="P333" s="60">
        <v>0</v>
      </c>
      <c r="S333" s="60" t="e">
        <f t="shared" ca="1" si="78"/>
        <v>#REF!</v>
      </c>
      <c r="T333" s="60">
        <f t="shared" si="79"/>
        <v>2</v>
      </c>
      <c r="U333" s="60">
        <f t="shared" si="80"/>
        <v>4</v>
      </c>
      <c r="V333" s="60">
        <f t="shared" si="81"/>
        <v>6</v>
      </c>
      <c r="W333" s="60">
        <f t="shared" si="82"/>
        <v>8</v>
      </c>
      <c r="X333" s="60">
        <f t="shared" si="83"/>
        <v>8</v>
      </c>
      <c r="Y333" s="60">
        <f t="shared" si="84"/>
        <v>8</v>
      </c>
      <c r="Z333" s="60">
        <f t="shared" si="85"/>
        <v>6</v>
      </c>
      <c r="AA333" s="60">
        <f t="shared" si="90"/>
        <v>4</v>
      </c>
      <c r="AB333" s="60">
        <f t="shared" si="86"/>
        <v>2</v>
      </c>
      <c r="AC333" s="60">
        <f t="shared" si="87"/>
        <v>0</v>
      </c>
      <c r="AD333" s="60">
        <f t="shared" si="88"/>
        <v>0</v>
      </c>
      <c r="AE333" s="60">
        <f t="shared" si="89"/>
        <v>0</v>
      </c>
      <c r="AG333" s="60" cm="1">
        <f t="array" aca="1" ref="AG333" ca="1">SQRT(SUMSQ(_xlfn._xlws.FILTER(S333:AE333,ISNUMBER(S333:AE333)))/COUNT(_xlfn._xlws.FILTER(S333:AE333,ISNUMBER(S333:AE333))))</f>
        <v>5.0332229568471663</v>
      </c>
    </row>
    <row r="334" spans="3:33" x14ac:dyDescent="0.2">
      <c r="C334" s="60" t="s">
        <v>469</v>
      </c>
      <c r="D334" s="60">
        <v>0</v>
      </c>
      <c r="E334" s="60">
        <v>2</v>
      </c>
      <c r="F334" s="60">
        <v>4</v>
      </c>
      <c r="G334" s="60">
        <v>-16</v>
      </c>
      <c r="H334" s="60">
        <v>-14</v>
      </c>
      <c r="I334" s="60">
        <v>-12</v>
      </c>
      <c r="J334" s="60">
        <v>-10</v>
      </c>
      <c r="K334" s="60">
        <v>-29</v>
      </c>
      <c r="L334" s="60">
        <v>-27</v>
      </c>
      <c r="M334" s="60">
        <v>16</v>
      </c>
      <c r="N334" s="60">
        <v>18</v>
      </c>
      <c r="O334" s="60">
        <v>-2</v>
      </c>
      <c r="P334" s="60">
        <v>0</v>
      </c>
      <c r="S334" s="60" t="e">
        <f t="shared" ca="1" si="78"/>
        <v>#REF!</v>
      </c>
      <c r="T334" s="60">
        <f t="shared" si="79"/>
        <v>-2</v>
      </c>
      <c r="U334" s="60">
        <f t="shared" si="80"/>
        <v>-4</v>
      </c>
      <c r="V334" s="60">
        <f t="shared" si="81"/>
        <v>16</v>
      </c>
      <c r="W334" s="60">
        <f t="shared" si="82"/>
        <v>14</v>
      </c>
      <c r="X334" s="60">
        <f t="shared" si="83"/>
        <v>12</v>
      </c>
      <c r="Y334" s="60">
        <f t="shared" si="84"/>
        <v>10</v>
      </c>
      <c r="Z334" s="60">
        <f t="shared" si="85"/>
        <v>29</v>
      </c>
      <c r="AA334" s="60">
        <f t="shared" si="90"/>
        <v>27</v>
      </c>
      <c r="AB334" s="60">
        <f t="shared" si="86"/>
        <v>-16</v>
      </c>
      <c r="AC334" s="60">
        <f t="shared" si="87"/>
        <v>-18</v>
      </c>
      <c r="AD334" s="60">
        <f t="shared" si="88"/>
        <v>2</v>
      </c>
      <c r="AE334" s="60">
        <f t="shared" si="89"/>
        <v>0</v>
      </c>
      <c r="AG334" s="60" cm="1">
        <f t="array" aca="1" ref="AG334" ca="1">SQRT(SUMSQ(_xlfn._xlws.FILTER(S334:AE334,ISNUMBER(S334:AE334)))/COUNT(_xlfn._xlws.FILTER(S334:AE334,ISNUMBER(S334:AE334))))</f>
        <v>15.465014279549393</v>
      </c>
    </row>
    <row r="335" spans="3:33" x14ac:dyDescent="0.2">
      <c r="C335" s="60" t="s">
        <v>470</v>
      </c>
      <c r="D335" s="60">
        <v>0</v>
      </c>
      <c r="E335" s="60">
        <v>-4</v>
      </c>
      <c r="F335" s="60">
        <v>-8</v>
      </c>
      <c r="G335" s="60">
        <v>-13</v>
      </c>
      <c r="H335" s="60">
        <v>-17</v>
      </c>
      <c r="I335" s="60">
        <v>-21</v>
      </c>
      <c r="J335" s="60">
        <v>-25</v>
      </c>
      <c r="K335" s="60">
        <v>-29</v>
      </c>
      <c r="L335" s="60">
        <v>17</v>
      </c>
      <c r="M335" s="60">
        <v>13</v>
      </c>
      <c r="N335" s="60">
        <v>8</v>
      </c>
      <c r="O335" s="60">
        <v>4</v>
      </c>
      <c r="P335" s="60">
        <v>0</v>
      </c>
      <c r="S335" s="60" t="e">
        <f t="shared" ca="1" si="78"/>
        <v>#REF!</v>
      </c>
      <c r="T335" s="60">
        <f t="shared" si="79"/>
        <v>4</v>
      </c>
      <c r="U335" s="60">
        <f t="shared" si="80"/>
        <v>8</v>
      </c>
      <c r="V335" s="60">
        <f t="shared" si="81"/>
        <v>13</v>
      </c>
      <c r="W335" s="60">
        <f t="shared" si="82"/>
        <v>17</v>
      </c>
      <c r="X335" s="60">
        <f t="shared" si="83"/>
        <v>21</v>
      </c>
      <c r="Y335" s="60">
        <f t="shared" si="84"/>
        <v>25</v>
      </c>
      <c r="Z335" s="60">
        <f t="shared" si="85"/>
        <v>29</v>
      </c>
      <c r="AA335" s="60">
        <f t="shared" si="90"/>
        <v>-17</v>
      </c>
      <c r="AB335" s="60">
        <f t="shared" si="86"/>
        <v>-13</v>
      </c>
      <c r="AC335" s="60">
        <f t="shared" si="87"/>
        <v>-8</v>
      </c>
      <c r="AD335" s="60">
        <f t="shared" si="88"/>
        <v>-4</v>
      </c>
      <c r="AE335" s="60">
        <f t="shared" si="89"/>
        <v>0</v>
      </c>
      <c r="AG335" s="60" cm="1">
        <f t="array" aca="1" ref="AG335" ca="1">SQRT(SUMSQ(_xlfn._xlws.FILTER(S335:AE335,ISNUMBER(S335:AE335)))/COUNT(_xlfn._xlws.FILTER(S335:AE335,ISNUMBER(S335:AE335))))</f>
        <v>15.766525721709693</v>
      </c>
    </row>
    <row r="336" spans="3:33" x14ac:dyDescent="0.2">
      <c r="C336" s="60" t="s">
        <v>471</v>
      </c>
      <c r="D336" s="60">
        <v>0</v>
      </c>
      <c r="E336" s="60">
        <v>-4.1900000000000004</v>
      </c>
      <c r="F336" s="60">
        <v>-8.3789999999999996</v>
      </c>
      <c r="G336" s="60">
        <v>-12.567</v>
      </c>
      <c r="H336" s="60">
        <v>-16.759</v>
      </c>
      <c r="I336" s="60">
        <v>-20.948</v>
      </c>
      <c r="J336" s="60">
        <v>-25.138000000000002</v>
      </c>
      <c r="K336" s="60">
        <v>-29.327999999999999</v>
      </c>
      <c r="L336" s="60">
        <v>16.759</v>
      </c>
      <c r="M336" s="60">
        <v>12.567</v>
      </c>
      <c r="N336" s="60">
        <v>8.3789999999999996</v>
      </c>
      <c r="O336" s="60">
        <v>4.1900000000000004</v>
      </c>
      <c r="P336" s="60">
        <v>0</v>
      </c>
      <c r="S336" s="60" t="e">
        <f t="shared" ca="1" si="78"/>
        <v>#REF!</v>
      </c>
      <c r="T336" s="60">
        <f t="shared" si="79"/>
        <v>4.1900000000000004</v>
      </c>
      <c r="U336" s="60">
        <f t="shared" si="80"/>
        <v>8.3789999999999996</v>
      </c>
      <c r="V336" s="60">
        <f t="shared" si="81"/>
        <v>12.567</v>
      </c>
      <c r="W336" s="60">
        <f t="shared" si="82"/>
        <v>16.759</v>
      </c>
      <c r="X336" s="60">
        <f t="shared" si="83"/>
        <v>20.948</v>
      </c>
      <c r="Y336" s="60">
        <f t="shared" si="84"/>
        <v>25.138000000000002</v>
      </c>
      <c r="Z336" s="60">
        <f t="shared" si="85"/>
        <v>29.327999999999999</v>
      </c>
      <c r="AA336" s="60">
        <f t="shared" si="90"/>
        <v>-16.759</v>
      </c>
      <c r="AB336" s="60">
        <f t="shared" si="86"/>
        <v>-12.567</v>
      </c>
      <c r="AC336" s="60">
        <f t="shared" si="87"/>
        <v>-8.3789999999999996</v>
      </c>
      <c r="AD336" s="60">
        <f t="shared" si="88"/>
        <v>-4.1900000000000004</v>
      </c>
      <c r="AE336" s="60">
        <f t="shared" si="89"/>
        <v>0</v>
      </c>
      <c r="AG336" s="60" cm="1">
        <f t="array" aca="1" ref="AG336" ca="1">SQRT(SUMSQ(_xlfn._xlws.FILTER(S336:AE336,ISNUMBER(S336:AE336)))/COUNT(_xlfn._xlws.FILTER(S336:AE336,ISNUMBER(S336:AE336))))</f>
        <v>15.769125831827203</v>
      </c>
    </row>
  </sheetData>
  <sheetProtection sheet="1" scenarios="1" formatCells="0"/>
  <autoFilter ref="AG7:AG336" xr:uid="{6762997F-4FCE-4F4F-8F5E-FA05B6019CDE}"/>
  <sortState xmlns:xlrd2="http://schemas.microsoft.com/office/spreadsheetml/2017/richdata2" ref="B8:AH336">
    <sortCondition ref="C8:C336"/>
  </sortState>
  <mergeCells count="3">
    <mergeCell ref="D1:F1"/>
    <mergeCell ref="D5:P5"/>
    <mergeCell ref="S6:AE6"/>
  </mergeCells>
  <conditionalFormatting sqref="A1:D1 G1:XFD1 A2:XFD1048576">
    <cfRule type="expression" dxfId="133" priority="1">
      <formula>CELL("protected",A1)=0</formula>
    </cfRule>
    <cfRule type="expression" dxfId="132" priority="2">
      <formula>_xlfn.ISFORMULA(A1)</formula>
    </cfRule>
  </conditionalFormatting>
  <hyperlinks>
    <hyperlink ref="C2" r:id="rId1" xr:uid="{65C79424-7688-9347-BB92-048D7E209749}"/>
    <hyperlink ref="B5" location="Overview!A1" display="Back to Overview" xr:uid="{4D307FA4-306C-034E-9994-3A5A44FE3D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E94D3-6496-6B43-B5E4-F79F3371221C}">
  <sheetPr>
    <tabColor theme="9" tint="0.59999389629810485"/>
  </sheetPr>
  <dimension ref="A1:Z41"/>
  <sheetViews>
    <sheetView zoomScale="94"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588</v>
      </c>
      <c r="C1" s="289"/>
      <c r="D1" s="289"/>
      <c r="E1" s="289"/>
      <c r="F1" s="289"/>
      <c r="G1" s="289"/>
      <c r="H1" s="289"/>
      <c r="M1" s="111" t="s">
        <v>481</v>
      </c>
    </row>
    <row r="3" spans="1:26" s="112" customFormat="1" x14ac:dyDescent="0.2">
      <c r="B3" s="290" t="s">
        <v>59</v>
      </c>
      <c r="C3" s="290"/>
      <c r="D3" s="291"/>
      <c r="E3" s="290"/>
      <c r="H3" s="292" t="s">
        <v>158</v>
      </c>
      <c r="I3" s="292"/>
      <c r="J3" s="292"/>
      <c r="K3" s="292"/>
      <c r="M3" s="293" t="s">
        <v>589</v>
      </c>
      <c r="N3" s="293"/>
      <c r="O3" s="293"/>
      <c r="P3" s="293"/>
      <c r="R3" s="292" t="s">
        <v>101</v>
      </c>
      <c r="S3" s="292"/>
      <c r="T3" s="292"/>
      <c r="U3" s="292"/>
      <c r="W3" s="292" t="s">
        <v>528</v>
      </c>
      <c r="X3" s="292"/>
      <c r="Y3" s="292"/>
      <c r="Z3" s="292"/>
    </row>
    <row r="4" spans="1:26" s="112" customFormat="1" x14ac:dyDescent="0.2">
      <c r="B4" s="113"/>
      <c r="C4" s="113"/>
      <c r="D4" s="113"/>
      <c r="E4" s="113"/>
      <c r="H4" s="287" t="str" cm="1">
        <f t="array" aca="1" ref="H4" ca="1">INDIRECT("'"&amp;H3&amp;"'!B1")</f>
        <v>Equal Temperament</v>
      </c>
      <c r="I4" s="287"/>
      <c r="J4" s="287"/>
      <c r="K4" s="287"/>
      <c r="M4" s="287" t="str" cm="1">
        <f t="array" aca="1" ref="M4" ca="1">INDIRECT("'"&amp;M3&amp;"'!B1")</f>
        <v>Bendeler 3</v>
      </c>
      <c r="N4" s="287"/>
      <c r="O4" s="287"/>
      <c r="P4" s="287"/>
      <c r="R4" s="287" t="str" cm="1">
        <f t="array" aca="1" ref="R4" ca="1">INDIRECT("'"&amp;R3&amp;"'!B1")</f>
        <v>Neidhardt 3</v>
      </c>
      <c r="S4" s="287"/>
      <c r="T4" s="287"/>
      <c r="U4" s="287"/>
      <c r="W4" s="287" t="str" cm="1">
        <f t="array" aca="1" ref="W4" ca="1">INDIRECT("'"&amp;W3&amp;"'!B1")</f>
        <v>Vallotti-Young</v>
      </c>
      <c r="X4" s="287"/>
      <c r="Y4" s="287"/>
      <c r="Z4" s="287"/>
    </row>
    <row r="5" spans="1:26" s="115" customFormat="1" ht="51" x14ac:dyDescent="0.2">
      <c r="B5" s="116" t="s">
        <v>56</v>
      </c>
      <c r="C5" s="116" t="s">
        <v>57</v>
      </c>
      <c r="D5" s="115" t="s">
        <v>25</v>
      </c>
      <c r="E5" s="115" t="s">
        <v>26</v>
      </c>
      <c r="F5" s="115" t="str" cm="1">
        <f t="array" aca="1" ref="F5" ca="1">_xlfn.CONCAT(_xlfn.TEXTAFTER(CELL("filename",B3),"]")," Fret Size cents")</f>
        <v>Guitar, Modern Fret Size cents</v>
      </c>
      <c r="H5" s="115" t="str">
        <f>_xlfn.CONCAT(H3," Frequency 1")</f>
        <v>Equal Frequency 1</v>
      </c>
      <c r="I5" s="115" t="str">
        <f>_xlfn.CONCAT(H3," Frequency 2")</f>
        <v>Equal Frequency 2</v>
      </c>
      <c r="J5" s="115" t="s">
        <v>472</v>
      </c>
      <c r="K5" s="115" t="s">
        <v>473</v>
      </c>
      <c r="M5" s="115" t="str">
        <f>_xlfn.CONCAT(M3," Frequency 1")</f>
        <v>BDO Any Frequency 1</v>
      </c>
      <c r="N5" s="115" t="str">
        <f>_xlfn.CONCAT(M3," Frequency 2")</f>
        <v>BDO Any Frequency 2</v>
      </c>
      <c r="O5" s="115" t="s">
        <v>472</v>
      </c>
      <c r="P5" s="115" t="s">
        <v>473</v>
      </c>
      <c r="R5" s="115" t="str">
        <f>_xlfn.CONCAT(R3," Frequency 1")</f>
        <v>Neidhardt 3 Frequency 1</v>
      </c>
      <c r="S5" s="115" t="str">
        <f>_xlfn.CONCAT(R3," Frequency 2")</f>
        <v>Neidhardt 3 Frequency 2</v>
      </c>
      <c r="T5" s="115" t="s">
        <v>472</v>
      </c>
      <c r="U5" s="115" t="s">
        <v>473</v>
      </c>
      <c r="W5" s="115" t="str">
        <f>_xlfn.CONCAT(W3," Frequency 1")</f>
        <v>Vallotti-Young Frequency 1</v>
      </c>
      <c r="X5" s="115" t="str">
        <f>_xlfn.CONCAT(W3," Frequency 2")</f>
        <v>Vallotti-Young Frequency 2</v>
      </c>
      <c r="Y5" s="115" t="s">
        <v>472</v>
      </c>
      <c r="Z5" s="115" t="s">
        <v>473</v>
      </c>
    </row>
    <row r="6" spans="1:26" x14ac:dyDescent="0.2">
      <c r="B6" s="163" t="s">
        <v>7</v>
      </c>
      <c r="C6" s="163" t="s">
        <v>73</v>
      </c>
      <c r="D6" s="162">
        <v>65.150000000000006</v>
      </c>
      <c r="E6" s="162">
        <v>61.5</v>
      </c>
      <c r="F6" s="110">
        <f>1200*LOG(D6/E6,2)</f>
        <v>99.814522009839067</v>
      </c>
      <c r="H6" s="110">
        <f t="shared" ref="H6:I21" ca="1" si="0">VLOOKUP(B6,INDIRECT("'"&amp;$H$3&amp;"'!Master_Frequencies"),2,FALSE)</f>
        <v>439.99999999999994</v>
      </c>
      <c r="I6" s="110">
        <f ca="1">VLOOKUP(C6,INDIRECT("'"&amp;$H$3&amp;"'!Master_Frequencies"),2,FALSE)</f>
        <v>466.16376151808987</v>
      </c>
      <c r="J6" s="110">
        <f ca="1">LOG(I6/H6,2)*1200</f>
        <v>100.00000000000007</v>
      </c>
      <c r="K6" s="110">
        <f ca="1">J6-F6</f>
        <v>0.18547799016100441</v>
      </c>
      <c r="M6" s="110">
        <f t="shared" ref="M6:N23" ca="1" si="1">VLOOKUP(B6,INDIRECT("'"&amp;$M$3&amp;"'!Master_Frequencies"),2,FALSE)</f>
        <v>439.99999999999989</v>
      </c>
      <c r="N6" s="110">
        <f t="shared" ca="1" si="1"/>
        <v>466.70260620201543</v>
      </c>
      <c r="O6" s="110">
        <f ca="1">LOG(N6/M6,2)*1200</f>
        <v>102.00000000000047</v>
      </c>
      <c r="P6" s="110">
        <f ca="1">O6-F6</f>
        <v>2.1854779901614023</v>
      </c>
      <c r="R6" s="110">
        <f t="shared" ref="R6:S23" ca="1" si="2">VLOOKUP(B6,INDIRECT("'"&amp;$R$3&amp;"'!Master_Frequencies"),2,FALSE)</f>
        <v>440.00000000000011</v>
      </c>
      <c r="S6" s="110">
        <f t="shared" ca="1" si="2"/>
        <v>467.2177847774384</v>
      </c>
      <c r="T6" s="110">
        <f ca="1">LOG(S6/R6,2)*1200</f>
        <v>103.91000173077481</v>
      </c>
      <c r="U6" s="110">
        <f ca="1">T6-F6</f>
        <v>4.0954797209357423</v>
      </c>
      <c r="W6" s="110">
        <f t="shared" ref="W6:X23" ca="1" si="3">VLOOKUP(B6,INDIRECT("'"&amp;$W$3&amp;"'!Master_Frequencies"),2,FALSE)</f>
        <v>440.00000000000011</v>
      </c>
      <c r="X6" s="110">
        <f t="shared" ca="1" si="3"/>
        <v>466.69047558312155</v>
      </c>
      <c r="Y6" s="110">
        <f ca="1">LOG(X6/W6,2)*1200</f>
        <v>101.95500086538762</v>
      </c>
      <c r="Z6" s="110">
        <f ca="1">Y6-F6</f>
        <v>2.140478855548551</v>
      </c>
    </row>
    <row r="7" spans="1:26" x14ac:dyDescent="0.2">
      <c r="B7" s="163" t="s">
        <v>73</v>
      </c>
      <c r="C7" s="163" t="s">
        <v>8</v>
      </c>
      <c r="D7" s="162">
        <v>61.45</v>
      </c>
      <c r="E7" s="162">
        <v>58</v>
      </c>
      <c r="F7" s="110">
        <f t="shared" ref="F7:F24" si="4">1200*LOG(D7/E7,2)</f>
        <v>100.03213242927258</v>
      </c>
      <c r="H7" s="110">
        <f t="shared" ca="1" si="0"/>
        <v>466.16376151808987</v>
      </c>
      <c r="I7" s="110">
        <f t="shared" ca="1" si="0"/>
        <v>493.88330125612407</v>
      </c>
      <c r="J7" s="110">
        <f t="shared" ref="J7:J24" ca="1" si="5">LOG(I7/H7,2)*1200</f>
        <v>100.00000000000007</v>
      </c>
      <c r="K7" s="110">
        <f t="shared" ref="K7:K24" ca="1" si="6">J7-F7</f>
        <v>-3.2132429272508034E-2</v>
      </c>
      <c r="M7" s="110">
        <f t="shared" ca="1" si="1"/>
        <v>466.70260620201543</v>
      </c>
      <c r="N7" s="110">
        <f t="shared" ca="1" si="1"/>
        <v>493.31307433254386</v>
      </c>
      <c r="O7" s="110">
        <f t="shared" ref="O7:O24" ca="1" si="7">LOG(N7/M7,2)*1200</f>
        <v>95.999999999999815</v>
      </c>
      <c r="P7" s="110">
        <f t="shared" ref="P7:P24" ca="1" si="8">O7-F7</f>
        <v>-4.0321324292727638</v>
      </c>
      <c r="R7" s="110">
        <f t="shared" ca="1" si="2"/>
        <v>467.2177847774384</v>
      </c>
      <c r="S7" s="110">
        <f t="shared" ca="1" si="2"/>
        <v>494.44133536930508</v>
      </c>
      <c r="T7" s="110">
        <f t="shared" ref="T7:T24" ca="1" si="9">LOG(S7/R7,2)*1200</f>
        <v>98.044999134612695</v>
      </c>
      <c r="U7" s="110">
        <f t="shared" ref="U7:U24" ca="1" si="10">T7-F7</f>
        <v>-1.9871332946598841</v>
      </c>
      <c r="W7" s="110">
        <f t="shared" ca="1" si="3"/>
        <v>466.69047558312155</v>
      </c>
      <c r="X7" s="110">
        <f t="shared" ca="1" si="3"/>
        <v>492.76912173666165</v>
      </c>
      <c r="Y7" s="110">
        <f t="shared" ref="Y7:Y24" ca="1" si="11">LOG(X7/W7,2)*1200</f>
        <v>94.134997403837588</v>
      </c>
      <c r="Z7" s="110">
        <f t="shared" ref="Z7:Z24" ca="1" si="12">Y7-F7</f>
        <v>-5.8971350254349915</v>
      </c>
    </row>
    <row r="8" spans="1:26" x14ac:dyDescent="0.2">
      <c r="B8" s="163" t="s">
        <v>8</v>
      </c>
      <c r="C8" s="163" t="s">
        <v>78</v>
      </c>
      <c r="D8" s="162">
        <v>58</v>
      </c>
      <c r="E8" s="162">
        <v>54.7</v>
      </c>
      <c r="F8" s="110">
        <f t="shared" si="4"/>
        <v>101.41448066685346</v>
      </c>
      <c r="H8" s="110">
        <f t="shared" ca="1" si="0"/>
        <v>493.88330125612407</v>
      </c>
      <c r="I8" s="110">
        <f t="shared" ca="1" si="0"/>
        <v>523.25113060119725</v>
      </c>
      <c r="J8" s="110">
        <f t="shared" ca="1" si="5"/>
        <v>100.00000000000007</v>
      </c>
      <c r="K8" s="110">
        <f t="shared" ca="1" si="6"/>
        <v>-1.4144806668533931</v>
      </c>
      <c r="M8" s="110">
        <f t="shared" ca="1" si="1"/>
        <v>493.31307433254386</v>
      </c>
      <c r="N8" s="110">
        <f t="shared" ca="1" si="1"/>
        <v>525.06772693395772</v>
      </c>
      <c r="O8" s="110">
        <f t="shared" ca="1" si="7"/>
        <v>108.00000000000021</v>
      </c>
      <c r="P8" s="110">
        <f t="shared" ca="1" si="8"/>
        <v>6.585519333146749</v>
      </c>
      <c r="R8" s="110">
        <f t="shared" ca="1" si="2"/>
        <v>494.44133536930508</v>
      </c>
      <c r="S8" s="110">
        <f t="shared" ca="1" si="2"/>
        <v>524.43423170785138</v>
      </c>
      <c r="T8" s="110">
        <f t="shared" ca="1" si="9"/>
        <v>101.95500086538762</v>
      </c>
      <c r="U8" s="110">
        <f t="shared" ca="1" si="10"/>
        <v>0.54052019853415345</v>
      </c>
      <c r="W8" s="110">
        <f t="shared" ca="1" si="3"/>
        <v>492.76912173666165</v>
      </c>
      <c r="X8" s="110">
        <f t="shared" ca="1" si="3"/>
        <v>525.02678503101174</v>
      </c>
      <c r="Y8" s="110">
        <f t="shared" ca="1" si="11"/>
        <v>109.77500432693741</v>
      </c>
      <c r="Z8" s="110">
        <f t="shared" ca="1" si="12"/>
        <v>8.3605236600839419</v>
      </c>
    </row>
    <row r="9" spans="1:26" x14ac:dyDescent="0.2">
      <c r="B9" s="163" t="s">
        <v>2</v>
      </c>
      <c r="C9" s="163" t="s">
        <v>74</v>
      </c>
      <c r="D9" s="162">
        <v>54.7</v>
      </c>
      <c r="E9" s="162">
        <v>51.65</v>
      </c>
      <c r="F9" s="110">
        <f t="shared" si="4"/>
        <v>99.326980712996701</v>
      </c>
      <c r="H9" s="110">
        <f t="shared" ca="1" si="0"/>
        <v>261.62556530059862</v>
      </c>
      <c r="I9" s="110">
        <f t="shared" ca="1" si="0"/>
        <v>277.18263097687208</v>
      </c>
      <c r="J9" s="110">
        <f t="shared" ca="1" si="5"/>
        <v>100.00000000000007</v>
      </c>
      <c r="K9" s="110">
        <f t="shared" ca="1" si="6"/>
        <v>0.67301928700337044</v>
      </c>
      <c r="M9" s="110">
        <f t="shared" ca="1" si="1"/>
        <v>262.5338634669788</v>
      </c>
      <c r="N9" s="110">
        <f t="shared" ca="1" si="1"/>
        <v>277.50302994287489</v>
      </c>
      <c r="O9" s="110">
        <f t="shared" ca="1" si="7"/>
        <v>95.999999999999815</v>
      </c>
      <c r="P9" s="110">
        <f t="shared" ca="1" si="8"/>
        <v>-3.3269807129968854</v>
      </c>
      <c r="R9" s="110">
        <f t="shared" ca="1" si="2"/>
        <v>262.21711585392563</v>
      </c>
      <c r="S9" s="110">
        <f t="shared" ca="1" si="2"/>
        <v>277.49581703372587</v>
      </c>
      <c r="T9" s="110">
        <f t="shared" ca="1" si="9"/>
        <v>98.044999134612695</v>
      </c>
      <c r="U9" s="110">
        <f t="shared" ca="1" si="10"/>
        <v>-1.2819815783840056</v>
      </c>
      <c r="W9" s="110">
        <f t="shared" ca="1" si="3"/>
        <v>262.51339251550581</v>
      </c>
      <c r="X9" s="110">
        <f t="shared" ca="1" si="3"/>
        <v>276.55731886407199</v>
      </c>
      <c r="Y9" s="110">
        <f t="shared" ca="1" si="11"/>
        <v>90.224995673063063</v>
      </c>
      <c r="Z9" s="110">
        <f t="shared" ca="1" si="12"/>
        <v>-9.1019850399336377</v>
      </c>
    </row>
    <row r="10" spans="1:26" x14ac:dyDescent="0.2">
      <c r="B10" s="163" t="s">
        <v>74</v>
      </c>
      <c r="C10" s="163" t="s">
        <v>3</v>
      </c>
      <c r="D10" s="162">
        <v>51.65</v>
      </c>
      <c r="E10" s="162">
        <v>48.75</v>
      </c>
      <c r="F10" s="110">
        <f t="shared" si="4"/>
        <v>100.03935627370365</v>
      </c>
      <c r="G10" s="7"/>
      <c r="H10" s="110">
        <f t="shared" ca="1" si="0"/>
        <v>277.18263097687208</v>
      </c>
      <c r="I10" s="110">
        <f t="shared" ca="1" si="0"/>
        <v>293.66476791740757</v>
      </c>
      <c r="J10" s="110">
        <f t="shared" ca="1" si="5"/>
        <v>100.00000000000007</v>
      </c>
      <c r="K10" s="110">
        <f t="shared" ca="1" si="6"/>
        <v>-3.9356273703575084E-2</v>
      </c>
      <c r="M10" s="110">
        <f t="shared" ca="1" si="1"/>
        <v>277.50302994287489</v>
      </c>
      <c r="N10" s="110">
        <f t="shared" ca="1" si="1"/>
        <v>293.32570896006365</v>
      </c>
      <c r="O10" s="110">
        <f t="shared" ca="1" si="7"/>
        <v>95.999999999999815</v>
      </c>
      <c r="P10" s="110">
        <f t="shared" ca="1" si="8"/>
        <v>-4.0393562737038309</v>
      </c>
      <c r="R10" s="110">
        <f t="shared" ca="1" si="2"/>
        <v>277.49581703372587</v>
      </c>
      <c r="S10" s="110">
        <f t="shared" ca="1" si="2"/>
        <v>293.66476791740763</v>
      </c>
      <c r="T10" s="110">
        <f t="shared" ca="1" si="9"/>
        <v>98.044999134612695</v>
      </c>
      <c r="U10" s="110">
        <f t="shared" ca="1" si="10"/>
        <v>-1.9943571390909511</v>
      </c>
      <c r="W10" s="110">
        <f t="shared" ca="1" si="3"/>
        <v>276.55731886407199</v>
      </c>
      <c r="X10" s="110">
        <f t="shared" ca="1" si="3"/>
        <v>293.99657698631205</v>
      </c>
      <c r="Y10" s="110">
        <f t="shared" ca="1" si="11"/>
        <v>105.86500259616219</v>
      </c>
      <c r="Z10" s="110">
        <f t="shared" ca="1" si="12"/>
        <v>5.8256463224585389</v>
      </c>
    </row>
    <row r="11" spans="1:26" x14ac:dyDescent="0.2">
      <c r="B11" s="163" t="s">
        <v>3</v>
      </c>
      <c r="C11" s="163" t="s">
        <v>76</v>
      </c>
      <c r="D11" s="162">
        <v>48.75</v>
      </c>
      <c r="E11" s="162">
        <v>46</v>
      </c>
      <c r="F11" s="110">
        <f t="shared" si="4"/>
        <v>100.52202923111726</v>
      </c>
      <c r="G11" s="7"/>
      <c r="H11" s="110">
        <f t="shared" ca="1" si="0"/>
        <v>293.66476791740757</v>
      </c>
      <c r="I11" s="110">
        <f t="shared" ca="1" si="0"/>
        <v>311.12698372208087</v>
      </c>
      <c r="J11" s="110">
        <f t="shared" ca="1" si="5"/>
        <v>99.99999999999973</v>
      </c>
      <c r="K11" s="110">
        <f t="shared" ca="1" si="6"/>
        <v>-0.52202923111752852</v>
      </c>
      <c r="M11" s="110">
        <f t="shared" ca="1" si="1"/>
        <v>293.32570896006365</v>
      </c>
      <c r="N11" s="110">
        <f t="shared" ca="1" si="1"/>
        <v>311.12698372208087</v>
      </c>
      <c r="O11" s="110">
        <f t="shared" ca="1" si="7"/>
        <v>102.00000000000013</v>
      </c>
      <c r="P11" s="110">
        <f t="shared" ca="1" si="8"/>
        <v>1.4779707688828694</v>
      </c>
      <c r="R11" s="110">
        <f t="shared" ca="1" si="2"/>
        <v>293.66476791740763</v>
      </c>
      <c r="S11" s="110">
        <f t="shared" ca="1" si="2"/>
        <v>311.83045984898121</v>
      </c>
      <c r="T11" s="110">
        <f t="shared" ca="1" si="9"/>
        <v>103.91000173077481</v>
      </c>
      <c r="U11" s="110">
        <f t="shared" ca="1" si="10"/>
        <v>3.3879724996575504</v>
      </c>
      <c r="W11" s="110">
        <f t="shared" ca="1" si="3"/>
        <v>293.99657698631205</v>
      </c>
      <c r="X11" s="110">
        <f t="shared" ca="1" si="3"/>
        <v>311.12698372208104</v>
      </c>
      <c r="Y11" s="110">
        <f t="shared" ca="1" si="11"/>
        <v>98.044999134612695</v>
      </c>
      <c r="Z11" s="110">
        <f t="shared" ca="1" si="12"/>
        <v>-2.4770300965045635</v>
      </c>
    </row>
    <row r="12" spans="1:26" x14ac:dyDescent="0.2">
      <c r="B12" s="163" t="s">
        <v>76</v>
      </c>
      <c r="C12" s="163" t="s">
        <v>4</v>
      </c>
      <c r="D12" s="162">
        <v>46</v>
      </c>
      <c r="E12" s="162">
        <v>43.45</v>
      </c>
      <c r="F12" s="110">
        <f t="shared" si="4"/>
        <v>98.73322095596987</v>
      </c>
      <c r="G12" s="7"/>
      <c r="H12" s="110">
        <f ca="1">VLOOKUP(B12,INDIRECT("'"&amp;$H$3&amp;"'!Master_Frequencies"),2,FALSE)</f>
        <v>311.12698372208087</v>
      </c>
      <c r="I12" s="110">
        <f t="shared" ca="1" si="0"/>
        <v>329.62755691286992</v>
      </c>
      <c r="J12" s="110">
        <f t="shared" ca="1" si="5"/>
        <v>100.00000000000007</v>
      </c>
      <c r="K12" s="110">
        <f t="shared" ca="1" si="6"/>
        <v>1.2667790440302014</v>
      </c>
      <c r="M12" s="110">
        <f t="shared" ca="1" si="1"/>
        <v>311.12698372208087</v>
      </c>
      <c r="N12" s="110">
        <f t="shared" ca="1" si="1"/>
        <v>330.00857764287997</v>
      </c>
      <c r="O12" s="110">
        <f t="shared" ca="1" si="7"/>
        <v>102.00000000000013</v>
      </c>
      <c r="P12" s="110">
        <f t="shared" ca="1" si="8"/>
        <v>3.2667790440302582</v>
      </c>
      <c r="R12" s="110">
        <f t="shared" ca="1" si="2"/>
        <v>311.83045984898121</v>
      </c>
      <c r="S12" s="110">
        <f t="shared" ca="1" si="2"/>
        <v>330.00000000000011</v>
      </c>
      <c r="T12" s="110">
        <f t="shared" ca="1" si="9"/>
        <v>98.044999134612695</v>
      </c>
      <c r="U12" s="110">
        <f t="shared" ca="1" si="10"/>
        <v>-0.68822182135717469</v>
      </c>
      <c r="W12" s="110">
        <f t="shared" ca="1" si="3"/>
        <v>311.12698372208104</v>
      </c>
      <c r="X12" s="110">
        <f t="shared" ca="1" si="3"/>
        <v>329.25553417074951</v>
      </c>
      <c r="Y12" s="110">
        <f t="shared" ca="1" si="11"/>
        <v>98.044999134612354</v>
      </c>
      <c r="Z12" s="110">
        <f t="shared" ca="1" si="12"/>
        <v>-0.68822182135751575</v>
      </c>
    </row>
    <row r="13" spans="1:26" x14ac:dyDescent="0.2">
      <c r="B13" s="163" t="s">
        <v>4</v>
      </c>
      <c r="C13" s="163" t="s">
        <v>5</v>
      </c>
      <c r="D13" s="162">
        <v>43.45</v>
      </c>
      <c r="E13" s="162">
        <v>41</v>
      </c>
      <c r="F13" s="110">
        <f t="shared" si="4"/>
        <v>100.47872077074507</v>
      </c>
      <c r="G13" s="7"/>
      <c r="H13" s="110">
        <f t="shared" ref="H13:I24" ca="1" si="13">VLOOKUP(B13,INDIRECT("'"&amp;$H$3&amp;"'!Master_Frequencies"),2,FALSE)</f>
        <v>329.62755691286992</v>
      </c>
      <c r="I13" s="110">
        <f t="shared" ca="1" si="0"/>
        <v>349.22823143300388</v>
      </c>
      <c r="J13" s="110">
        <f t="shared" ca="1" si="5"/>
        <v>100.00000000000007</v>
      </c>
      <c r="K13" s="110">
        <f t="shared" ca="1" si="6"/>
        <v>-0.47872077074499941</v>
      </c>
      <c r="M13" s="110">
        <f t="shared" ca="1" si="1"/>
        <v>330.00857764287997</v>
      </c>
      <c r="N13" s="110">
        <f t="shared" ca="1" si="1"/>
        <v>350.03605285216423</v>
      </c>
      <c r="O13" s="110">
        <f t="shared" ca="1" si="7"/>
        <v>102.00000000000013</v>
      </c>
      <c r="P13" s="110">
        <f t="shared" ca="1" si="8"/>
        <v>1.5212792292550574</v>
      </c>
      <c r="R13" s="110">
        <f t="shared" ca="1" si="2"/>
        <v>330.00000000000011</v>
      </c>
      <c r="S13" s="110">
        <f t="shared" ca="1" si="2"/>
        <v>350.41333858307883</v>
      </c>
      <c r="T13" s="110">
        <f t="shared" ca="1" si="9"/>
        <v>103.91000173077481</v>
      </c>
      <c r="U13" s="110">
        <f t="shared" ca="1" si="10"/>
        <v>3.4312809600297385</v>
      </c>
      <c r="W13" s="110">
        <f t="shared" ca="1" si="3"/>
        <v>329.25553417074951</v>
      </c>
      <c r="X13" s="110">
        <f t="shared" ca="1" si="3"/>
        <v>350.01785668734118</v>
      </c>
      <c r="Y13" s="110">
        <f t="shared" ca="1" si="11"/>
        <v>105.86500259616255</v>
      </c>
      <c r="Z13" s="110">
        <f t="shared" ca="1" si="12"/>
        <v>5.386281825417484</v>
      </c>
    </row>
    <row r="14" spans="1:26" x14ac:dyDescent="0.2">
      <c r="B14" s="163" t="s">
        <v>5</v>
      </c>
      <c r="C14" s="163" t="s">
        <v>70</v>
      </c>
      <c r="D14" s="162">
        <v>41</v>
      </c>
      <c r="E14" s="162">
        <v>38.700000000000003</v>
      </c>
      <c r="F14" s="110">
        <f t="shared" si="4"/>
        <v>99.948412033242931</v>
      </c>
      <c r="G14" s="7"/>
      <c r="H14" s="110">
        <f t="shared" ca="1" si="13"/>
        <v>349.22823143300388</v>
      </c>
      <c r="I14" s="110">
        <f t="shared" ca="1" si="0"/>
        <v>369.9944227116344</v>
      </c>
      <c r="J14" s="110">
        <f t="shared" ca="1" si="5"/>
        <v>100.00000000000007</v>
      </c>
      <c r="K14" s="110">
        <f t="shared" ca="1" si="6"/>
        <v>5.1587966757139725E-2</v>
      </c>
      <c r="M14" s="110">
        <f t="shared" ca="1" si="1"/>
        <v>350.03605285216423</v>
      </c>
      <c r="N14" s="110">
        <f t="shared" ca="1" si="1"/>
        <v>369.99442271163434</v>
      </c>
      <c r="O14" s="110">
        <f t="shared" ca="1" si="7"/>
        <v>95.999999999999815</v>
      </c>
      <c r="P14" s="110">
        <f t="shared" ca="1" si="8"/>
        <v>-3.9484120332431161</v>
      </c>
      <c r="R14" s="110">
        <f t="shared" ca="1" si="2"/>
        <v>350.41333858307883</v>
      </c>
      <c r="S14" s="110">
        <f t="shared" ca="1" si="2"/>
        <v>370.41247594209324</v>
      </c>
      <c r="T14" s="110">
        <f t="shared" ca="1" si="9"/>
        <v>96.089998269225319</v>
      </c>
      <c r="U14" s="110">
        <f t="shared" ca="1" si="10"/>
        <v>-3.8584137640176124</v>
      </c>
      <c r="W14" s="110">
        <f t="shared" ca="1" si="3"/>
        <v>350.01785668734118</v>
      </c>
      <c r="X14" s="110">
        <f t="shared" ca="1" si="3"/>
        <v>368.74309181876265</v>
      </c>
      <c r="Y14" s="110">
        <f t="shared" ca="1" si="11"/>
        <v>90.224995673062693</v>
      </c>
      <c r="Z14" s="110">
        <f t="shared" ca="1" si="12"/>
        <v>-9.7234163601802379</v>
      </c>
    </row>
    <row r="15" spans="1:26" x14ac:dyDescent="0.2">
      <c r="B15" s="163" t="s">
        <v>70</v>
      </c>
      <c r="C15" s="163" t="s">
        <v>6</v>
      </c>
      <c r="D15" s="162">
        <v>38.700000000000003</v>
      </c>
      <c r="E15" s="162">
        <v>36.549999999999997</v>
      </c>
      <c r="F15" s="110">
        <f t="shared" si="4"/>
        <v>98.954592230367936</v>
      </c>
      <c r="G15" s="7"/>
      <c r="H15" s="110">
        <f t="shared" ca="1" si="13"/>
        <v>369.9944227116344</v>
      </c>
      <c r="I15" s="110">
        <f t="shared" ca="1" si="0"/>
        <v>391.99543598174927</v>
      </c>
      <c r="J15" s="110">
        <f t="shared" ca="1" si="5"/>
        <v>99.99999999999973</v>
      </c>
      <c r="K15" s="110">
        <f t="shared" ca="1" si="6"/>
        <v>1.0454077696317938</v>
      </c>
      <c r="M15" s="110">
        <f t="shared" ca="1" si="1"/>
        <v>369.99442271163434</v>
      </c>
      <c r="N15" s="110">
        <f t="shared" ca="1" si="1"/>
        <v>392.44854854484072</v>
      </c>
      <c r="O15" s="110">
        <f t="shared" ca="1" si="7"/>
        <v>102.00000000000013</v>
      </c>
      <c r="P15" s="110">
        <f t="shared" ca="1" si="8"/>
        <v>3.0454077696321917</v>
      </c>
      <c r="R15" s="110">
        <f t="shared" ca="1" si="2"/>
        <v>370.41247594209324</v>
      </c>
      <c r="S15" s="110">
        <f t="shared" ca="1" si="2"/>
        <v>392.43834795089805</v>
      </c>
      <c r="T15" s="110">
        <f t="shared" ca="1" si="9"/>
        <v>99.99999999999973</v>
      </c>
      <c r="U15" s="110">
        <f t="shared" ca="1" si="10"/>
        <v>1.0454077696317938</v>
      </c>
      <c r="W15" s="110">
        <f t="shared" ca="1" si="3"/>
        <v>368.74309181876265</v>
      </c>
      <c r="X15" s="110">
        <f t="shared" ca="1" si="3"/>
        <v>392.88176036212946</v>
      </c>
      <c r="Y15" s="110">
        <f t="shared" ca="1" si="11"/>
        <v>109.77500432693707</v>
      </c>
      <c r="Z15" s="110">
        <f t="shared" ca="1" si="12"/>
        <v>10.820412096569129</v>
      </c>
    </row>
    <row r="16" spans="1:26" x14ac:dyDescent="0.2">
      <c r="B16" s="163" t="s">
        <v>6</v>
      </c>
      <c r="C16" s="163" t="s">
        <v>72</v>
      </c>
      <c r="D16" s="162">
        <v>36.549999999999997</v>
      </c>
      <c r="E16" s="162">
        <v>34.5</v>
      </c>
      <c r="F16" s="110">
        <f t="shared" si="4"/>
        <v>99.930053144287058</v>
      </c>
      <c r="G16" s="7"/>
      <c r="H16" s="110">
        <f t="shared" ca="1" si="13"/>
        <v>391.99543598174927</v>
      </c>
      <c r="I16" s="110">
        <f t="shared" ca="1" si="0"/>
        <v>415.30469757994507</v>
      </c>
      <c r="J16" s="110">
        <f t="shared" ca="1" si="5"/>
        <v>99.99999999999973</v>
      </c>
      <c r="K16" s="110">
        <f t="shared" ca="1" si="6"/>
        <v>6.9946855712672118E-2</v>
      </c>
      <c r="M16" s="110">
        <f t="shared" ca="1" si="1"/>
        <v>392.44854854484072</v>
      </c>
      <c r="N16" s="110">
        <f t="shared" ca="1" si="1"/>
        <v>416.26536455926225</v>
      </c>
      <c r="O16" s="110">
        <f t="shared" ca="1" si="7"/>
        <v>102.00000000000047</v>
      </c>
      <c r="P16" s="110">
        <f t="shared" ca="1" si="8"/>
        <v>2.0699468557134111</v>
      </c>
      <c r="R16" s="110">
        <f t="shared" ca="1" si="2"/>
        <v>392.43834795089805</v>
      </c>
      <c r="S16" s="110">
        <f t="shared" ca="1" si="2"/>
        <v>416.24372555058881</v>
      </c>
      <c r="T16" s="110">
        <f t="shared" ca="1" si="9"/>
        <v>101.95500086538728</v>
      </c>
      <c r="U16" s="110">
        <f t="shared" ca="1" si="10"/>
        <v>2.0249477211002187</v>
      </c>
      <c r="W16" s="110">
        <f t="shared" ca="1" si="3"/>
        <v>392.88176036212946</v>
      </c>
      <c r="X16" s="110">
        <f t="shared" ca="1" si="3"/>
        <v>414.83597829610801</v>
      </c>
      <c r="Y16" s="110">
        <f t="shared" ca="1" si="11"/>
        <v>94.134997403837943</v>
      </c>
      <c r="Z16" s="110">
        <f t="shared" ca="1" si="12"/>
        <v>-5.795055740449115</v>
      </c>
    </row>
    <row r="17" spans="2:26" x14ac:dyDescent="0.2">
      <c r="B17" s="163" t="s">
        <v>72</v>
      </c>
      <c r="C17" s="163" t="s">
        <v>7</v>
      </c>
      <c r="D17" s="162">
        <v>34.5</v>
      </c>
      <c r="E17" s="162">
        <v>32.6</v>
      </c>
      <c r="F17" s="110">
        <f t="shared" si="4"/>
        <v>98.069276921344439</v>
      </c>
      <c r="G17" s="7"/>
      <c r="H17" s="110">
        <f t="shared" ca="1" si="13"/>
        <v>415.30469757994507</v>
      </c>
      <c r="I17" s="110">
        <f t="shared" ca="1" si="0"/>
        <v>439.99999999999994</v>
      </c>
      <c r="J17" s="110">
        <f t="shared" ca="1" si="5"/>
        <v>100.00000000000007</v>
      </c>
      <c r="K17" s="110">
        <f t="shared" ca="1" si="6"/>
        <v>1.9307230786556318</v>
      </c>
      <c r="M17" s="110">
        <f t="shared" ca="1" si="1"/>
        <v>416.26536455926225</v>
      </c>
      <c r="N17" s="110">
        <f t="shared" ca="1" si="1"/>
        <v>439.99999999999989</v>
      </c>
      <c r="O17" s="110">
        <f t="shared" ca="1" si="7"/>
        <v>95.999999999999474</v>
      </c>
      <c r="P17" s="110">
        <f t="shared" ca="1" si="8"/>
        <v>-2.0692769213449651</v>
      </c>
      <c r="R17" s="110">
        <f t="shared" ca="1" si="2"/>
        <v>416.24372555058881</v>
      </c>
      <c r="S17" s="110">
        <f t="shared" ca="1" si="2"/>
        <v>440.00000000000011</v>
      </c>
      <c r="T17" s="110">
        <f t="shared" ca="1" si="9"/>
        <v>96.089998269225319</v>
      </c>
      <c r="U17" s="110">
        <f t="shared" ca="1" si="10"/>
        <v>-1.9792786521191204</v>
      </c>
      <c r="W17" s="110">
        <f t="shared" ca="1" si="3"/>
        <v>414.83597829610801</v>
      </c>
      <c r="X17" s="110">
        <f t="shared" ca="1" si="3"/>
        <v>440.00000000000011</v>
      </c>
      <c r="Y17" s="110">
        <f t="shared" ca="1" si="11"/>
        <v>101.95500086538728</v>
      </c>
      <c r="Z17" s="110">
        <f t="shared" ca="1" si="12"/>
        <v>3.8857239440428373</v>
      </c>
    </row>
    <row r="18" spans="2:26" x14ac:dyDescent="0.2">
      <c r="B18" s="163" t="s">
        <v>7</v>
      </c>
      <c r="C18" s="163" t="s">
        <v>73</v>
      </c>
      <c r="D18" s="162">
        <v>32.6</v>
      </c>
      <c r="E18" s="162">
        <v>30.75</v>
      </c>
      <c r="F18" s="110">
        <f t="shared" si="4"/>
        <v>101.1426648053706</v>
      </c>
      <c r="G18" s="7"/>
      <c r="H18" s="110">
        <f t="shared" ca="1" si="13"/>
        <v>439.99999999999994</v>
      </c>
      <c r="I18" s="110">
        <f t="shared" ca="1" si="0"/>
        <v>466.16376151808987</v>
      </c>
      <c r="J18" s="110">
        <f t="shared" ca="1" si="5"/>
        <v>100.00000000000007</v>
      </c>
      <c r="K18" s="110">
        <f t="shared" ca="1" si="6"/>
        <v>-1.1426648053705293</v>
      </c>
      <c r="M18" s="110">
        <f t="shared" ca="1" si="1"/>
        <v>439.99999999999989</v>
      </c>
      <c r="N18" s="110">
        <f t="shared" ca="1" si="1"/>
        <v>466.70260620201543</v>
      </c>
      <c r="O18" s="110">
        <f t="shared" ca="1" si="7"/>
        <v>102.00000000000047</v>
      </c>
      <c r="P18" s="110">
        <f t="shared" ca="1" si="8"/>
        <v>0.85733519462986862</v>
      </c>
      <c r="R18" s="110">
        <f t="shared" ca="1" si="2"/>
        <v>440.00000000000011</v>
      </c>
      <c r="S18" s="110">
        <f t="shared" ca="1" si="2"/>
        <v>467.2177847774384</v>
      </c>
      <c r="T18" s="110">
        <f t="shared" ca="1" si="9"/>
        <v>103.91000173077481</v>
      </c>
      <c r="U18" s="110">
        <f t="shared" ca="1" si="10"/>
        <v>2.7673369254042086</v>
      </c>
      <c r="W18" s="110">
        <f t="shared" ca="1" si="3"/>
        <v>440.00000000000011</v>
      </c>
      <c r="X18" s="110">
        <f t="shared" ca="1" si="3"/>
        <v>466.69047558312155</v>
      </c>
      <c r="Y18" s="110">
        <f t="shared" ca="1" si="11"/>
        <v>101.95500086538762</v>
      </c>
      <c r="Z18" s="110">
        <f t="shared" ca="1" si="12"/>
        <v>0.8123360600170173</v>
      </c>
    </row>
    <row r="19" spans="2:26" x14ac:dyDescent="0.2">
      <c r="B19" s="163" t="s">
        <v>73</v>
      </c>
      <c r="C19" s="163" t="s">
        <v>8</v>
      </c>
      <c r="D19" s="162">
        <v>30.75</v>
      </c>
      <c r="E19" s="162">
        <v>29</v>
      </c>
      <c r="F19" s="110">
        <f t="shared" si="4"/>
        <v>101.44021225400124</v>
      </c>
      <c r="G19" s="7"/>
      <c r="H19" s="110">
        <f t="shared" ca="1" si="13"/>
        <v>466.16376151808987</v>
      </c>
      <c r="I19" s="110">
        <f t="shared" ca="1" si="0"/>
        <v>493.88330125612407</v>
      </c>
      <c r="J19" s="110">
        <f t="shared" ca="1" si="5"/>
        <v>100.00000000000007</v>
      </c>
      <c r="K19" s="110">
        <f t="shared" ca="1" si="6"/>
        <v>-1.4402122540011675</v>
      </c>
      <c r="M19" s="110">
        <f t="shared" ca="1" si="1"/>
        <v>466.70260620201543</v>
      </c>
      <c r="N19" s="110">
        <f t="shared" ca="1" si="1"/>
        <v>493.31307433254386</v>
      </c>
      <c r="O19" s="110">
        <f t="shared" ca="1" si="7"/>
        <v>95.999999999999815</v>
      </c>
      <c r="P19" s="110">
        <f t="shared" ca="1" si="8"/>
        <v>-5.4402122540014233</v>
      </c>
      <c r="R19" s="110">
        <f t="shared" ca="1" si="2"/>
        <v>467.2177847774384</v>
      </c>
      <c r="S19" s="110">
        <f t="shared" ca="1" si="2"/>
        <v>494.44133536930508</v>
      </c>
      <c r="T19" s="110">
        <f t="shared" ca="1" si="9"/>
        <v>98.044999134612695</v>
      </c>
      <c r="U19" s="110">
        <f t="shared" ca="1" si="10"/>
        <v>-3.3952131193885435</v>
      </c>
      <c r="W19" s="110">
        <f t="shared" ca="1" si="3"/>
        <v>466.69047558312155</v>
      </c>
      <c r="X19" s="110">
        <f t="shared" ca="1" si="3"/>
        <v>492.76912173666165</v>
      </c>
      <c r="Y19" s="110">
        <f t="shared" ca="1" si="11"/>
        <v>94.134997403837588</v>
      </c>
      <c r="Z19" s="110">
        <f t="shared" ca="1" si="12"/>
        <v>-7.3052148501636509</v>
      </c>
    </row>
    <row r="20" spans="2:26" x14ac:dyDescent="0.2">
      <c r="B20" s="163" t="s">
        <v>8</v>
      </c>
      <c r="C20" s="163" t="s">
        <v>78</v>
      </c>
      <c r="D20" s="162">
        <v>29</v>
      </c>
      <c r="E20" s="162">
        <v>27.4</v>
      </c>
      <c r="F20" s="110">
        <f t="shared" si="4"/>
        <v>98.252408465289562</v>
      </c>
      <c r="G20" s="7"/>
      <c r="H20" s="110">
        <f t="shared" ca="1" si="13"/>
        <v>493.88330125612407</v>
      </c>
      <c r="I20" s="110">
        <f t="shared" ca="1" si="0"/>
        <v>523.25113060119725</v>
      </c>
      <c r="J20" s="110">
        <f t="shared" ca="1" si="5"/>
        <v>100.00000000000007</v>
      </c>
      <c r="K20" s="110">
        <f t="shared" ca="1" si="6"/>
        <v>1.7475915347105087</v>
      </c>
      <c r="M20" s="110">
        <f t="shared" ca="1" si="1"/>
        <v>493.31307433254386</v>
      </c>
      <c r="N20" s="110">
        <f t="shared" ca="1" si="1"/>
        <v>525.06772693395772</v>
      </c>
      <c r="O20" s="110">
        <f t="shared" ca="1" si="7"/>
        <v>108.00000000000021</v>
      </c>
      <c r="P20" s="110">
        <f t="shared" ca="1" si="8"/>
        <v>9.7475915347106508</v>
      </c>
      <c r="R20" s="110">
        <f t="shared" ca="1" si="2"/>
        <v>494.44133536930508</v>
      </c>
      <c r="S20" s="110">
        <f t="shared" ca="1" si="2"/>
        <v>524.43423170785138</v>
      </c>
      <c r="T20" s="110">
        <f t="shared" ca="1" si="9"/>
        <v>101.95500086538762</v>
      </c>
      <c r="U20" s="110">
        <f t="shared" ca="1" si="10"/>
        <v>3.7025924000980552</v>
      </c>
      <c r="W20" s="110">
        <f t="shared" ca="1" si="3"/>
        <v>492.76912173666165</v>
      </c>
      <c r="X20" s="110">
        <f t="shared" ca="1" si="3"/>
        <v>525.02678503101174</v>
      </c>
      <c r="Y20" s="110">
        <f t="shared" ca="1" si="11"/>
        <v>109.77500432693741</v>
      </c>
      <c r="Z20" s="110">
        <f t="shared" ca="1" si="12"/>
        <v>11.522595861647844</v>
      </c>
    </row>
    <row r="21" spans="2:26" x14ac:dyDescent="0.2">
      <c r="B21" s="163" t="s">
        <v>2</v>
      </c>
      <c r="C21" s="163" t="s">
        <v>74</v>
      </c>
      <c r="D21" s="162">
        <v>27.4</v>
      </c>
      <c r="E21" s="162">
        <v>25.85</v>
      </c>
      <c r="F21" s="110">
        <f t="shared" si="4"/>
        <v>100.81393517471032</v>
      </c>
      <c r="G21" s="7"/>
      <c r="H21" s="110">
        <f t="shared" ca="1" si="13"/>
        <v>261.62556530059862</v>
      </c>
      <c r="I21" s="110">
        <f t="shared" ca="1" si="0"/>
        <v>277.18263097687208</v>
      </c>
      <c r="J21" s="110">
        <f t="shared" ca="1" si="5"/>
        <v>100.00000000000007</v>
      </c>
      <c r="K21" s="110">
        <f t="shared" ca="1" si="6"/>
        <v>-0.81393517471025234</v>
      </c>
      <c r="M21" s="110">
        <f t="shared" ca="1" si="1"/>
        <v>262.5338634669788</v>
      </c>
      <c r="N21" s="110">
        <f t="shared" ca="1" si="1"/>
        <v>277.50302994287489</v>
      </c>
      <c r="O21" s="110">
        <f t="shared" ca="1" si="7"/>
        <v>95.999999999999815</v>
      </c>
      <c r="P21" s="110">
        <f t="shared" ca="1" si="8"/>
        <v>-4.8139351747105081</v>
      </c>
      <c r="R21" s="110">
        <f t="shared" ca="1" si="2"/>
        <v>262.21711585392563</v>
      </c>
      <c r="S21" s="110">
        <f t="shared" ca="1" si="2"/>
        <v>277.49581703372587</v>
      </c>
      <c r="T21" s="110">
        <f t="shared" ca="1" si="9"/>
        <v>98.044999134612695</v>
      </c>
      <c r="U21" s="110">
        <f t="shared" ca="1" si="10"/>
        <v>-2.7689360400976284</v>
      </c>
      <c r="W21" s="110">
        <f t="shared" ca="1" si="3"/>
        <v>262.51339251550581</v>
      </c>
      <c r="X21" s="110">
        <f t="shared" ca="1" si="3"/>
        <v>276.55731886407199</v>
      </c>
      <c r="Y21" s="110">
        <f t="shared" ca="1" si="11"/>
        <v>90.224995673063063</v>
      </c>
      <c r="Z21" s="110">
        <f t="shared" ca="1" si="12"/>
        <v>-10.58893950164726</v>
      </c>
    </row>
    <row r="22" spans="2:26" x14ac:dyDescent="0.2">
      <c r="B22" s="163" t="s">
        <v>74</v>
      </c>
      <c r="C22" s="163" t="s">
        <v>3</v>
      </c>
      <c r="D22" s="162">
        <v>25.85</v>
      </c>
      <c r="E22" s="162">
        <v>24.4</v>
      </c>
      <c r="F22" s="110">
        <f t="shared" si="4"/>
        <v>99.93975930245827</v>
      </c>
      <c r="G22" s="7"/>
      <c r="H22" s="110">
        <f t="shared" ca="1" si="13"/>
        <v>277.18263097687208</v>
      </c>
      <c r="I22" s="110">
        <f ca="1">VLOOKUP(C22,INDIRECT("'"&amp;$H$3&amp;"'!Master_Frequencies"),2,FALSE)</f>
        <v>293.66476791740757</v>
      </c>
      <c r="J22" s="110">
        <f t="shared" ca="1" si="5"/>
        <v>100.00000000000007</v>
      </c>
      <c r="K22" s="110">
        <f t="shared" ca="1" si="6"/>
        <v>6.0240697541800614E-2</v>
      </c>
      <c r="M22" s="110">
        <f t="shared" ca="1" si="1"/>
        <v>277.50302994287489</v>
      </c>
      <c r="N22" s="110">
        <f t="shared" ca="1" si="1"/>
        <v>293.32570896006365</v>
      </c>
      <c r="O22" s="110">
        <f t="shared" ca="1" si="7"/>
        <v>95.999999999999815</v>
      </c>
      <c r="P22" s="110">
        <f t="shared" ca="1" si="8"/>
        <v>-3.9397593024584552</v>
      </c>
      <c r="R22" s="110">
        <f t="shared" ca="1" si="2"/>
        <v>277.49581703372587</v>
      </c>
      <c r="S22" s="110">
        <f t="shared" ca="1" si="2"/>
        <v>293.66476791740763</v>
      </c>
      <c r="T22" s="110">
        <f t="shared" ca="1" si="9"/>
        <v>98.044999134612695</v>
      </c>
      <c r="U22" s="110">
        <f t="shared" ca="1" si="10"/>
        <v>-1.8947601678455754</v>
      </c>
      <c r="W22" s="110">
        <f t="shared" ca="1" si="3"/>
        <v>276.55731886407199</v>
      </c>
      <c r="X22" s="110">
        <f t="shared" ca="1" si="3"/>
        <v>293.99657698631205</v>
      </c>
      <c r="Y22" s="110">
        <f t="shared" ca="1" si="11"/>
        <v>105.86500259616219</v>
      </c>
      <c r="Z22" s="110">
        <f t="shared" ca="1" si="12"/>
        <v>5.9252432937039146</v>
      </c>
    </row>
    <row r="23" spans="2:26" x14ac:dyDescent="0.2">
      <c r="B23" s="163" t="s">
        <v>3</v>
      </c>
      <c r="C23" s="163" t="s">
        <v>76</v>
      </c>
      <c r="D23" s="162">
        <v>24.4</v>
      </c>
      <c r="E23" s="162">
        <v>23</v>
      </c>
      <c r="F23" s="110">
        <f t="shared" si="4"/>
        <v>102.29674394221307</v>
      </c>
      <c r="G23" s="7"/>
      <c r="H23" s="110">
        <f t="shared" ca="1" si="13"/>
        <v>293.66476791740757</v>
      </c>
      <c r="I23" s="110">
        <f ca="1">VLOOKUP(C23,INDIRECT("'"&amp;$H$3&amp;"'!Master_Frequencies"),2,FALSE)</f>
        <v>311.12698372208087</v>
      </c>
      <c r="J23" s="110">
        <f t="shared" ca="1" si="5"/>
        <v>99.99999999999973</v>
      </c>
      <c r="K23" s="110">
        <f t="shared" ca="1" si="6"/>
        <v>-2.2967439422133396</v>
      </c>
      <c r="M23" s="110">
        <f t="shared" ca="1" si="1"/>
        <v>293.32570896006365</v>
      </c>
      <c r="N23" s="110">
        <f t="shared" ca="1" si="1"/>
        <v>311.12698372208087</v>
      </c>
      <c r="O23" s="110">
        <f t="shared" ca="1" si="7"/>
        <v>102.00000000000013</v>
      </c>
      <c r="P23" s="110">
        <f t="shared" ca="1" si="8"/>
        <v>-0.29674394221294165</v>
      </c>
      <c r="R23" s="110">
        <f t="shared" ca="1" si="2"/>
        <v>293.66476791740763</v>
      </c>
      <c r="S23" s="110">
        <f t="shared" ca="1" si="2"/>
        <v>311.83045984898121</v>
      </c>
      <c r="T23" s="110">
        <f t="shared" ca="1" si="9"/>
        <v>103.91000173077481</v>
      </c>
      <c r="U23" s="110">
        <f t="shared" ca="1" si="10"/>
        <v>1.6132577885617394</v>
      </c>
      <c r="W23" s="110">
        <f t="shared" ca="1" si="3"/>
        <v>293.99657698631205</v>
      </c>
      <c r="X23" s="110">
        <f t="shared" ca="1" si="3"/>
        <v>311.12698372208104</v>
      </c>
      <c r="Y23" s="110">
        <f t="shared" ca="1" si="11"/>
        <v>98.044999134612695</v>
      </c>
      <c r="Z23" s="110">
        <f t="shared" ca="1" si="12"/>
        <v>-4.2517448076003745</v>
      </c>
    </row>
    <row r="24" spans="2:26" x14ac:dyDescent="0.2">
      <c r="B24" s="163" t="s">
        <v>76</v>
      </c>
      <c r="C24" s="163" t="s">
        <v>4</v>
      </c>
      <c r="D24" s="162">
        <v>23</v>
      </c>
      <c r="E24" s="162">
        <v>21.7</v>
      </c>
      <c r="F24" s="110">
        <f t="shared" si="4"/>
        <v>100.72658219987521</v>
      </c>
      <c r="H24" s="110">
        <f t="shared" ca="1" si="13"/>
        <v>311.12698372208087</v>
      </c>
      <c r="I24" s="110">
        <f t="shared" ca="1" si="13"/>
        <v>329.62755691286992</v>
      </c>
      <c r="J24" s="110">
        <f t="shared" ca="1" si="5"/>
        <v>100.00000000000007</v>
      </c>
      <c r="K24" s="110">
        <f t="shared" ca="1" si="6"/>
        <v>-0.72658219987513917</v>
      </c>
      <c r="M24" s="110">
        <f t="shared" ref="M24:N24" ca="1" si="14">VLOOKUP(B24,INDIRECT("'"&amp;$M$3&amp;"'!Master_Frequencies"),2,FALSE)</f>
        <v>311.12698372208087</v>
      </c>
      <c r="N24" s="110">
        <f t="shared" ca="1" si="14"/>
        <v>330.00857764287997</v>
      </c>
      <c r="O24" s="110">
        <f t="shared" ca="1" si="7"/>
        <v>102.00000000000013</v>
      </c>
      <c r="P24" s="110">
        <f t="shared" ca="1" si="8"/>
        <v>1.2734178001249177</v>
      </c>
      <c r="R24" s="110">
        <f t="shared" ref="R24:S24" ca="1" si="15">VLOOKUP(B24,INDIRECT("'"&amp;$R$3&amp;"'!Master_Frequencies"),2,FALSE)</f>
        <v>311.83045984898121</v>
      </c>
      <c r="S24" s="110">
        <f t="shared" ca="1" si="15"/>
        <v>330.00000000000011</v>
      </c>
      <c r="T24" s="110">
        <f t="shared" ca="1" si="9"/>
        <v>98.044999134612695</v>
      </c>
      <c r="U24" s="110">
        <f t="shared" ca="1" si="10"/>
        <v>-2.6815830652625152</v>
      </c>
      <c r="W24" s="110">
        <f t="shared" ref="W24:X24" ca="1" si="16">VLOOKUP(B24,INDIRECT("'"&amp;$W$3&amp;"'!Master_Frequencies"),2,FALSE)</f>
        <v>311.12698372208104</v>
      </c>
      <c r="X24" s="110">
        <f t="shared" ca="1" si="16"/>
        <v>329.25553417074951</v>
      </c>
      <c r="Y24" s="110">
        <f t="shared" ca="1" si="11"/>
        <v>98.044999134612354</v>
      </c>
      <c r="Z24" s="110">
        <f t="shared" ca="1" si="12"/>
        <v>-2.6815830652628563</v>
      </c>
    </row>
    <row r="25" spans="2:26" x14ac:dyDescent="0.2">
      <c r="B25" s="119"/>
      <c r="C25" s="119"/>
      <c r="H25" s="288" t="str">
        <f ca="1">_xlfn.CONCAT($F$5," vs. ",H4)</f>
        <v>Guitar, Modern Fret Size cents vs. Equal Temperament</v>
      </c>
      <c r="I25" s="288"/>
      <c r="J25" s="288"/>
      <c r="K25" s="288"/>
      <c r="M25" s="278" t="str">
        <f ca="1">_xlfn.CONCAT($F$5," vs. ",M4)</f>
        <v>Guitar, Modern Fret Size cents vs. Bendeler 3</v>
      </c>
      <c r="N25" s="278"/>
      <c r="O25" s="278"/>
      <c r="P25" s="278"/>
      <c r="Q25" s="117"/>
      <c r="R25" s="288" t="str">
        <f ca="1">_xlfn.CONCAT($F$5," vs. ",R4)</f>
        <v>Guitar, Modern Fret Size cents vs. Neidhardt 3</v>
      </c>
      <c r="S25" s="288"/>
      <c r="T25" s="288"/>
      <c r="U25" s="288"/>
      <c r="W25" s="288" t="str">
        <f ca="1">_xlfn.CONCAT($F$5," vs. ",W4)</f>
        <v>Guitar, Modern Fret Size cents vs. Vallotti-Young</v>
      </c>
      <c r="X25" s="288"/>
      <c r="Y25" s="288"/>
      <c r="Z25" s="288"/>
    </row>
    <row r="26" spans="2:26" x14ac:dyDescent="0.2">
      <c r="B26" s="80" t="s">
        <v>63</v>
      </c>
      <c r="J26" s="119" t="s">
        <v>94</v>
      </c>
      <c r="K26" s="110">
        <f ca="1">SQRT(SUMSQ(K6:K24)/COUNT(K6:K24))</f>
        <v>1.0840537554772209</v>
      </c>
      <c r="O26" s="119" t="s">
        <v>94</v>
      </c>
      <c r="P26" s="110">
        <f ca="1">SQRT(SUMSQ(P6:P24)/COUNT(P6:P24))</f>
        <v>4.0140677353197116</v>
      </c>
      <c r="T26" s="119" t="s">
        <v>94</v>
      </c>
      <c r="U26" s="110">
        <f ca="1">SQRT(SUMSQ(U6:U24)/COUNT(U6:U24))</f>
        <v>2.5986237967493326</v>
      </c>
      <c r="Y26" s="119" t="s">
        <v>94</v>
      </c>
      <c r="Z26" s="110">
        <f ca="1">SQRT(SUMSQ(Z6:Z24)/COUNT(Z6:Z24))</f>
        <v>6.8104724202872466</v>
      </c>
    </row>
    <row r="27" spans="2:26" x14ac:dyDescent="0.2">
      <c r="B27" s="286"/>
      <c r="C27" s="286"/>
      <c r="D27" s="286"/>
      <c r="E27" s="286"/>
      <c r="X27" s="7"/>
    </row>
    <row r="29" spans="2:26" ht="19" x14ac:dyDescent="0.2">
      <c r="D29" s="7"/>
      <c r="N29" s="120"/>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D37" s="7"/>
      <c r="P37" s="7"/>
      <c r="R37" s="7"/>
    </row>
    <row r="38" spans="4:18" x14ac:dyDescent="0.2">
      <c r="D38" s="7"/>
      <c r="P38" s="7"/>
      <c r="R38" s="7"/>
    </row>
    <row r="39" spans="4:18" x14ac:dyDescent="0.2">
      <c r="D39" s="7"/>
      <c r="P39" s="7"/>
      <c r="R39" s="7"/>
    </row>
    <row r="40" spans="4:18" x14ac:dyDescent="0.2">
      <c r="D40" s="7"/>
      <c r="P40" s="7"/>
      <c r="R40" s="7"/>
    </row>
    <row r="41" spans="4:18" x14ac:dyDescent="0.2">
      <c r="P41" s="7"/>
      <c r="R41" s="7"/>
    </row>
  </sheetData>
  <sheetProtection sheet="1" scenarios="1" formatCells="0"/>
  <mergeCells count="15">
    <mergeCell ref="W3:Z3"/>
    <mergeCell ref="B1:H1"/>
    <mergeCell ref="B3:E3"/>
    <mergeCell ref="H3:K3"/>
    <mergeCell ref="M3:P3"/>
    <mergeCell ref="R3:U3"/>
    <mergeCell ref="B27:E27"/>
    <mergeCell ref="H4:K4"/>
    <mergeCell ref="M4:P4"/>
    <mergeCell ref="R4:U4"/>
    <mergeCell ref="W4:Z4"/>
    <mergeCell ref="H25:K25"/>
    <mergeCell ref="M25:P25"/>
    <mergeCell ref="R25:U25"/>
    <mergeCell ref="W25:Z25"/>
  </mergeCells>
  <conditionalFormatting sqref="A1:XFD1048576">
    <cfRule type="expression" dxfId="131" priority="1">
      <formula>CELL("protect",A1)=0</formula>
    </cfRule>
  </conditionalFormatting>
  <conditionalFormatting sqref="A5:XFD24 B28:F36 G28:G40 I28:L40 C37:F37 B38:F40 B41:L1048576">
    <cfRule type="expression" dxfId="130" priority="2">
      <formula>_xlfn.ISFORMULA(A5)</formula>
    </cfRule>
  </conditionalFormatting>
  <conditionalFormatting sqref="B3:B4 F3:H4 L3:M4 Q3:R4 V3:W4 AA3:XFD4 L25:M25 R25 B25:H26 V25:W26 AA25:XFD26 J26:M26 O26:R26 T26:U26 Y26:Z26 B27 F27:L27 M27:Q28 R27:XFD1048576 M29 O29:Q29 M30:Q1048576">
    <cfRule type="expression" dxfId="129" priority="3">
      <formula>_xlfn.ISFORMULA(B3)</formula>
    </cfRule>
  </conditionalFormatting>
  <hyperlinks>
    <hyperlink ref="B26" location="Overview!A1" display="Back to Overview" xr:uid="{1B16D77F-5A81-8E44-9D2E-C8CFC7D73DDF}"/>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E69D-5D80-D143-B03B-63FCD2EDF34B}">
  <sheetPr>
    <tabColor theme="9" tint="0.59999389629810485"/>
  </sheetPr>
  <dimension ref="A1:Z35"/>
  <sheetViews>
    <sheetView workbookViewId="0"/>
  </sheetViews>
  <sheetFormatPr baseColWidth="10" defaultColWidth="12" defaultRowHeight="16" x14ac:dyDescent="0.2"/>
  <cols>
    <col min="1" max="1" width="2.83203125" style="110" customWidth="1"/>
    <col min="2" max="6" width="12" style="110"/>
    <col min="7" max="7" width="12.1640625" style="110" customWidth="1"/>
    <col min="8" max="8" width="15.5" style="110" customWidth="1"/>
    <col min="9"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558</v>
      </c>
      <c r="C1" s="289"/>
      <c r="D1" s="289"/>
      <c r="E1" s="289"/>
      <c r="F1" s="289"/>
      <c r="G1" s="289"/>
      <c r="H1" s="69"/>
      <c r="M1" s="111" t="s">
        <v>481</v>
      </c>
    </row>
    <row r="3" spans="1:26" s="112" customFormat="1" x14ac:dyDescent="0.2">
      <c r="B3" s="290" t="s">
        <v>59</v>
      </c>
      <c r="C3" s="290"/>
      <c r="D3" s="291"/>
      <c r="E3" s="290"/>
      <c r="H3" s="292" t="s">
        <v>24</v>
      </c>
      <c r="I3" s="292"/>
      <c r="J3" s="292"/>
      <c r="K3" s="292"/>
      <c r="M3" s="292" t="s">
        <v>58</v>
      </c>
      <c r="N3" s="292"/>
      <c r="O3" s="292"/>
      <c r="P3" s="292"/>
      <c r="R3" s="292" t="s">
        <v>528</v>
      </c>
      <c r="S3" s="292"/>
      <c r="T3" s="292"/>
      <c r="U3" s="292"/>
      <c r="W3" s="292" t="s">
        <v>158</v>
      </c>
      <c r="X3" s="292"/>
      <c r="Y3" s="292"/>
      <c r="Z3" s="292"/>
    </row>
    <row r="4" spans="1:26" s="112" customFormat="1" x14ac:dyDescent="0.2">
      <c r="B4" s="113"/>
      <c r="C4" s="113"/>
      <c r="D4" s="113"/>
      <c r="E4" s="113"/>
      <c r="H4" s="287" t="str" cm="1">
        <f t="array" aca="1" ref="H4" ca="1">INDIRECT("'"&amp;H3&amp;"'!B1")</f>
        <v>Werckmeister III</v>
      </c>
      <c r="I4" s="287"/>
      <c r="J4" s="287"/>
      <c r="K4" s="287"/>
      <c r="M4" s="287" t="str" cm="1">
        <f t="array" aca="1" ref="M4" ca="1">INDIRECT("'"&amp;M3&amp;"'!B1")</f>
        <v>Meantone Quarter Comma</v>
      </c>
      <c r="N4" s="287"/>
      <c r="O4" s="287"/>
      <c r="P4" s="287"/>
      <c r="R4" s="287" t="str" cm="1">
        <f t="array" aca="1" ref="R4" ca="1">INDIRECT("'"&amp;R3&amp;"'!B1")</f>
        <v>Vallotti-Young</v>
      </c>
      <c r="S4" s="287"/>
      <c r="T4" s="287"/>
      <c r="U4" s="287"/>
      <c r="W4" s="287" t="str" cm="1">
        <f t="array" aca="1" ref="W4" ca="1">INDIRECT("'"&amp;W3&amp;"'!B1")</f>
        <v>Equal Temperament</v>
      </c>
      <c r="X4" s="287"/>
      <c r="Y4" s="287"/>
      <c r="Z4" s="287"/>
    </row>
    <row r="5" spans="1:26" s="115" customFormat="1" ht="85" x14ac:dyDescent="0.2">
      <c r="B5" s="116" t="s">
        <v>56</v>
      </c>
      <c r="C5" s="116" t="s">
        <v>57</v>
      </c>
      <c r="D5" s="115" t="s">
        <v>25</v>
      </c>
      <c r="E5" s="115" t="s">
        <v>26</v>
      </c>
      <c r="F5" s="115" t="str" cm="1">
        <f t="array" aca="1" ref="F5" ca="1">_xlfn.CONCAT(_xlfn.TEXTAFTER(CELL("filename",B3),"]")," Fret Size cents")</f>
        <v>Tournay-Kather Tannenberg, 1992 Fret Size cents</v>
      </c>
      <c r="H5" s="115" t="str">
        <f>_xlfn.CONCAT(H3," Frequency 1")</f>
        <v>Werckmeister III Frequency 1</v>
      </c>
      <c r="I5" s="115" t="str">
        <f>_xlfn.CONCAT(H3," Frequency 2")</f>
        <v>Werckmeister III Frequency 2</v>
      </c>
      <c r="J5" s="115" t="s">
        <v>472</v>
      </c>
      <c r="K5" s="115" t="s">
        <v>473</v>
      </c>
      <c r="M5" s="115" t="str">
        <f>_xlfn.CONCAT(M3," Frequency 1")</f>
        <v>Meantone q. comma Frequency 1</v>
      </c>
      <c r="N5" s="115" t="str">
        <f>_xlfn.CONCAT(M3," Frequency 2")</f>
        <v>Meantone q. comma Frequency 2</v>
      </c>
      <c r="O5" s="115" t="s">
        <v>472</v>
      </c>
      <c r="P5" s="115" t="s">
        <v>473</v>
      </c>
      <c r="R5" s="115" t="str">
        <f>_xlfn.CONCAT(R3," Frequency 1")</f>
        <v>Vallotti-Young Frequency 1</v>
      </c>
      <c r="S5" s="115" t="str">
        <f>_xlfn.CONCAT(R3," Frequency 2")</f>
        <v>Vallotti-Young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78" t="s">
        <v>5</v>
      </c>
      <c r="C6" s="163" t="s">
        <v>70</v>
      </c>
      <c r="D6" s="162">
        <v>758.5</v>
      </c>
      <c r="E6" s="162">
        <v>719</v>
      </c>
      <c r="F6" s="110">
        <f>1200*LOG(D6/E6,2)</f>
        <v>92.588891769282768</v>
      </c>
      <c r="H6" s="110">
        <f t="shared" ref="H6:I18" ca="1" si="0">VLOOKUP(B6,INDIRECT("'"&amp;$H$3&amp;"'!Master_Frequencies"),2,FALSE)</f>
        <v>351.20564343330932</v>
      </c>
      <c r="I6" s="110">
        <f ca="1">VLOOKUP(C6,INDIRECT("'"&amp;$H$3&amp;"'!Master_Frequencies"),2,FALSE)</f>
        <v>369.99442271163451</v>
      </c>
      <c r="J6" s="110">
        <f ca="1">LOG(I6/H6,2)*1200</f>
        <v>90.224995673063063</v>
      </c>
      <c r="K6" s="110">
        <f ca="1">J6-F6</f>
        <v>-2.3638960962197046</v>
      </c>
      <c r="M6" s="110">
        <f t="shared" ref="M6:N18" ca="1" si="1">VLOOKUP(B6,INDIRECT("'"&amp;$M$3&amp;"'!Master_Frequencies"),2,FALSE)</f>
        <v>343.75000000000006</v>
      </c>
      <c r="N6" s="110">
        <f t="shared" ca="1" si="1"/>
        <v>367.80716773703227</v>
      </c>
      <c r="O6" s="110">
        <f ca="1">LOG(N6/M6,2)*1200</f>
        <v>117.10785766895694</v>
      </c>
      <c r="P6" s="110">
        <f ca="1">O6-F6</f>
        <v>24.518965899674171</v>
      </c>
      <c r="R6" s="110">
        <f t="shared" ref="R6:S18" ca="1" si="2">VLOOKUP(B6,INDIRECT("'"&amp;$R$3&amp;"'!Master_Frequencies"),2,FALSE)</f>
        <v>350.01785668734118</v>
      </c>
      <c r="S6" s="110">
        <f t="shared" ca="1" si="2"/>
        <v>368.74309181876265</v>
      </c>
      <c r="T6" s="110">
        <f ca="1">LOG(S6/R6,2)*1200</f>
        <v>90.224995673062693</v>
      </c>
      <c r="U6" s="110">
        <f ca="1">T6-F6</f>
        <v>-2.3638960962200741</v>
      </c>
      <c r="W6" s="110">
        <f t="shared" ref="W6:X18" ca="1" si="3">VLOOKUP(B6,INDIRECT("'"&amp;$W$3&amp;"'!Master_Frequencies"),2,FALSE)</f>
        <v>349.22823143300388</v>
      </c>
      <c r="X6" s="110">
        <f t="shared" ca="1" si="3"/>
        <v>369.9944227116344</v>
      </c>
      <c r="Y6" s="110">
        <f ca="1">LOG(X6/W6,2)*1200</f>
        <v>100.00000000000007</v>
      </c>
      <c r="Z6" s="110">
        <f ca="1">Y6-F6</f>
        <v>7.4111082307173035</v>
      </c>
    </row>
    <row r="7" spans="1:26" x14ac:dyDescent="0.2">
      <c r="B7" s="178" t="s">
        <v>6</v>
      </c>
      <c r="C7" s="163" t="s">
        <v>72</v>
      </c>
      <c r="D7" s="162">
        <v>687</v>
      </c>
      <c r="E7" s="162">
        <v>650.5</v>
      </c>
      <c r="F7" s="110">
        <f t="shared" ref="F7:F18" si="4">1200*LOG(D7/E7,2)</f>
        <v>94.513250520365517</v>
      </c>
      <c r="H7" s="110">
        <f t="shared" ca="1" si="0"/>
        <v>393.77008877325875</v>
      </c>
      <c r="I7" s="110">
        <f t="shared" ca="1" si="0"/>
        <v>416.24372555058881</v>
      </c>
      <c r="J7" s="110">
        <f t="shared" ref="J7:J18" ca="1" si="5">LOG(I7/H7,2)*1200</f>
        <v>96.089998269225319</v>
      </c>
      <c r="K7" s="110">
        <f t="shared" ref="K7:K18" ca="1" si="6">J7-F7</f>
        <v>1.5767477488598018</v>
      </c>
      <c r="M7" s="110">
        <f t="shared" ca="1" si="1"/>
        <v>393.54796403996318</v>
      </c>
      <c r="N7" s="110">
        <f t="shared" ca="1" si="1"/>
        <v>411.2209148358358</v>
      </c>
      <c r="O7" s="110">
        <f t="shared" ref="O7:O18" ca="1" si="7">LOG(N7/M7,2)*1200</f>
        <v>76.048999263460743</v>
      </c>
      <c r="P7" s="110">
        <f t="shared" ref="P7:P18" ca="1" si="8">O7-F7</f>
        <v>-18.464251256904774</v>
      </c>
      <c r="R7" s="110">
        <f t="shared" ca="1" si="2"/>
        <v>392.88176036212946</v>
      </c>
      <c r="S7" s="110">
        <f t="shared" ca="1" si="2"/>
        <v>414.83597829610801</v>
      </c>
      <c r="T7" s="110">
        <f t="shared" ref="T7:T18" ca="1" si="9">LOG(S7/R7,2)*1200</f>
        <v>94.134997403837943</v>
      </c>
      <c r="U7" s="110">
        <f t="shared" ref="U7:U18" ca="1" si="10">T7-F7</f>
        <v>-0.37825311652757421</v>
      </c>
      <c r="W7" s="110">
        <f t="shared" ca="1" si="3"/>
        <v>391.99543598174927</v>
      </c>
      <c r="X7" s="110">
        <f t="shared" ca="1" si="3"/>
        <v>415.30469757994507</v>
      </c>
      <c r="Y7" s="110">
        <f t="shared" ref="Y7:Y18" ca="1" si="11">LOG(X7/W7,2)*1200</f>
        <v>99.99999999999973</v>
      </c>
      <c r="Z7" s="110">
        <f t="shared" ref="Z7:Z18" ca="1" si="12">Y7-F7</f>
        <v>5.4867494796342129</v>
      </c>
    </row>
    <row r="8" spans="1:26" x14ac:dyDescent="0.2">
      <c r="B8" s="178" t="s">
        <v>73</v>
      </c>
      <c r="C8" s="163" t="s">
        <v>8</v>
      </c>
      <c r="D8" s="162">
        <v>580</v>
      </c>
      <c r="E8" s="162">
        <v>549</v>
      </c>
      <c r="F8" s="110">
        <f t="shared" si="4"/>
        <v>95.096101211682978</v>
      </c>
      <c r="H8" s="110">
        <f t="shared" ca="1" si="0"/>
        <v>468.27419124441241</v>
      </c>
      <c r="I8" s="110">
        <f t="shared" ca="1" si="0"/>
        <v>495.00000000000011</v>
      </c>
      <c r="J8" s="110">
        <f t="shared" ca="1" si="5"/>
        <v>96.089998269224949</v>
      </c>
      <c r="K8" s="110">
        <f t="shared" ca="1" si="6"/>
        <v>0.99389705754197166</v>
      </c>
      <c r="M8" s="110">
        <f t="shared" ca="1" si="1"/>
        <v>459.75895967129026</v>
      </c>
      <c r="N8" s="110">
        <f t="shared" ca="1" si="1"/>
        <v>491.93495504995394</v>
      </c>
      <c r="O8" s="110">
        <f t="shared" ca="1" si="7"/>
        <v>117.10785766895694</v>
      </c>
      <c r="P8" s="110">
        <f t="shared" ca="1" si="8"/>
        <v>22.011756457273961</v>
      </c>
      <c r="R8" s="110">
        <f t="shared" ca="1" si="2"/>
        <v>466.69047558312155</v>
      </c>
      <c r="S8" s="110">
        <f t="shared" ca="1" si="2"/>
        <v>492.76912173666165</v>
      </c>
      <c r="T8" s="110">
        <f t="shared" ca="1" si="9"/>
        <v>94.134997403837588</v>
      </c>
      <c r="U8" s="110">
        <f t="shared" ca="1" si="10"/>
        <v>-0.96110380784539018</v>
      </c>
      <c r="W8" s="110">
        <f t="shared" ca="1" si="3"/>
        <v>466.16376151808987</v>
      </c>
      <c r="X8" s="110">
        <f t="shared" ca="1" si="3"/>
        <v>493.88330125612407</v>
      </c>
      <c r="Y8" s="110">
        <f t="shared" ca="1" si="11"/>
        <v>100.00000000000007</v>
      </c>
      <c r="Z8" s="110">
        <f t="shared" ca="1" si="12"/>
        <v>4.9038987883170932</v>
      </c>
    </row>
    <row r="9" spans="1:26" x14ac:dyDescent="0.2">
      <c r="B9" s="178" t="s">
        <v>2</v>
      </c>
      <c r="C9" s="163" t="s">
        <v>74</v>
      </c>
      <c r="D9" s="162">
        <v>520.5</v>
      </c>
      <c r="E9" s="162">
        <v>494.5</v>
      </c>
      <c r="F9" s="110">
        <f t="shared" si="4"/>
        <v>88.713171048367684</v>
      </c>
      <c r="H9" s="110">
        <f t="shared" ca="1" si="0"/>
        <v>263.40423257498196</v>
      </c>
      <c r="I9" s="110">
        <f t="shared" ca="1" si="0"/>
        <v>277.49581703372587</v>
      </c>
      <c r="J9" s="110">
        <f t="shared" ca="1" si="5"/>
        <v>90.224995673063063</v>
      </c>
      <c r="K9" s="110">
        <f t="shared" ca="1" si="6"/>
        <v>1.5118246246953788</v>
      </c>
      <c r="M9" s="110">
        <f t="shared" ca="1" si="1"/>
        <v>263.18138549493494</v>
      </c>
      <c r="N9" s="110">
        <f t="shared" ca="1" si="1"/>
        <v>275.00000000000011</v>
      </c>
      <c r="O9" s="110">
        <f t="shared" ca="1" si="7"/>
        <v>76.048999263460743</v>
      </c>
      <c r="P9" s="110">
        <f t="shared" ca="1" si="8"/>
        <v>-12.664171784906941</v>
      </c>
      <c r="R9" s="110">
        <f t="shared" ca="1" si="2"/>
        <v>262.51339251550581</v>
      </c>
      <c r="S9" s="110">
        <f t="shared" ca="1" si="2"/>
        <v>276.55731886407199</v>
      </c>
      <c r="T9" s="110">
        <f t="shared" ca="1" si="9"/>
        <v>90.224995673063063</v>
      </c>
      <c r="U9" s="110">
        <f t="shared" ca="1" si="10"/>
        <v>1.5118246246953788</v>
      </c>
      <c r="W9" s="110">
        <f t="shared" ca="1" si="3"/>
        <v>261.62556530059862</v>
      </c>
      <c r="X9" s="110">
        <f t="shared" ca="1" si="3"/>
        <v>277.18263097687208</v>
      </c>
      <c r="Y9" s="110">
        <f t="shared" ca="1" si="11"/>
        <v>100.00000000000007</v>
      </c>
      <c r="Z9" s="110">
        <f t="shared" ca="1" si="12"/>
        <v>11.286828951632387</v>
      </c>
    </row>
    <row r="10" spans="1:26" x14ac:dyDescent="0.2">
      <c r="B10" s="178" t="s">
        <v>76</v>
      </c>
      <c r="C10" s="163" t="s">
        <v>4</v>
      </c>
      <c r="D10" s="162">
        <v>440</v>
      </c>
      <c r="E10" s="162">
        <v>416</v>
      </c>
      <c r="F10" s="110">
        <f t="shared" si="4"/>
        <v>97.103994460280958</v>
      </c>
      <c r="G10" s="7"/>
      <c r="H10" s="110">
        <f t="shared" ca="1" si="0"/>
        <v>312.1827941629416</v>
      </c>
      <c r="I10" s="110">
        <f t="shared" ca="1" si="0"/>
        <v>330.00000000000006</v>
      </c>
      <c r="J10" s="110">
        <f t="shared" ca="1" si="5"/>
        <v>96.089998269224949</v>
      </c>
      <c r="K10" s="110">
        <f t="shared" ca="1" si="6"/>
        <v>-1.0139961910560089</v>
      </c>
      <c r="M10" s="110">
        <f t="shared" ca="1" si="1"/>
        <v>307.45934690622119</v>
      </c>
      <c r="N10" s="110">
        <f t="shared" ca="1" si="1"/>
        <v>328.97673186866865</v>
      </c>
      <c r="O10" s="110">
        <f t="shared" ca="1" si="7"/>
        <v>117.1078576689566</v>
      </c>
      <c r="P10" s="110">
        <f t="shared" ca="1" si="8"/>
        <v>20.003863208675639</v>
      </c>
      <c r="R10" s="110">
        <f t="shared" ca="1" si="2"/>
        <v>311.12698372208104</v>
      </c>
      <c r="S10" s="110">
        <f t="shared" ca="1" si="2"/>
        <v>329.25553417074951</v>
      </c>
      <c r="T10" s="110">
        <f t="shared" ca="1" si="9"/>
        <v>98.044999134612354</v>
      </c>
      <c r="U10" s="110">
        <f t="shared" ca="1" si="10"/>
        <v>0.94100467433139556</v>
      </c>
      <c r="W10" s="110">
        <f t="shared" ca="1" si="3"/>
        <v>311.12698372208087</v>
      </c>
      <c r="X10" s="110">
        <f t="shared" ca="1" si="3"/>
        <v>329.62755691286992</v>
      </c>
      <c r="Y10" s="110">
        <f t="shared" ca="1" si="11"/>
        <v>100.00000000000007</v>
      </c>
      <c r="Z10" s="110">
        <f t="shared" ca="1" si="12"/>
        <v>2.8960055397191127</v>
      </c>
    </row>
    <row r="11" spans="1:26" x14ac:dyDescent="0.2">
      <c r="B11" s="178" t="s">
        <v>5</v>
      </c>
      <c r="C11" s="163" t="s">
        <v>70</v>
      </c>
      <c r="D11" s="162">
        <v>389.5</v>
      </c>
      <c r="E11" s="162">
        <v>370</v>
      </c>
      <c r="F11" s="110">
        <f t="shared" si="4"/>
        <v>88.917669054428501</v>
      </c>
      <c r="G11" s="7"/>
      <c r="H11" s="110">
        <f t="shared" ca="1" si="0"/>
        <v>351.20564343330932</v>
      </c>
      <c r="I11" s="110">
        <f t="shared" ca="1" si="0"/>
        <v>369.99442271163451</v>
      </c>
      <c r="J11" s="110">
        <f t="shared" ca="1" si="5"/>
        <v>90.224995673063063</v>
      </c>
      <c r="K11" s="110">
        <f t="shared" ca="1" si="6"/>
        <v>1.307326618634562</v>
      </c>
      <c r="M11" s="110">
        <f t="shared" ca="1" si="1"/>
        <v>343.75000000000006</v>
      </c>
      <c r="N11" s="110">
        <f t="shared" ca="1" si="1"/>
        <v>367.80716773703227</v>
      </c>
      <c r="O11" s="110">
        <f t="shared" ca="1" si="7"/>
        <v>117.10785766895694</v>
      </c>
      <c r="P11" s="110">
        <f t="shared" ca="1" si="8"/>
        <v>28.190188614528438</v>
      </c>
      <c r="R11" s="110">
        <f t="shared" ca="1" si="2"/>
        <v>350.01785668734118</v>
      </c>
      <c r="S11" s="110">
        <f t="shared" ca="1" si="2"/>
        <v>368.74309181876265</v>
      </c>
      <c r="T11" s="110">
        <f t="shared" ca="1" si="9"/>
        <v>90.224995673062693</v>
      </c>
      <c r="U11" s="110">
        <f t="shared" ca="1" si="10"/>
        <v>1.3073266186341925</v>
      </c>
      <c r="W11" s="110">
        <f t="shared" ca="1" si="3"/>
        <v>349.22823143300388</v>
      </c>
      <c r="X11" s="110">
        <f t="shared" ca="1" si="3"/>
        <v>369.9944227116344</v>
      </c>
      <c r="Y11" s="110">
        <f t="shared" ca="1" si="11"/>
        <v>100.00000000000007</v>
      </c>
      <c r="Z11" s="110">
        <f t="shared" ca="1" si="12"/>
        <v>11.08233094557157</v>
      </c>
    </row>
    <row r="12" spans="1:26" x14ac:dyDescent="0.2">
      <c r="B12" s="178" t="s">
        <v>6</v>
      </c>
      <c r="C12" s="163" t="s">
        <v>72</v>
      </c>
      <c r="D12" s="162">
        <v>348</v>
      </c>
      <c r="E12" s="162">
        <v>330</v>
      </c>
      <c r="F12" s="110">
        <f t="shared" si="4"/>
        <v>91.945537923494882</v>
      </c>
      <c r="G12" s="7"/>
      <c r="H12" s="110">
        <f ca="1">VLOOKUP(B12,INDIRECT("'"&amp;$H$3&amp;"'!Master_Frequencies"),2,FALSE)</f>
        <v>393.77008877325875</v>
      </c>
      <c r="I12" s="110">
        <f t="shared" ca="1" si="0"/>
        <v>416.24372555058881</v>
      </c>
      <c r="J12" s="110">
        <f t="shared" ca="1" si="5"/>
        <v>96.089998269225319</v>
      </c>
      <c r="K12" s="110">
        <f t="shared" ca="1" si="6"/>
        <v>4.1444603457304368</v>
      </c>
      <c r="M12" s="110">
        <f t="shared" ca="1" si="1"/>
        <v>393.54796403996318</v>
      </c>
      <c r="N12" s="110">
        <f t="shared" ca="1" si="1"/>
        <v>411.2209148358358</v>
      </c>
      <c r="O12" s="110">
        <f t="shared" ca="1" si="7"/>
        <v>76.048999263460743</v>
      </c>
      <c r="P12" s="110">
        <f t="shared" ca="1" si="8"/>
        <v>-15.896538660034139</v>
      </c>
      <c r="R12" s="110">
        <f t="shared" ca="1" si="2"/>
        <v>392.88176036212946</v>
      </c>
      <c r="S12" s="110">
        <f t="shared" ca="1" si="2"/>
        <v>414.83597829610801</v>
      </c>
      <c r="T12" s="110">
        <f t="shared" ca="1" si="9"/>
        <v>94.134997403837943</v>
      </c>
      <c r="U12" s="110">
        <f t="shared" ca="1" si="10"/>
        <v>2.1894594803430607</v>
      </c>
      <c r="W12" s="110">
        <f t="shared" ca="1" si="3"/>
        <v>391.99543598174927</v>
      </c>
      <c r="X12" s="110">
        <f t="shared" ca="1" si="3"/>
        <v>415.30469757994507</v>
      </c>
      <c r="Y12" s="110">
        <f t="shared" ca="1" si="11"/>
        <v>99.99999999999973</v>
      </c>
      <c r="Z12" s="110">
        <f t="shared" ca="1" si="12"/>
        <v>8.0544620765048478</v>
      </c>
    </row>
    <row r="13" spans="1:26" x14ac:dyDescent="0.2">
      <c r="B13" s="178" t="s">
        <v>73</v>
      </c>
      <c r="C13" s="163" t="s">
        <v>8</v>
      </c>
      <c r="D13" s="162">
        <v>290</v>
      </c>
      <c r="E13" s="162">
        <v>275</v>
      </c>
      <c r="F13" s="110">
        <f t="shared" si="4"/>
        <v>91.945537923494882</v>
      </c>
      <c r="G13" s="7"/>
      <c r="H13" s="110">
        <f t="shared" ref="H13:H18" ca="1" si="13">VLOOKUP(B13,INDIRECT("'"&amp;$H$3&amp;"'!Master_Frequencies"),2,FALSE)</f>
        <v>468.27419124441241</v>
      </c>
      <c r="I13" s="110">
        <f t="shared" ca="1" si="0"/>
        <v>495.00000000000011</v>
      </c>
      <c r="J13" s="110">
        <f t="shared" ca="1" si="5"/>
        <v>96.089998269224949</v>
      </c>
      <c r="K13" s="110">
        <f t="shared" ca="1" si="6"/>
        <v>4.1444603457300673</v>
      </c>
      <c r="M13" s="110">
        <f t="shared" ca="1" si="1"/>
        <v>459.75895967129026</v>
      </c>
      <c r="N13" s="110">
        <f t="shared" ca="1" si="1"/>
        <v>491.93495504995394</v>
      </c>
      <c r="O13" s="110">
        <f t="shared" ca="1" si="7"/>
        <v>117.10785766895694</v>
      </c>
      <c r="P13" s="110">
        <f t="shared" ca="1" si="8"/>
        <v>25.162319745462057</v>
      </c>
      <c r="R13" s="110">
        <f t="shared" ca="1" si="2"/>
        <v>466.69047558312155</v>
      </c>
      <c r="S13" s="110">
        <f t="shared" ca="1" si="2"/>
        <v>492.76912173666165</v>
      </c>
      <c r="T13" s="110">
        <f t="shared" ca="1" si="9"/>
        <v>94.134997403837588</v>
      </c>
      <c r="U13" s="110">
        <f t="shared" ca="1" si="10"/>
        <v>2.1894594803427054</v>
      </c>
      <c r="W13" s="110">
        <f t="shared" ca="1" si="3"/>
        <v>466.16376151808987</v>
      </c>
      <c r="X13" s="110">
        <f t="shared" ca="1" si="3"/>
        <v>493.88330125612407</v>
      </c>
      <c r="Y13" s="110">
        <f t="shared" ca="1" si="11"/>
        <v>100.00000000000007</v>
      </c>
      <c r="Z13" s="110">
        <f t="shared" ca="1" si="12"/>
        <v>8.0544620765051889</v>
      </c>
    </row>
    <row r="14" spans="1:26" x14ac:dyDescent="0.2">
      <c r="B14" s="178" t="s">
        <v>2</v>
      </c>
      <c r="C14" s="163" t="s">
        <v>74</v>
      </c>
      <c r="D14" s="162">
        <v>260</v>
      </c>
      <c r="E14" s="162">
        <v>247</v>
      </c>
      <c r="F14" s="110">
        <f t="shared" si="4"/>
        <v>88.800697732532129</v>
      </c>
      <c r="G14" s="7"/>
      <c r="H14" s="110">
        <f t="shared" ca="1" si="13"/>
        <v>263.40423257498196</v>
      </c>
      <c r="I14" s="110">
        <f t="shared" ca="1" si="0"/>
        <v>277.49581703372587</v>
      </c>
      <c r="J14" s="110">
        <f t="shared" ca="1" si="5"/>
        <v>90.224995673063063</v>
      </c>
      <c r="K14" s="110">
        <f t="shared" ca="1" si="6"/>
        <v>1.4242979405309342</v>
      </c>
      <c r="M14" s="110">
        <f t="shared" ca="1" si="1"/>
        <v>263.18138549493494</v>
      </c>
      <c r="N14" s="110">
        <f t="shared" ca="1" si="1"/>
        <v>275.00000000000011</v>
      </c>
      <c r="O14" s="110">
        <f t="shared" ca="1" si="7"/>
        <v>76.048999263460743</v>
      </c>
      <c r="P14" s="110">
        <f t="shared" ca="1" si="8"/>
        <v>-12.751698469071385</v>
      </c>
      <c r="R14" s="110">
        <f t="shared" ca="1" si="2"/>
        <v>262.51339251550581</v>
      </c>
      <c r="S14" s="110">
        <f t="shared" ca="1" si="2"/>
        <v>276.55731886407199</v>
      </c>
      <c r="T14" s="110">
        <f t="shared" ca="1" si="9"/>
        <v>90.224995673063063</v>
      </c>
      <c r="U14" s="110">
        <f t="shared" ca="1" si="10"/>
        <v>1.4242979405309342</v>
      </c>
      <c r="W14" s="110">
        <f t="shared" ca="1" si="3"/>
        <v>261.62556530059862</v>
      </c>
      <c r="X14" s="110">
        <f t="shared" ca="1" si="3"/>
        <v>277.18263097687208</v>
      </c>
      <c r="Y14" s="110">
        <f t="shared" ca="1" si="11"/>
        <v>100.00000000000007</v>
      </c>
      <c r="Z14" s="110">
        <f t="shared" ca="1" si="12"/>
        <v>11.199302267467942</v>
      </c>
    </row>
    <row r="15" spans="1:26" x14ac:dyDescent="0.2">
      <c r="B15" s="178" t="s">
        <v>76</v>
      </c>
      <c r="C15" s="163" t="s">
        <v>4</v>
      </c>
      <c r="D15" s="162">
        <v>220</v>
      </c>
      <c r="E15" s="162">
        <v>208</v>
      </c>
      <c r="F15" s="110">
        <f t="shared" si="4"/>
        <v>97.103994460280958</v>
      </c>
      <c r="G15" s="7"/>
      <c r="H15" s="110">
        <f t="shared" ca="1" si="13"/>
        <v>312.1827941629416</v>
      </c>
      <c r="I15" s="110">
        <f t="shared" ca="1" si="0"/>
        <v>330.00000000000006</v>
      </c>
      <c r="J15" s="110">
        <f t="shared" ca="1" si="5"/>
        <v>96.089998269224949</v>
      </c>
      <c r="K15" s="110">
        <f t="shared" ca="1" si="6"/>
        <v>-1.0139961910560089</v>
      </c>
      <c r="M15" s="110">
        <f t="shared" ca="1" si="1"/>
        <v>307.45934690622119</v>
      </c>
      <c r="N15" s="110">
        <f t="shared" ca="1" si="1"/>
        <v>328.97673186866865</v>
      </c>
      <c r="O15" s="110">
        <f t="shared" ca="1" si="7"/>
        <v>117.1078576689566</v>
      </c>
      <c r="P15" s="110">
        <f t="shared" ca="1" si="8"/>
        <v>20.003863208675639</v>
      </c>
      <c r="R15" s="110">
        <f t="shared" ca="1" si="2"/>
        <v>311.12698372208104</v>
      </c>
      <c r="S15" s="110">
        <f t="shared" ca="1" si="2"/>
        <v>329.25553417074951</v>
      </c>
      <c r="T15" s="110">
        <f t="shared" ca="1" si="9"/>
        <v>98.044999134612354</v>
      </c>
      <c r="U15" s="110">
        <f t="shared" ca="1" si="10"/>
        <v>0.94100467433139556</v>
      </c>
      <c r="W15" s="110">
        <f t="shared" ca="1" si="3"/>
        <v>311.12698372208087</v>
      </c>
      <c r="X15" s="110">
        <f t="shared" ca="1" si="3"/>
        <v>329.62755691286992</v>
      </c>
      <c r="Y15" s="110">
        <f t="shared" ca="1" si="11"/>
        <v>100.00000000000007</v>
      </c>
      <c r="Z15" s="110">
        <f t="shared" ca="1" si="12"/>
        <v>2.8960055397191127</v>
      </c>
    </row>
    <row r="16" spans="1:26" x14ac:dyDescent="0.2">
      <c r="B16" s="178" t="s">
        <v>5</v>
      </c>
      <c r="C16" s="163" t="s">
        <v>70</v>
      </c>
      <c r="D16" s="162">
        <v>195.5</v>
      </c>
      <c r="E16" s="162">
        <v>185.5</v>
      </c>
      <c r="F16" s="110">
        <f t="shared" si="4"/>
        <v>90.899304823858884</v>
      </c>
      <c r="G16" s="7"/>
      <c r="H16" s="110">
        <f t="shared" ca="1" si="13"/>
        <v>351.20564343330932</v>
      </c>
      <c r="I16" s="110">
        <f t="shared" ca="1" si="0"/>
        <v>369.99442271163451</v>
      </c>
      <c r="J16" s="110">
        <f t="shared" ca="1" si="5"/>
        <v>90.224995673063063</v>
      </c>
      <c r="K16" s="110">
        <f t="shared" ca="1" si="6"/>
        <v>-0.67430915079582121</v>
      </c>
      <c r="M16" s="110">
        <f t="shared" ca="1" si="1"/>
        <v>343.75000000000006</v>
      </c>
      <c r="N16" s="110">
        <f t="shared" ca="1" si="1"/>
        <v>367.80716773703227</v>
      </c>
      <c r="O16" s="110">
        <f t="shared" ca="1" si="7"/>
        <v>117.10785766895694</v>
      </c>
      <c r="P16" s="110">
        <f t="shared" ca="1" si="8"/>
        <v>26.208552845098055</v>
      </c>
      <c r="R16" s="110">
        <f t="shared" ca="1" si="2"/>
        <v>350.01785668734118</v>
      </c>
      <c r="S16" s="110">
        <f t="shared" ca="1" si="2"/>
        <v>368.74309181876265</v>
      </c>
      <c r="T16" s="110">
        <f t="shared" ca="1" si="9"/>
        <v>90.224995673062693</v>
      </c>
      <c r="U16" s="110">
        <f t="shared" ca="1" si="10"/>
        <v>-0.67430915079619069</v>
      </c>
      <c r="W16" s="110">
        <f t="shared" ca="1" si="3"/>
        <v>349.22823143300388</v>
      </c>
      <c r="X16" s="110">
        <f t="shared" ca="1" si="3"/>
        <v>369.9944227116344</v>
      </c>
      <c r="Y16" s="110">
        <f t="shared" ca="1" si="11"/>
        <v>100.00000000000007</v>
      </c>
      <c r="Z16" s="110">
        <f t="shared" ca="1" si="12"/>
        <v>9.1006951761411869</v>
      </c>
    </row>
    <row r="17" spans="2:26" x14ac:dyDescent="0.2">
      <c r="B17" s="178" t="s">
        <v>6</v>
      </c>
      <c r="C17" s="163" t="s">
        <v>72</v>
      </c>
      <c r="D17" s="162">
        <v>174</v>
      </c>
      <c r="E17" s="162">
        <v>165</v>
      </c>
      <c r="F17" s="110">
        <f t="shared" si="4"/>
        <v>91.945537923494882</v>
      </c>
      <c r="G17" s="7"/>
      <c r="H17" s="110">
        <f t="shared" ca="1" si="13"/>
        <v>393.77008877325875</v>
      </c>
      <c r="I17" s="110">
        <f t="shared" ca="1" si="0"/>
        <v>416.24372555058881</v>
      </c>
      <c r="J17" s="110">
        <f t="shared" ca="1" si="5"/>
        <v>96.089998269225319</v>
      </c>
      <c r="K17" s="110">
        <f t="shared" ca="1" si="6"/>
        <v>4.1444603457304368</v>
      </c>
      <c r="M17" s="110">
        <f t="shared" ca="1" si="1"/>
        <v>393.54796403996318</v>
      </c>
      <c r="N17" s="110">
        <f t="shared" ca="1" si="1"/>
        <v>411.2209148358358</v>
      </c>
      <c r="O17" s="110">
        <f t="shared" ca="1" si="7"/>
        <v>76.048999263460743</v>
      </c>
      <c r="P17" s="110">
        <f t="shared" ca="1" si="8"/>
        <v>-15.896538660034139</v>
      </c>
      <c r="R17" s="110">
        <f t="shared" ca="1" si="2"/>
        <v>392.88176036212946</v>
      </c>
      <c r="S17" s="110">
        <f t="shared" ca="1" si="2"/>
        <v>414.83597829610801</v>
      </c>
      <c r="T17" s="110">
        <f t="shared" ca="1" si="9"/>
        <v>94.134997403837943</v>
      </c>
      <c r="U17" s="110">
        <f t="shared" ca="1" si="10"/>
        <v>2.1894594803430607</v>
      </c>
      <c r="W17" s="110">
        <f t="shared" ca="1" si="3"/>
        <v>391.99543598174927</v>
      </c>
      <c r="X17" s="110">
        <f t="shared" ca="1" si="3"/>
        <v>415.30469757994507</v>
      </c>
      <c r="Y17" s="110">
        <f t="shared" ca="1" si="11"/>
        <v>99.99999999999973</v>
      </c>
      <c r="Z17" s="110">
        <f t="shared" ca="1" si="12"/>
        <v>8.0544620765048478</v>
      </c>
    </row>
    <row r="18" spans="2:26" x14ac:dyDescent="0.2">
      <c r="B18" s="178" t="s">
        <v>73</v>
      </c>
      <c r="C18" s="163" t="s">
        <v>8</v>
      </c>
      <c r="D18" s="162">
        <v>146.5</v>
      </c>
      <c r="E18" s="162">
        <v>138.5</v>
      </c>
      <c r="F18" s="110">
        <f t="shared" si="4"/>
        <v>97.217626047671345</v>
      </c>
      <c r="G18" s="7"/>
      <c r="H18" s="110">
        <f t="shared" ca="1" si="13"/>
        <v>468.27419124441241</v>
      </c>
      <c r="I18" s="110">
        <f t="shared" ca="1" si="0"/>
        <v>495.00000000000011</v>
      </c>
      <c r="J18" s="110">
        <f t="shared" ca="1" si="5"/>
        <v>96.089998269224949</v>
      </c>
      <c r="K18" s="110">
        <f t="shared" ca="1" si="6"/>
        <v>-1.1276277784463957</v>
      </c>
      <c r="M18" s="110">
        <f t="shared" ca="1" si="1"/>
        <v>459.75895967129026</v>
      </c>
      <c r="N18" s="110">
        <f t="shared" ca="1" si="1"/>
        <v>491.93495504995394</v>
      </c>
      <c r="O18" s="110">
        <f t="shared" ca="1" si="7"/>
        <v>117.10785766895694</v>
      </c>
      <c r="P18" s="110">
        <f t="shared" ca="1" si="8"/>
        <v>19.890231621285594</v>
      </c>
      <c r="R18" s="110">
        <f t="shared" ca="1" si="2"/>
        <v>466.69047558312155</v>
      </c>
      <c r="S18" s="110">
        <f t="shared" ca="1" si="2"/>
        <v>492.76912173666165</v>
      </c>
      <c r="T18" s="110">
        <f t="shared" ca="1" si="9"/>
        <v>94.134997403837588</v>
      </c>
      <c r="U18" s="110">
        <f t="shared" ca="1" si="10"/>
        <v>-3.0826286438337576</v>
      </c>
      <c r="W18" s="110">
        <f t="shared" ca="1" si="3"/>
        <v>466.16376151808987</v>
      </c>
      <c r="X18" s="110">
        <f t="shared" ca="1" si="3"/>
        <v>493.88330125612407</v>
      </c>
      <c r="Y18" s="110">
        <f t="shared" ca="1" si="11"/>
        <v>100.00000000000007</v>
      </c>
      <c r="Z18" s="110">
        <f t="shared" ca="1" si="12"/>
        <v>2.7823739523287259</v>
      </c>
    </row>
    <row r="19" spans="2:26" x14ac:dyDescent="0.2">
      <c r="B19" s="119"/>
      <c r="C19" s="119"/>
      <c r="H19" s="288" t="str">
        <f ca="1">_xlfn.CONCAT($F$5," vs. ",H4)</f>
        <v>Tournay-Kather Tannenberg, 1992 Fret Size cents vs. Werckmeister III</v>
      </c>
      <c r="I19" s="288"/>
      <c r="J19" s="288"/>
      <c r="K19" s="288"/>
      <c r="M19" s="278" t="str">
        <f ca="1">_xlfn.CONCAT($F$5," vs. ",M4)</f>
        <v>Tournay-Kather Tannenberg, 1992 Fret Size cents vs. Meantone Quarter Comma</v>
      </c>
      <c r="N19" s="278"/>
      <c r="O19" s="278"/>
      <c r="P19" s="278"/>
      <c r="Q19" s="117"/>
      <c r="R19" s="288" t="str">
        <f ca="1">_xlfn.CONCAT($F$5," vs. ",R4)</f>
        <v>Tournay-Kather Tannenberg, 1992 Fret Size cents vs. Vallotti-Young</v>
      </c>
      <c r="S19" s="288"/>
      <c r="T19" s="288"/>
      <c r="U19" s="288"/>
      <c r="W19" s="288" t="str">
        <f ca="1">_xlfn.CONCAT($F$5," vs. ",W4)</f>
        <v>Tournay-Kather Tannenberg, 1992 Fret Size cents vs. Equal Temperament</v>
      </c>
      <c r="X19" s="288"/>
      <c r="Y19" s="288"/>
      <c r="Z19" s="288"/>
    </row>
    <row r="20" spans="2:26" x14ac:dyDescent="0.2">
      <c r="B20" s="80" t="s">
        <v>63</v>
      </c>
      <c r="J20" s="119" t="s">
        <v>94</v>
      </c>
      <c r="K20" s="110">
        <f ca="1">SQRT(SUMSQ(K6:K18)/COUNT(K6:K18))</f>
        <v>2.3270578857265978</v>
      </c>
      <c r="O20" s="119" t="s">
        <v>94</v>
      </c>
      <c r="P20" s="110">
        <f ca="1">SQRT(SUMSQ(P6:P18)/COUNT(P6:P18))</f>
        <v>20.691247389632327</v>
      </c>
      <c r="T20" s="119" t="s">
        <v>94</v>
      </c>
      <c r="U20" s="110">
        <f ca="1">SQRT(SUMSQ(U6:U18)/COUNT(U6:U18))</f>
        <v>1.727328131034424</v>
      </c>
      <c r="Y20" s="119" t="s">
        <v>94</v>
      </c>
      <c r="Z20" s="110">
        <f ca="1">SQRT(SUMSQ(Z6:Z18)/COUNT(Z6:Z18))</f>
        <v>7.7790306808249028</v>
      </c>
    </row>
    <row r="21" spans="2:26" x14ac:dyDescent="0.2">
      <c r="B21" s="286"/>
      <c r="C21" s="286"/>
      <c r="D21" s="286"/>
      <c r="E21" s="286"/>
      <c r="X21" s="7"/>
    </row>
    <row r="23" spans="2:26" ht="19" x14ac:dyDescent="0.2">
      <c r="D23" s="7"/>
      <c r="N23" s="120"/>
      <c r="P23" s="7"/>
      <c r="R23" s="7"/>
    </row>
    <row r="24" spans="2:26" x14ac:dyDescent="0.2">
      <c r="D24" s="7"/>
      <c r="P24" s="7"/>
      <c r="R24" s="7"/>
    </row>
    <row r="25" spans="2:26" x14ac:dyDescent="0.2">
      <c r="D25" s="7"/>
      <c r="P25" s="7"/>
      <c r="R25" s="7"/>
    </row>
    <row r="26" spans="2:26" x14ac:dyDescent="0.2">
      <c r="D26" s="7"/>
      <c r="P26" s="7"/>
      <c r="R26" s="7"/>
    </row>
    <row r="27" spans="2:26" x14ac:dyDescent="0.2">
      <c r="D27" s="7"/>
      <c r="P27" s="7"/>
      <c r="R27" s="7"/>
    </row>
    <row r="28" spans="2:26" x14ac:dyDescent="0.2">
      <c r="D28" s="7"/>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P35" s="7"/>
      <c r="R35" s="7"/>
    </row>
  </sheetData>
  <sheetProtection sheet="1" formatCells="0"/>
  <mergeCells count="15">
    <mergeCell ref="W3:Z3"/>
    <mergeCell ref="B1:G1"/>
    <mergeCell ref="B3:E3"/>
    <mergeCell ref="H3:K3"/>
    <mergeCell ref="M3:P3"/>
    <mergeCell ref="R3:U3"/>
    <mergeCell ref="B21:E21"/>
    <mergeCell ref="H4:K4"/>
    <mergeCell ref="M4:P4"/>
    <mergeCell ref="R4:U4"/>
    <mergeCell ref="W4:Z4"/>
    <mergeCell ref="H19:K19"/>
    <mergeCell ref="M19:P19"/>
    <mergeCell ref="R19:U19"/>
    <mergeCell ref="W19:Z19"/>
  </mergeCells>
  <conditionalFormatting sqref="A1:B1 I1:XFD1">
    <cfRule type="expression" dxfId="128" priority="3">
      <formula>CELL("protect",A1)=0</formula>
    </cfRule>
  </conditionalFormatting>
  <conditionalFormatting sqref="A2:XFD1048576">
    <cfRule type="expression" dxfId="127" priority="1">
      <formula>CELL("protect",A2)=0</formula>
    </cfRule>
  </conditionalFormatting>
  <conditionalFormatting sqref="A5:XFD18">
    <cfRule type="expression" dxfId="126" priority="2">
      <formula>_xlfn.ISFORMULA(A5)</formula>
    </cfRule>
  </conditionalFormatting>
  <conditionalFormatting sqref="B3:B4 F3:H4 L3:M4 Q3:R4 V3:W4 AA3:XFD4 L19:M19 R19 B19:H20 V19:W20 AA19:XFD20 J20:M20 O20:R20 T20:U20 Y20:Z20 B21 F21:L21 M21:Q22 R21:XFD1048576 M23 O23:Q23 M24:Q1048576">
    <cfRule type="expression" dxfId="125" priority="5">
      <formula>_xlfn.ISFORMULA(B3)</formula>
    </cfRule>
  </conditionalFormatting>
  <conditionalFormatting sqref="B22:F30 G22:G34 I22:L34 C31:F31 B32:F34 B35:L1048576">
    <cfRule type="expression" dxfId="124" priority="4">
      <formula>_xlfn.ISFORMULA(B22)</formula>
    </cfRule>
  </conditionalFormatting>
  <hyperlinks>
    <hyperlink ref="B20" location="Overview!A1" display="Back to Overview" xr:uid="{7282E1F3-EFBA-C846-885C-E73B75FF92A8}"/>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F630B-C8C5-7E4B-B805-0A5C1E656BF3}">
  <sheetPr>
    <tabColor theme="9" tint="0.59999389629810485"/>
  </sheetPr>
  <dimension ref="B1:M50"/>
  <sheetViews>
    <sheetView zoomScale="94" zoomScaleNormal="100" workbookViewId="0"/>
  </sheetViews>
  <sheetFormatPr baseColWidth="10" defaultRowHeight="16" x14ac:dyDescent="0.2"/>
  <cols>
    <col min="1" max="1" width="2.83203125" customWidth="1"/>
    <col min="8" max="9" width="10.83203125" customWidth="1"/>
    <col min="10" max="10" width="10.83203125" style="199" customWidth="1"/>
  </cols>
  <sheetData>
    <row r="1" spans="2:13" ht="19" x14ac:dyDescent="0.25">
      <c r="B1" s="294" t="s">
        <v>599</v>
      </c>
      <c r="C1" s="294"/>
      <c r="D1" s="294"/>
      <c r="E1" s="294"/>
      <c r="F1" s="294"/>
      <c r="G1" s="294"/>
      <c r="H1" s="294"/>
      <c r="I1" s="294"/>
      <c r="J1" s="294"/>
      <c r="M1" t="s">
        <v>564</v>
      </c>
    </row>
    <row r="2" spans="2:13" ht="19" x14ac:dyDescent="0.25">
      <c r="B2" s="219"/>
      <c r="C2" s="219"/>
      <c r="D2" s="219"/>
      <c r="E2" s="219"/>
      <c r="F2" s="219"/>
      <c r="G2" s="219"/>
      <c r="H2" s="219"/>
      <c r="I2" s="219"/>
      <c r="J2" s="219"/>
    </row>
    <row r="3" spans="2:13" ht="19" x14ac:dyDescent="0.25">
      <c r="B3" s="219"/>
      <c r="C3" s="219"/>
      <c r="D3" s="219"/>
      <c r="E3" s="219"/>
      <c r="F3" s="219"/>
      <c r="G3" s="219"/>
      <c r="H3" s="219"/>
      <c r="I3" s="219"/>
      <c r="J3" s="219"/>
    </row>
    <row r="4" spans="2:13" ht="19" x14ac:dyDescent="0.25">
      <c r="B4" s="217" t="s">
        <v>63</v>
      </c>
      <c r="C4" s="219"/>
      <c r="D4" s="219"/>
      <c r="E4" s="219"/>
      <c r="F4" s="219"/>
      <c r="G4" s="219"/>
      <c r="H4" s="219"/>
      <c r="I4" s="219"/>
      <c r="J4" s="219"/>
    </row>
    <row r="5" spans="2:13" ht="19" x14ac:dyDescent="0.25">
      <c r="B5" s="219"/>
      <c r="C5" s="219"/>
      <c r="D5" s="219"/>
      <c r="E5" s="219"/>
      <c r="F5" s="219"/>
      <c r="G5" s="219"/>
      <c r="H5" s="219"/>
      <c r="I5" s="219"/>
      <c r="J5" s="219"/>
    </row>
    <row r="7" spans="2:13" s="203" customFormat="1" x14ac:dyDescent="0.2">
      <c r="B7" s="295" t="s">
        <v>59</v>
      </c>
      <c r="C7" s="296"/>
      <c r="D7" s="296"/>
      <c r="E7" s="296"/>
      <c r="F7" s="296"/>
      <c r="G7" s="297"/>
      <c r="H7" s="204" t="s">
        <v>566</v>
      </c>
      <c r="I7" s="298" t="s">
        <v>570</v>
      </c>
      <c r="J7" s="299"/>
      <c r="K7" s="299"/>
      <c r="L7" s="300"/>
    </row>
    <row r="8" spans="2:13" s="200" customFormat="1" ht="51" x14ac:dyDescent="0.2">
      <c r="B8" s="208" t="s">
        <v>56</v>
      </c>
      <c r="C8" s="209" t="s">
        <v>57</v>
      </c>
      <c r="D8" s="210" t="s">
        <v>563</v>
      </c>
      <c r="E8" s="210" t="s">
        <v>562</v>
      </c>
      <c r="F8" s="210" t="s">
        <v>561</v>
      </c>
      <c r="G8" s="210" t="s">
        <v>560</v>
      </c>
      <c r="H8" s="211" t="s">
        <v>559</v>
      </c>
      <c r="I8" s="244" t="s">
        <v>567</v>
      </c>
      <c r="J8" s="212" t="s">
        <v>568</v>
      </c>
      <c r="K8" s="212" t="s">
        <v>569</v>
      </c>
      <c r="L8" s="213" t="s">
        <v>572</v>
      </c>
    </row>
    <row r="9" spans="2:13" x14ac:dyDescent="0.2">
      <c r="B9" s="178" t="s">
        <v>5</v>
      </c>
      <c r="C9" s="163" t="s">
        <v>70</v>
      </c>
      <c r="D9" s="162">
        <v>758.5</v>
      </c>
      <c r="E9" s="162">
        <v>719</v>
      </c>
      <c r="F9" s="162">
        <v>751</v>
      </c>
      <c r="G9" s="162">
        <v>711.5</v>
      </c>
      <c r="H9" s="199">
        <f t="shared" ref="H9:H26" si="0">IF(B9&lt;&gt;"",1200*LOG((F9)/(G9),2)-1200*LOG(D9/(E9),2),"")</f>
        <v>0.95008941606464248</v>
      </c>
      <c r="I9" s="168">
        <v>0.5</v>
      </c>
      <c r="J9" s="199">
        <f t="shared" ref="J9:J26" si="1">IF(B9&lt;&gt;"",1200*LOG((F9-I9)/(G9-I9),2)-1200*LOG((D9+I9)/(E9+I9),2),"")</f>
        <v>1.0767759913258317</v>
      </c>
      <c r="K9" s="199">
        <f t="shared" ref="K9:K26" si="2">IF(B9&lt;&gt;"",1200*LOG((F9+I9)/(G9+I9),2)-1200*LOG((D9-I9)/(E9-I9),2),"")</f>
        <v>0.82340548345365505</v>
      </c>
      <c r="L9" s="202">
        <f t="shared" ref="L9:L26" si="3">IF(B9&lt;&gt;"",J9-H9,"")</f>
        <v>0.1266865752611892</v>
      </c>
    </row>
    <row r="10" spans="2:13" x14ac:dyDescent="0.2">
      <c r="B10" s="178" t="s">
        <v>6</v>
      </c>
      <c r="C10" s="163" t="s">
        <v>72</v>
      </c>
      <c r="D10" s="162">
        <v>687</v>
      </c>
      <c r="E10" s="162">
        <v>650.5</v>
      </c>
      <c r="F10" s="162">
        <v>680.5</v>
      </c>
      <c r="G10" s="162">
        <v>644.5</v>
      </c>
      <c r="H10" s="199">
        <f t="shared" si="0"/>
        <v>-0.41548674955289755</v>
      </c>
      <c r="I10" s="168">
        <v>0.5</v>
      </c>
      <c r="J10" s="199">
        <f t="shared" si="1"/>
        <v>-0.27373453279702176</v>
      </c>
      <c r="K10" s="199">
        <f t="shared" si="2"/>
        <v>-0.55723743579490304</v>
      </c>
      <c r="L10" s="202">
        <f t="shared" si="3"/>
        <v>0.14175221675587579</v>
      </c>
    </row>
    <row r="11" spans="2:13" x14ac:dyDescent="0.2">
      <c r="B11" s="178" t="s">
        <v>73</v>
      </c>
      <c r="C11" s="163" t="s">
        <v>8</v>
      </c>
      <c r="D11" s="162">
        <v>580</v>
      </c>
      <c r="E11" s="162">
        <v>549</v>
      </c>
      <c r="F11" s="162">
        <v>574</v>
      </c>
      <c r="G11" s="162">
        <v>543</v>
      </c>
      <c r="H11" s="199">
        <f t="shared" si="0"/>
        <v>1.0221454339084772</v>
      </c>
      <c r="I11" s="168">
        <v>0.5</v>
      </c>
      <c r="J11" s="199">
        <f t="shared" si="1"/>
        <v>1.1925153211777086</v>
      </c>
      <c r="K11" s="199">
        <f t="shared" si="2"/>
        <v>0.85178041863025555</v>
      </c>
      <c r="L11" s="202">
        <f t="shared" si="3"/>
        <v>0.17036988726923141</v>
      </c>
    </row>
    <row r="12" spans="2:13" x14ac:dyDescent="0.2">
      <c r="B12" s="178" t="s">
        <v>2</v>
      </c>
      <c r="C12" s="163" t="s">
        <v>74</v>
      </c>
      <c r="D12" s="162">
        <v>520.5</v>
      </c>
      <c r="E12" s="162">
        <v>494.5</v>
      </c>
      <c r="F12" s="162">
        <v>514.5</v>
      </c>
      <c r="G12" s="162">
        <v>488</v>
      </c>
      <c r="H12" s="199">
        <f t="shared" si="0"/>
        <v>2.8347441489311507</v>
      </c>
      <c r="I12" s="168">
        <v>0.5</v>
      </c>
      <c r="J12" s="199">
        <f t="shared" si="1"/>
        <v>3.0135518944426565</v>
      </c>
      <c r="K12" s="199">
        <f t="shared" si="2"/>
        <v>2.6559463901025282</v>
      </c>
      <c r="L12" s="202">
        <f t="shared" si="3"/>
        <v>0.1788077455115058</v>
      </c>
    </row>
    <row r="13" spans="2:13" x14ac:dyDescent="0.2">
      <c r="B13" s="178" t="s">
        <v>76</v>
      </c>
      <c r="C13" s="163" t="s">
        <v>4</v>
      </c>
      <c r="D13" s="162">
        <v>440</v>
      </c>
      <c r="E13" s="162">
        <v>416</v>
      </c>
      <c r="F13" s="162">
        <v>435</v>
      </c>
      <c r="G13" s="162">
        <v>411</v>
      </c>
      <c r="H13" s="199">
        <f t="shared" si="0"/>
        <v>1.1484140050082345</v>
      </c>
      <c r="I13" s="168">
        <v>0.5</v>
      </c>
      <c r="J13" s="199">
        <f t="shared" si="1"/>
        <v>1.3781177780751079</v>
      </c>
      <c r="K13" s="199">
        <f t="shared" si="2"/>
        <v>0.91871976501542463</v>
      </c>
      <c r="L13" s="202">
        <f t="shared" si="3"/>
        <v>0.2297037730668734</v>
      </c>
    </row>
    <row r="14" spans="2:13" x14ac:dyDescent="0.2">
      <c r="B14" s="178" t="s">
        <v>5</v>
      </c>
      <c r="C14" s="163" t="s">
        <v>70</v>
      </c>
      <c r="D14" s="162">
        <v>389.5</v>
      </c>
      <c r="E14" s="162">
        <v>370</v>
      </c>
      <c r="F14" s="162">
        <v>385.5</v>
      </c>
      <c r="G14" s="162">
        <v>366</v>
      </c>
      <c r="H14" s="199">
        <f t="shared" si="0"/>
        <v>0.94698490276169878</v>
      </c>
      <c r="I14" s="168">
        <v>0.5</v>
      </c>
      <c r="J14" s="199">
        <f t="shared" si="1"/>
        <v>1.1837498232596175</v>
      </c>
      <c r="K14" s="199">
        <f t="shared" si="2"/>
        <v>0.71022995307323811</v>
      </c>
      <c r="L14" s="202">
        <f t="shared" si="3"/>
        <v>0.23676492049791875</v>
      </c>
    </row>
    <row r="15" spans="2:13" x14ac:dyDescent="0.2">
      <c r="B15" s="178" t="s">
        <v>6</v>
      </c>
      <c r="C15" s="163" t="s">
        <v>72</v>
      </c>
      <c r="D15" s="162">
        <v>348</v>
      </c>
      <c r="E15" s="162">
        <v>330</v>
      </c>
      <c r="F15" s="162">
        <v>345.5</v>
      </c>
      <c r="G15" s="162">
        <v>327.5</v>
      </c>
      <c r="H15" s="199">
        <f t="shared" si="0"/>
        <v>0.68342683264027926</v>
      </c>
      <c r="I15" s="168">
        <v>0.5</v>
      </c>
      <c r="J15" s="199">
        <f t="shared" si="1"/>
        <v>0.95681016806061336</v>
      </c>
      <c r="K15" s="199">
        <f t="shared" si="2"/>
        <v>0.41005249898765328</v>
      </c>
      <c r="L15" s="202">
        <f t="shared" si="3"/>
        <v>0.27338333542033411</v>
      </c>
    </row>
    <row r="16" spans="2:13" x14ac:dyDescent="0.2">
      <c r="B16" s="178" t="s">
        <v>73</v>
      </c>
      <c r="C16" s="163" t="s">
        <v>8</v>
      </c>
      <c r="D16" s="162">
        <v>290</v>
      </c>
      <c r="E16" s="162">
        <v>275</v>
      </c>
      <c r="F16" s="162">
        <v>288.5</v>
      </c>
      <c r="G16" s="162">
        <v>273.5</v>
      </c>
      <c r="H16" s="199">
        <f t="shared" si="0"/>
        <v>0.49104510001606627</v>
      </c>
      <c r="I16" s="168">
        <v>0.5</v>
      </c>
      <c r="J16" s="199">
        <f t="shared" si="1"/>
        <v>0.81841882690633838</v>
      </c>
      <c r="K16" s="199">
        <f t="shared" si="2"/>
        <v>0.16368066733684827</v>
      </c>
      <c r="L16" s="202">
        <f t="shared" si="3"/>
        <v>0.32737372689027211</v>
      </c>
    </row>
    <row r="17" spans="2:12" x14ac:dyDescent="0.2">
      <c r="B17" s="178" t="s">
        <v>2</v>
      </c>
      <c r="C17" s="163" t="s">
        <v>74</v>
      </c>
      <c r="D17" s="162">
        <v>260</v>
      </c>
      <c r="E17" s="162">
        <v>247</v>
      </c>
      <c r="F17" s="162">
        <v>258</v>
      </c>
      <c r="G17" s="162">
        <v>245</v>
      </c>
      <c r="H17" s="199">
        <f t="shared" si="0"/>
        <v>0.7064819722880884</v>
      </c>
      <c r="I17" s="168">
        <v>0.5</v>
      </c>
      <c r="J17" s="199">
        <f t="shared" si="1"/>
        <v>1.0597437681731634</v>
      </c>
      <c r="K17" s="199">
        <f t="shared" si="2"/>
        <v>0.35323682432661485</v>
      </c>
      <c r="L17" s="202">
        <f t="shared" si="3"/>
        <v>0.353261795885075</v>
      </c>
    </row>
    <row r="18" spans="2:12" x14ac:dyDescent="0.2">
      <c r="B18" s="178" t="s">
        <v>76</v>
      </c>
      <c r="C18" s="163" t="s">
        <v>4</v>
      </c>
      <c r="D18" s="162">
        <v>220</v>
      </c>
      <c r="E18" s="162">
        <v>208</v>
      </c>
      <c r="F18" s="162">
        <v>219.5</v>
      </c>
      <c r="G18" s="162">
        <v>208</v>
      </c>
      <c r="H18" s="199">
        <f t="shared" si="0"/>
        <v>-3.9391007871618626</v>
      </c>
      <c r="I18" s="168">
        <v>0.5</v>
      </c>
      <c r="J18" s="199">
        <f t="shared" si="1"/>
        <v>-3.4940864951650497</v>
      </c>
      <c r="K18" s="199">
        <f t="shared" si="2"/>
        <v>-4.3841558652899693</v>
      </c>
      <c r="L18" s="202">
        <f t="shared" si="3"/>
        <v>0.44501429199681297</v>
      </c>
    </row>
    <row r="19" spans="2:12" x14ac:dyDescent="0.2">
      <c r="B19" s="178" t="s">
        <v>5</v>
      </c>
      <c r="C19" s="163" t="s">
        <v>70</v>
      </c>
      <c r="D19" s="162">
        <v>195.5</v>
      </c>
      <c r="E19" s="162">
        <v>185.5</v>
      </c>
      <c r="F19" s="162">
        <v>195.5</v>
      </c>
      <c r="G19" s="162">
        <v>185.5</v>
      </c>
      <c r="H19" s="199">
        <f t="shared" si="0"/>
        <v>0</v>
      </c>
      <c r="I19" s="168">
        <v>0.5</v>
      </c>
      <c r="J19" s="199">
        <f t="shared" si="1"/>
        <v>0.47738427134598282</v>
      </c>
      <c r="K19" s="199">
        <f t="shared" si="2"/>
        <v>-0.47738427134598282</v>
      </c>
      <c r="L19" s="202">
        <f t="shared" si="3"/>
        <v>0.47738427134598282</v>
      </c>
    </row>
    <row r="20" spans="2:12" x14ac:dyDescent="0.2">
      <c r="B20" s="178" t="s">
        <v>6</v>
      </c>
      <c r="C20" s="163" t="s">
        <v>72</v>
      </c>
      <c r="D20" s="162">
        <v>174</v>
      </c>
      <c r="E20" s="162">
        <v>165</v>
      </c>
      <c r="F20" s="162">
        <v>174</v>
      </c>
      <c r="G20" s="162">
        <v>165</v>
      </c>
      <c r="H20" s="199">
        <f t="shared" si="0"/>
        <v>0</v>
      </c>
      <c r="I20" s="168">
        <v>0.5</v>
      </c>
      <c r="J20" s="199">
        <f t="shared" si="1"/>
        <v>0.54271132870181304</v>
      </c>
      <c r="K20" s="199">
        <f t="shared" si="2"/>
        <v>-0.54271132870181304</v>
      </c>
      <c r="L20" s="202">
        <f t="shared" si="3"/>
        <v>0.54271132870181304</v>
      </c>
    </row>
    <row r="21" spans="2:12" x14ac:dyDescent="0.2">
      <c r="B21" s="178" t="s">
        <v>73</v>
      </c>
      <c r="C21" s="163" t="s">
        <v>8</v>
      </c>
      <c r="D21" s="162">
        <v>146.5</v>
      </c>
      <c r="E21" s="162">
        <v>138.5</v>
      </c>
      <c r="F21" s="162">
        <v>146</v>
      </c>
      <c r="G21" s="162">
        <v>138</v>
      </c>
      <c r="H21" s="199">
        <f t="shared" si="0"/>
        <v>0.34249647454652177</v>
      </c>
      <c r="I21" s="168">
        <v>0.5</v>
      </c>
      <c r="J21" s="199">
        <f t="shared" si="1"/>
        <v>1.0275148600856596</v>
      </c>
      <c r="K21" s="199">
        <f t="shared" si="2"/>
        <v>-0.34249647454652177</v>
      </c>
      <c r="L21" s="202">
        <f t="shared" si="3"/>
        <v>0.68501838553913785</v>
      </c>
    </row>
    <row r="22" spans="2:12" x14ac:dyDescent="0.2">
      <c r="B22" s="178"/>
      <c r="C22" s="163"/>
      <c r="D22" s="162"/>
      <c r="E22" s="162"/>
      <c r="F22" s="162"/>
      <c r="G22" s="162"/>
      <c r="H22" s="199" t="str">
        <f t="shared" si="0"/>
        <v/>
      </c>
      <c r="I22" s="168"/>
      <c r="J22" s="199" t="str">
        <f t="shared" si="1"/>
        <v/>
      </c>
      <c r="K22" s="199" t="str">
        <f t="shared" si="2"/>
        <v/>
      </c>
      <c r="L22" s="202" t="str">
        <f t="shared" si="3"/>
        <v/>
      </c>
    </row>
    <row r="23" spans="2:12" x14ac:dyDescent="0.2">
      <c r="B23" s="178"/>
      <c r="C23" s="163"/>
      <c r="D23" s="162"/>
      <c r="E23" s="162"/>
      <c r="F23" s="162"/>
      <c r="G23" s="162"/>
      <c r="H23" s="199" t="str">
        <f t="shared" si="0"/>
        <v/>
      </c>
      <c r="I23" s="168"/>
      <c r="J23" s="199" t="str">
        <f t="shared" si="1"/>
        <v/>
      </c>
      <c r="K23" s="199" t="str">
        <f t="shared" si="2"/>
        <v/>
      </c>
      <c r="L23" s="202" t="str">
        <f t="shared" si="3"/>
        <v/>
      </c>
    </row>
    <row r="24" spans="2:12" x14ac:dyDescent="0.2">
      <c r="B24" s="178"/>
      <c r="C24" s="163"/>
      <c r="D24" s="162"/>
      <c r="E24" s="162"/>
      <c r="F24" s="162"/>
      <c r="G24" s="162"/>
      <c r="H24" s="199" t="str">
        <f t="shared" si="0"/>
        <v/>
      </c>
      <c r="I24" s="168"/>
      <c r="J24" s="199" t="str">
        <f t="shared" si="1"/>
        <v/>
      </c>
      <c r="K24" s="199" t="str">
        <f t="shared" si="2"/>
        <v/>
      </c>
      <c r="L24" s="202" t="str">
        <f t="shared" si="3"/>
        <v/>
      </c>
    </row>
    <row r="25" spans="2:12" x14ac:dyDescent="0.2">
      <c r="B25" s="178"/>
      <c r="C25" s="163"/>
      <c r="D25" s="162"/>
      <c r="E25" s="162"/>
      <c r="F25" s="162"/>
      <c r="G25" s="162"/>
      <c r="H25" s="199" t="str">
        <f t="shared" si="0"/>
        <v/>
      </c>
      <c r="I25" s="168"/>
      <c r="J25" s="199" t="str">
        <f t="shared" si="1"/>
        <v/>
      </c>
      <c r="K25" s="199" t="str">
        <f t="shared" si="2"/>
        <v/>
      </c>
      <c r="L25" s="202" t="str">
        <f t="shared" si="3"/>
        <v/>
      </c>
    </row>
    <row r="26" spans="2:12" x14ac:dyDescent="0.2">
      <c r="B26" s="179"/>
      <c r="C26" s="180"/>
      <c r="D26" s="169"/>
      <c r="E26" s="169"/>
      <c r="F26" s="169"/>
      <c r="G26" s="169"/>
      <c r="H26" s="202" t="str">
        <f t="shared" si="0"/>
        <v/>
      </c>
      <c r="I26" s="214"/>
      <c r="J26" s="205" t="str">
        <f t="shared" si="1"/>
        <v/>
      </c>
      <c r="K26" s="205" t="str">
        <f t="shared" si="2"/>
        <v/>
      </c>
      <c r="L26" s="201" t="str">
        <f t="shared" si="3"/>
        <v/>
      </c>
    </row>
    <row r="27" spans="2:12" x14ac:dyDescent="0.2">
      <c r="G27" s="206" t="s">
        <v>571</v>
      </c>
      <c r="H27" s="207">
        <f>IF(MAX(H9:H26)&gt;ABS(MIN(H9:H26)),MAX(H9:H26),MIN(H9:H26))</f>
        <v>-3.9391007871618626</v>
      </c>
      <c r="I27" s="199"/>
      <c r="J27"/>
    </row>
    <row r="28" spans="2:12" x14ac:dyDescent="0.2">
      <c r="G28" s="215"/>
      <c r="H28" s="216"/>
      <c r="I28" s="199"/>
      <c r="J28"/>
    </row>
    <row r="29" spans="2:12" x14ac:dyDescent="0.2">
      <c r="G29" s="215"/>
      <c r="H29" s="216"/>
      <c r="I29" s="199"/>
      <c r="J29"/>
    </row>
    <row r="31" spans="2:12" x14ac:dyDescent="0.2">
      <c r="B31" s="203"/>
      <c r="C31" s="203"/>
      <c r="D31" s="203"/>
      <c r="E31" s="203"/>
      <c r="F31" s="203"/>
      <c r="G31" s="203"/>
      <c r="H31" s="203"/>
      <c r="I31" s="203"/>
      <c r="J31" s="203"/>
    </row>
    <row r="32" spans="2:12" x14ac:dyDescent="0.2">
      <c r="B32" s="200"/>
      <c r="C32" s="200"/>
      <c r="D32" s="215"/>
      <c r="E32" s="215"/>
      <c r="F32" s="241"/>
      <c r="G32" s="241"/>
      <c r="H32" s="241"/>
      <c r="I32" s="241"/>
      <c r="J32" s="241"/>
    </row>
    <row r="33" spans="2:10" x14ac:dyDescent="0.2">
      <c r="B33" s="242"/>
      <c r="C33" s="242"/>
      <c r="D33" s="243"/>
      <c r="E33" s="243"/>
      <c r="F33" s="77"/>
      <c r="G33" s="77"/>
      <c r="H33" s="77"/>
      <c r="I33" s="77"/>
      <c r="J33"/>
    </row>
    <row r="34" spans="2:10" x14ac:dyDescent="0.2">
      <c r="B34" s="242"/>
      <c r="C34" s="242"/>
      <c r="D34" s="243"/>
      <c r="E34" s="243"/>
      <c r="F34" s="77"/>
      <c r="G34" s="77"/>
      <c r="H34" s="77"/>
      <c r="I34" s="77"/>
      <c r="J34"/>
    </row>
    <row r="35" spans="2:10" x14ac:dyDescent="0.2">
      <c r="B35" s="242"/>
      <c r="C35" s="242"/>
      <c r="D35" s="243"/>
      <c r="E35" s="243"/>
      <c r="F35" s="77"/>
      <c r="G35" s="77"/>
      <c r="H35" s="77"/>
      <c r="I35" s="77"/>
      <c r="J35"/>
    </row>
    <row r="36" spans="2:10" x14ac:dyDescent="0.2">
      <c r="B36" s="242"/>
      <c r="C36" s="242"/>
      <c r="D36" s="243"/>
      <c r="E36" s="243"/>
      <c r="F36" s="77"/>
      <c r="G36" s="77"/>
      <c r="H36" s="77"/>
      <c r="I36" s="77"/>
      <c r="J36"/>
    </row>
    <row r="37" spans="2:10" x14ac:dyDescent="0.2">
      <c r="B37" s="242"/>
      <c r="C37" s="242"/>
      <c r="D37" s="243"/>
      <c r="E37" s="243"/>
      <c r="F37" s="77"/>
      <c r="G37" s="77"/>
      <c r="H37" s="77"/>
      <c r="I37" s="77"/>
      <c r="J37"/>
    </row>
    <row r="38" spans="2:10" x14ac:dyDescent="0.2">
      <c r="B38" s="242"/>
      <c r="C38" s="242"/>
      <c r="D38" s="243"/>
      <c r="E38" s="243"/>
      <c r="F38" s="77"/>
      <c r="G38" s="77"/>
      <c r="H38" s="77"/>
      <c r="I38" s="77"/>
      <c r="J38"/>
    </row>
    <row r="39" spans="2:10" x14ac:dyDescent="0.2">
      <c r="B39" s="242"/>
      <c r="C39" s="242"/>
      <c r="D39" s="243"/>
      <c r="E39" s="243"/>
      <c r="F39" s="77"/>
      <c r="G39" s="77"/>
      <c r="H39" s="77"/>
      <c r="I39" s="77"/>
      <c r="J39"/>
    </row>
    <row r="40" spans="2:10" x14ac:dyDescent="0.2">
      <c r="B40" s="242"/>
      <c r="C40" s="242"/>
      <c r="D40" s="243"/>
      <c r="E40" s="243"/>
      <c r="F40" s="77"/>
      <c r="G40" s="77"/>
      <c r="H40" s="77"/>
      <c r="I40" s="77"/>
      <c r="J40"/>
    </row>
    <row r="41" spans="2:10" x14ac:dyDescent="0.2">
      <c r="B41" s="242"/>
      <c r="C41" s="242"/>
      <c r="D41" s="243"/>
      <c r="E41" s="243"/>
      <c r="F41" s="77"/>
      <c r="G41" s="77"/>
      <c r="H41" s="77"/>
      <c r="I41" s="77"/>
      <c r="J41"/>
    </row>
    <row r="42" spans="2:10" x14ac:dyDescent="0.2">
      <c r="B42" s="242"/>
      <c r="C42" s="242"/>
      <c r="D42" s="243"/>
      <c r="E42" s="243"/>
      <c r="F42" s="77"/>
      <c r="G42" s="77"/>
      <c r="H42" s="77"/>
      <c r="I42" s="77"/>
      <c r="J42"/>
    </row>
    <row r="43" spans="2:10" x14ac:dyDescent="0.2">
      <c r="B43" s="242"/>
      <c r="C43" s="242"/>
      <c r="D43" s="243"/>
      <c r="E43" s="243"/>
      <c r="F43" s="77"/>
      <c r="G43" s="77"/>
      <c r="H43" s="77"/>
      <c r="I43" s="77"/>
      <c r="J43"/>
    </row>
    <row r="44" spans="2:10" x14ac:dyDescent="0.2">
      <c r="B44" s="242"/>
      <c r="C44" s="242"/>
      <c r="D44" s="243"/>
      <c r="E44" s="243"/>
      <c r="F44" s="77"/>
      <c r="G44" s="77"/>
      <c r="H44" s="77"/>
      <c r="I44" s="77"/>
      <c r="J44"/>
    </row>
    <row r="45" spans="2:10" x14ac:dyDescent="0.2">
      <c r="B45" s="242"/>
      <c r="C45" s="242"/>
      <c r="D45" s="243"/>
      <c r="E45" s="243"/>
      <c r="F45" s="77"/>
      <c r="G45" s="77"/>
      <c r="H45" s="77"/>
      <c r="I45" s="77"/>
      <c r="J45"/>
    </row>
    <row r="46" spans="2:10" x14ac:dyDescent="0.2">
      <c r="B46" s="242"/>
      <c r="C46" s="242"/>
      <c r="F46" s="77"/>
      <c r="G46" s="77"/>
      <c r="H46" s="77"/>
      <c r="I46" s="77"/>
      <c r="J46"/>
    </row>
    <row r="47" spans="2:10" x14ac:dyDescent="0.2">
      <c r="B47" s="242"/>
      <c r="C47" s="242"/>
      <c r="F47" s="77"/>
      <c r="G47" s="77"/>
      <c r="H47" s="77"/>
      <c r="I47" s="77"/>
      <c r="J47"/>
    </row>
    <row r="48" spans="2:10" x14ac:dyDescent="0.2">
      <c r="B48" s="242"/>
      <c r="C48" s="242"/>
      <c r="F48" s="77"/>
      <c r="G48" s="77"/>
      <c r="H48" s="77"/>
      <c r="I48" s="77"/>
      <c r="J48"/>
    </row>
    <row r="49" spans="2:10" x14ac:dyDescent="0.2">
      <c r="B49" s="242"/>
      <c r="C49" s="242"/>
      <c r="F49" s="77"/>
      <c r="G49" s="77"/>
      <c r="H49" s="77"/>
      <c r="I49" s="77"/>
      <c r="J49"/>
    </row>
    <row r="50" spans="2:10" x14ac:dyDescent="0.2">
      <c r="B50" s="242"/>
      <c r="C50" s="242"/>
      <c r="F50" s="77"/>
      <c r="G50" s="77"/>
      <c r="H50" s="77"/>
      <c r="I50" s="77"/>
      <c r="J50" s="77"/>
    </row>
  </sheetData>
  <sheetProtection sheet="1" scenarios="1" formatCells="0"/>
  <mergeCells count="3">
    <mergeCell ref="B1:J1"/>
    <mergeCell ref="B7:G7"/>
    <mergeCell ref="I7:L7"/>
  </mergeCells>
  <conditionalFormatting sqref="A1:XFD1048576">
    <cfRule type="expression" dxfId="123" priority="1">
      <formula>CELL("protect",A1)=0</formula>
    </cfRule>
    <cfRule type="expression" dxfId="122" priority="2">
      <formula>_xlfn.ISFORMULA(A1)</formula>
    </cfRule>
  </conditionalFormatting>
  <hyperlinks>
    <hyperlink ref="B4" location="Overview!A1" display="Back to Overview" xr:uid="{E655F77E-D0B0-3741-94F0-FA5E9FA8607C}"/>
  </hyperlink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EF91C-5164-C044-BA94-339A4B71CF36}">
  <sheetPr>
    <tabColor theme="9" tint="0.59999389629810485"/>
  </sheetPr>
  <dimension ref="A1:Z37"/>
  <sheetViews>
    <sheetView zoomScale="93" zoomScaleNormal="100" workbookViewId="0"/>
  </sheetViews>
  <sheetFormatPr baseColWidth="10" defaultColWidth="12" defaultRowHeight="16" x14ac:dyDescent="0.2"/>
  <cols>
    <col min="1" max="1" width="2.83203125" style="110" customWidth="1"/>
    <col min="2" max="7" width="12" style="110"/>
    <col min="8" max="9" width="14.33203125" style="110" customWidth="1"/>
    <col min="10" max="12" width="12" style="110"/>
    <col min="13" max="14" width="14.33203125" style="110" customWidth="1"/>
    <col min="15" max="17" width="12" style="110"/>
    <col min="18" max="19" width="14.33203125" style="110" customWidth="1"/>
    <col min="20" max="22" width="12" style="110"/>
    <col min="23" max="24" width="14.33203125" style="110" customWidth="1"/>
    <col min="25" max="16384" width="12" style="110"/>
  </cols>
  <sheetData>
    <row r="1" spans="1:26" s="111" customFormat="1" ht="18" x14ac:dyDescent="0.2">
      <c r="A1" s="110"/>
      <c r="B1" s="289" t="s">
        <v>590</v>
      </c>
      <c r="C1" s="289"/>
      <c r="D1" s="289"/>
      <c r="E1" s="289"/>
      <c r="F1" s="289"/>
      <c r="G1" s="289"/>
      <c r="H1" s="289"/>
      <c r="M1" s="111" t="s">
        <v>481</v>
      </c>
    </row>
    <row r="3" spans="1:26" s="112" customFormat="1" x14ac:dyDescent="0.2">
      <c r="B3" s="290" t="s">
        <v>59</v>
      </c>
      <c r="C3" s="290"/>
      <c r="D3" s="291"/>
      <c r="E3" s="290"/>
      <c r="H3" s="292" t="s">
        <v>556</v>
      </c>
      <c r="I3" s="292"/>
      <c r="J3" s="292"/>
      <c r="K3" s="292"/>
      <c r="M3" s="292" t="s">
        <v>589</v>
      </c>
      <c r="N3" s="292"/>
      <c r="O3" s="292"/>
      <c r="P3" s="292"/>
      <c r="R3" s="292" t="s">
        <v>101</v>
      </c>
      <c r="S3" s="292"/>
      <c r="T3" s="292"/>
      <c r="U3" s="292"/>
      <c r="W3" s="292" t="s">
        <v>158</v>
      </c>
      <c r="X3" s="292"/>
      <c r="Y3" s="292"/>
      <c r="Z3" s="292"/>
    </row>
    <row r="4" spans="1:26" s="112" customFormat="1" x14ac:dyDescent="0.2">
      <c r="B4" s="113"/>
      <c r="C4" s="113"/>
      <c r="D4" s="113"/>
      <c r="E4" s="113"/>
      <c r="H4" s="287" t="str" cm="1">
        <f t="array" aca="1" ref="H4" ca="1">INDIRECT("'"&amp;H3&amp;"'!B1")</f>
        <v>Grote 5th</v>
      </c>
      <c r="I4" s="287"/>
      <c r="J4" s="287"/>
      <c r="K4" s="287"/>
      <c r="M4" s="287" t="str" cm="1">
        <f t="array" aca="1" ref="M4" ca="1">INDIRECT("'"&amp;M3&amp;"'!B1")</f>
        <v>Bendeler 3</v>
      </c>
      <c r="N4" s="287"/>
      <c r="O4" s="287"/>
      <c r="P4" s="287"/>
      <c r="R4" s="287" t="str" cm="1">
        <f t="array" aca="1" ref="R4" ca="1">INDIRECT("'"&amp;R3&amp;"'!B1")</f>
        <v>Neidhardt 3</v>
      </c>
      <c r="S4" s="287"/>
      <c r="T4" s="287"/>
      <c r="U4" s="287"/>
      <c r="W4" s="287" t="str" cm="1">
        <f t="array" aca="1" ref="W4" ca="1">INDIRECT("'"&amp;W3&amp;"'!B1")</f>
        <v>Equal Temperament</v>
      </c>
      <c r="X4" s="287"/>
      <c r="Y4" s="287"/>
      <c r="Z4" s="287"/>
    </row>
    <row r="5" spans="1:26" s="115" customFormat="1" ht="68" x14ac:dyDescent="0.2">
      <c r="B5" s="116" t="s">
        <v>56</v>
      </c>
      <c r="C5" s="116" t="s">
        <v>57</v>
      </c>
      <c r="D5" s="115" t="s">
        <v>25</v>
      </c>
      <c r="E5" s="115" t="s">
        <v>26</v>
      </c>
      <c r="F5" s="115" t="str" cm="1">
        <f t="array" aca="1" ref="F5" ca="1">_xlfn.CONCAT(_xlfn.TEXTAFTER(CELL("filename",B3),"]")," Fret Size cents")</f>
        <v>Bergmann, Leipzig 10, 2025 Fret Size cents</v>
      </c>
      <c r="H5" s="115" t="str">
        <f>_xlfn.CONCAT(H3," Frequency 1")</f>
        <v>Grote 5th Frequency 1</v>
      </c>
      <c r="I5" s="115" t="str">
        <f>_xlfn.CONCAT(H3," Frequency 2")</f>
        <v>Grote 5th Frequency 2</v>
      </c>
      <c r="J5" s="115" t="s">
        <v>472</v>
      </c>
      <c r="K5" s="115" t="s">
        <v>473</v>
      </c>
      <c r="M5" s="115" t="str">
        <f>_xlfn.CONCAT(M3," Frequency 1")</f>
        <v>BDO Any Frequency 1</v>
      </c>
      <c r="N5" s="115" t="str">
        <f>_xlfn.CONCAT(M3," Frequency 2")</f>
        <v>BDO Any Frequency 2</v>
      </c>
      <c r="O5" s="115" t="s">
        <v>472</v>
      </c>
      <c r="P5" s="115" t="s">
        <v>473</v>
      </c>
      <c r="R5" s="115" t="str">
        <f>_xlfn.CONCAT(R3," Frequency 1")</f>
        <v>Neidhardt 3 Frequency 1</v>
      </c>
      <c r="S5" s="115" t="str">
        <f>_xlfn.CONCAT(R3," Frequency 2")</f>
        <v>Neidhardt 3 Frequency 2</v>
      </c>
      <c r="T5" s="115" t="s">
        <v>472</v>
      </c>
      <c r="U5" s="115" t="s">
        <v>473</v>
      </c>
      <c r="W5" s="115" t="str">
        <f>_xlfn.CONCAT(W3," Frequency 1")</f>
        <v>Equal Frequency 1</v>
      </c>
      <c r="X5" s="115" t="str">
        <f>_xlfn.CONCAT(W3," Frequency 2")</f>
        <v>Equal Frequency 2</v>
      </c>
      <c r="Y5" s="115" t="s">
        <v>472</v>
      </c>
      <c r="Z5" s="115" t="s">
        <v>473</v>
      </c>
    </row>
    <row r="6" spans="1:26" x14ac:dyDescent="0.2">
      <c r="B6" s="163" t="s">
        <v>76</v>
      </c>
      <c r="C6" s="163" t="s">
        <v>4</v>
      </c>
      <c r="D6" s="162">
        <v>674</v>
      </c>
      <c r="E6" s="162">
        <v>635</v>
      </c>
      <c r="F6" s="110">
        <f t="shared" ref="F6:F20" si="0">1200*LOG(D6/E6,2)</f>
        <v>103.19039942679643</v>
      </c>
      <c r="H6" s="110">
        <f t="shared" ref="H6:I20" ca="1" si="1">VLOOKUP(B6,INDIRECT("'"&amp;$H$3&amp;"'!Master_Frequencies"),2,FALSE)</f>
        <v>311.54887872731769</v>
      </c>
      <c r="I6" s="110">
        <f t="shared" ca="1" si="1"/>
        <v>330</v>
      </c>
      <c r="J6" s="110">
        <f t="shared" ref="J6:J20" ca="1" si="2">LOG(I6/H6,2)*1200</f>
        <v>99.6089998269224</v>
      </c>
      <c r="K6" s="110">
        <f t="shared" ref="K6:K20" ca="1" si="3">J6-F6</f>
        <v>-3.5813995998740324</v>
      </c>
      <c r="M6" s="110">
        <f t="shared" ref="M6:N20" ca="1" si="4">VLOOKUP(B6,INDIRECT("'"&amp;$M$3&amp;"'!Master_Frequencies"),2,FALSE)</f>
        <v>311.12698372208087</v>
      </c>
      <c r="N6" s="110">
        <f t="shared" ca="1" si="4"/>
        <v>330.00857764287997</v>
      </c>
      <c r="O6" s="110">
        <f t="shared" ref="O6:O20" ca="1" si="5">LOG(N6/M6,2)*1200</f>
        <v>102.00000000000013</v>
      </c>
      <c r="P6" s="110">
        <f t="shared" ref="P6:P20" ca="1" si="6">O6-F6</f>
        <v>-1.1903994267963043</v>
      </c>
      <c r="R6" s="110">
        <f t="shared" ref="R6:S20" ca="1" si="7">VLOOKUP(B6,INDIRECT("'"&amp;$R$3&amp;"'!Master_Frequencies"),2,FALSE)</f>
        <v>311.83045984898121</v>
      </c>
      <c r="S6" s="110">
        <f t="shared" ca="1" si="7"/>
        <v>330.00000000000011</v>
      </c>
      <c r="T6" s="110">
        <f t="shared" ref="T6:T20" ca="1" si="8">LOG(S6/R6,2)*1200</f>
        <v>98.044999134612695</v>
      </c>
      <c r="U6" s="110">
        <f t="shared" ref="U6:U20" ca="1" si="9">T6-F6</f>
        <v>-5.1454002921837372</v>
      </c>
      <c r="W6" s="110">
        <f t="shared" ref="W6:X20" ca="1" si="10">VLOOKUP(B6,INDIRECT("'"&amp;$W$3&amp;"'!Master_Frequencies"),2,FALSE)</f>
        <v>311.12698372208087</v>
      </c>
      <c r="X6" s="110">
        <f t="shared" ca="1" si="10"/>
        <v>329.62755691286992</v>
      </c>
      <c r="Y6" s="110">
        <f t="shared" ref="Y6:Y20" ca="1" si="11">LOG(X6/W6,2)*1200</f>
        <v>100.00000000000007</v>
      </c>
      <c r="Z6" s="110">
        <f t="shared" ref="Z6:Z20" ca="1" si="12">Y6-F6</f>
        <v>-3.1903994267963611</v>
      </c>
    </row>
    <row r="7" spans="1:26" x14ac:dyDescent="0.2">
      <c r="B7" s="163" t="s">
        <v>5</v>
      </c>
      <c r="C7" s="163" t="s">
        <v>70</v>
      </c>
      <c r="D7" s="162">
        <v>623</v>
      </c>
      <c r="E7" s="162">
        <v>590</v>
      </c>
      <c r="F7" s="110">
        <f t="shared" si="0"/>
        <v>94.220650529757748</v>
      </c>
      <c r="G7" s="7"/>
      <c r="H7" s="110">
        <f t="shared" ca="1" si="1"/>
        <v>350.49248856823237</v>
      </c>
      <c r="I7" s="110">
        <f t="shared" ca="1" si="1"/>
        <v>370.24519799724584</v>
      </c>
      <c r="J7" s="110">
        <f t="shared" ca="1" si="2"/>
        <v>94.916997749992618</v>
      </c>
      <c r="K7" s="110">
        <f t="shared" ca="1" si="3"/>
        <v>0.69634722023486972</v>
      </c>
      <c r="M7" s="110">
        <f t="shared" ca="1" si="4"/>
        <v>350.03605285216423</v>
      </c>
      <c r="N7" s="110">
        <f t="shared" ca="1" si="4"/>
        <v>369.99442271163434</v>
      </c>
      <c r="O7" s="110">
        <f t="shared" ca="1" si="5"/>
        <v>95.999999999999815</v>
      </c>
      <c r="P7" s="110">
        <f t="shared" ca="1" si="6"/>
        <v>1.7793494702420674</v>
      </c>
      <c r="R7" s="110">
        <f t="shared" ca="1" si="7"/>
        <v>350.41333858307883</v>
      </c>
      <c r="S7" s="110">
        <f t="shared" ca="1" si="7"/>
        <v>370.41247594209324</v>
      </c>
      <c r="T7" s="110">
        <f t="shared" ca="1" si="8"/>
        <v>96.089998269225319</v>
      </c>
      <c r="U7" s="110">
        <f t="shared" ca="1" si="9"/>
        <v>1.869347739467571</v>
      </c>
      <c r="W7" s="110">
        <f t="shared" ca="1" si="10"/>
        <v>349.22823143300388</v>
      </c>
      <c r="X7" s="110">
        <f t="shared" ca="1" si="10"/>
        <v>369.9944227116344</v>
      </c>
      <c r="Y7" s="110">
        <f t="shared" ca="1" si="11"/>
        <v>100.00000000000007</v>
      </c>
      <c r="Z7" s="110">
        <f t="shared" ca="1" si="12"/>
        <v>5.7793494702423232</v>
      </c>
    </row>
    <row r="8" spans="1:26" x14ac:dyDescent="0.2">
      <c r="B8" s="163" t="s">
        <v>6</v>
      </c>
      <c r="C8" s="163" t="s">
        <v>72</v>
      </c>
      <c r="D8" s="162">
        <v>578</v>
      </c>
      <c r="E8" s="162">
        <v>545</v>
      </c>
      <c r="F8" s="110">
        <f t="shared" si="0"/>
        <v>101.77591540366805</v>
      </c>
      <c r="G8" s="7"/>
      <c r="H8" s="110">
        <f t="shared" ca="1" si="1"/>
        <v>393.23685098937153</v>
      </c>
      <c r="I8" s="110">
        <f t="shared" ca="1" si="1"/>
        <v>416.52584774690155</v>
      </c>
      <c r="J8" s="110">
        <f t="shared" ca="1" si="2"/>
        <v>99.6089998269224</v>
      </c>
      <c r="K8" s="110">
        <f t="shared" ca="1" si="3"/>
        <v>-2.1669155767456516</v>
      </c>
      <c r="M8" s="110">
        <f t="shared" ca="1" si="4"/>
        <v>392.44854854484072</v>
      </c>
      <c r="N8" s="110">
        <f t="shared" ca="1" si="4"/>
        <v>416.26536455926225</v>
      </c>
      <c r="O8" s="110">
        <f t="shared" ca="1" si="5"/>
        <v>102.00000000000047</v>
      </c>
      <c r="P8" s="110">
        <f t="shared" ca="1" si="6"/>
        <v>0.22408459633241762</v>
      </c>
      <c r="R8" s="110">
        <f t="shared" ca="1" si="7"/>
        <v>392.43834795089805</v>
      </c>
      <c r="S8" s="110">
        <f t="shared" ca="1" si="7"/>
        <v>416.24372555058881</v>
      </c>
      <c r="T8" s="110">
        <f t="shared" ca="1" si="8"/>
        <v>101.95500086538728</v>
      </c>
      <c r="U8" s="110">
        <f t="shared" ca="1" si="9"/>
        <v>0.17908546171922524</v>
      </c>
      <c r="W8" s="110">
        <f t="shared" ca="1" si="10"/>
        <v>391.99543598174927</v>
      </c>
      <c r="X8" s="110">
        <f t="shared" ca="1" si="10"/>
        <v>415.30469757994507</v>
      </c>
      <c r="Y8" s="110">
        <f t="shared" ca="1" si="11"/>
        <v>99.99999999999973</v>
      </c>
      <c r="Z8" s="110">
        <f t="shared" ca="1" si="12"/>
        <v>-1.7759154036683213</v>
      </c>
    </row>
    <row r="9" spans="1:26" x14ac:dyDescent="0.2">
      <c r="B9" s="163" t="s">
        <v>73</v>
      </c>
      <c r="C9" s="163" t="s">
        <v>8</v>
      </c>
      <c r="D9" s="162">
        <v>513</v>
      </c>
      <c r="E9" s="162">
        <v>486</v>
      </c>
      <c r="F9" s="110">
        <f t="shared" si="0"/>
        <v>93.603014401527801</v>
      </c>
      <c r="G9" s="7"/>
      <c r="H9" s="110">
        <f t="shared" ca="1" si="1"/>
        <v>467.3233180909765</v>
      </c>
      <c r="I9" s="110">
        <f t="shared" ca="1" si="1"/>
        <v>493.66026399632779</v>
      </c>
      <c r="J9" s="110">
        <f t="shared" ca="1" si="2"/>
        <v>94.916997749992618</v>
      </c>
      <c r="K9" s="110">
        <f t="shared" ca="1" si="3"/>
        <v>1.3139833484648165</v>
      </c>
      <c r="M9" s="110">
        <f t="shared" ca="1" si="4"/>
        <v>466.70260620201543</v>
      </c>
      <c r="N9" s="110">
        <f t="shared" ca="1" si="4"/>
        <v>493.31307433254386</v>
      </c>
      <c r="O9" s="110">
        <f t="shared" ca="1" si="5"/>
        <v>95.999999999999815</v>
      </c>
      <c r="P9" s="110">
        <f t="shared" ca="1" si="6"/>
        <v>2.3969855984720141</v>
      </c>
      <c r="R9" s="110">
        <f t="shared" ca="1" si="7"/>
        <v>467.2177847774384</v>
      </c>
      <c r="S9" s="110">
        <f t="shared" ca="1" si="7"/>
        <v>494.44133536930508</v>
      </c>
      <c r="T9" s="110">
        <f t="shared" ca="1" si="8"/>
        <v>98.044999134612695</v>
      </c>
      <c r="U9" s="110">
        <f t="shared" ca="1" si="9"/>
        <v>4.4419847330848938</v>
      </c>
      <c r="W9" s="110">
        <f t="shared" ca="1" si="10"/>
        <v>466.16376151808987</v>
      </c>
      <c r="X9" s="110">
        <f t="shared" ca="1" si="10"/>
        <v>493.88330125612407</v>
      </c>
      <c r="Y9" s="110">
        <f t="shared" ca="1" si="11"/>
        <v>100.00000000000007</v>
      </c>
      <c r="Z9" s="110">
        <f t="shared" ca="1" si="12"/>
        <v>6.3969855984722699</v>
      </c>
    </row>
    <row r="10" spans="1:26" x14ac:dyDescent="0.2">
      <c r="B10" s="163" t="s">
        <v>2</v>
      </c>
      <c r="C10" s="163" t="s">
        <v>74</v>
      </c>
      <c r="D10" s="162">
        <v>475</v>
      </c>
      <c r="E10" s="162">
        <v>449</v>
      </c>
      <c r="F10" s="110">
        <f t="shared" si="0"/>
        <v>97.45448217259603</v>
      </c>
      <c r="G10" s="7"/>
      <c r="H10" s="110">
        <f t="shared" ca="1" si="1"/>
        <v>262.86936642617428</v>
      </c>
      <c r="I10" s="110">
        <f t="shared" ca="1" si="1"/>
        <v>277.68389849793436</v>
      </c>
      <c r="J10" s="110">
        <f t="shared" ca="1" si="2"/>
        <v>94.916997749992618</v>
      </c>
      <c r="K10" s="110">
        <f t="shared" ca="1" si="3"/>
        <v>-2.5374844226034128</v>
      </c>
      <c r="M10" s="110">
        <f t="shared" ca="1" si="4"/>
        <v>262.5338634669788</v>
      </c>
      <c r="N10" s="110">
        <f t="shared" ca="1" si="4"/>
        <v>277.50302994287489</v>
      </c>
      <c r="O10" s="110">
        <f t="shared" ca="1" si="5"/>
        <v>95.999999999999815</v>
      </c>
      <c r="P10" s="110">
        <f t="shared" ca="1" si="6"/>
        <v>-1.4544821725962152</v>
      </c>
      <c r="R10" s="110">
        <f t="shared" ca="1" si="7"/>
        <v>262.21711585392563</v>
      </c>
      <c r="S10" s="110">
        <f t="shared" ca="1" si="7"/>
        <v>277.49581703372587</v>
      </c>
      <c r="T10" s="110">
        <f t="shared" ca="1" si="8"/>
        <v>98.044999134612695</v>
      </c>
      <c r="U10" s="110">
        <f t="shared" ca="1" si="9"/>
        <v>0.59051696201666459</v>
      </c>
      <c r="W10" s="110">
        <f t="shared" ca="1" si="10"/>
        <v>261.62556530059862</v>
      </c>
      <c r="X10" s="110">
        <f t="shared" ca="1" si="10"/>
        <v>277.18263097687208</v>
      </c>
      <c r="Y10" s="110">
        <f t="shared" ca="1" si="11"/>
        <v>100.00000000000007</v>
      </c>
      <c r="Z10" s="110">
        <f t="shared" ca="1" si="12"/>
        <v>2.5455178274040406</v>
      </c>
    </row>
    <row r="11" spans="1:26" x14ac:dyDescent="0.2">
      <c r="B11" s="163" t="s">
        <v>76</v>
      </c>
      <c r="C11" s="163" t="s">
        <v>4</v>
      </c>
      <c r="D11" s="162">
        <v>416</v>
      </c>
      <c r="E11" s="162">
        <v>393</v>
      </c>
      <c r="F11" s="110">
        <f t="shared" si="0"/>
        <v>98.465059058982703</v>
      </c>
      <c r="G11" s="7"/>
      <c r="H11" s="110">
        <f t="shared" ca="1" si="1"/>
        <v>311.54887872731769</v>
      </c>
      <c r="I11" s="110">
        <f t="shared" ca="1" si="1"/>
        <v>330</v>
      </c>
      <c r="J11" s="110">
        <f t="shared" ca="1" si="2"/>
        <v>99.6089998269224</v>
      </c>
      <c r="K11" s="110">
        <f t="shared" ca="1" si="3"/>
        <v>1.1439407679396965</v>
      </c>
      <c r="M11" s="110">
        <f t="shared" ca="1" si="4"/>
        <v>311.12698372208087</v>
      </c>
      <c r="N11" s="110">
        <f t="shared" ca="1" si="4"/>
        <v>330.00857764287997</v>
      </c>
      <c r="O11" s="110">
        <f t="shared" ca="1" si="5"/>
        <v>102.00000000000013</v>
      </c>
      <c r="P11" s="110">
        <f t="shared" ca="1" si="6"/>
        <v>3.5349409410174246</v>
      </c>
      <c r="R11" s="110">
        <f t="shared" ca="1" si="7"/>
        <v>311.83045984898121</v>
      </c>
      <c r="S11" s="110">
        <f t="shared" ca="1" si="7"/>
        <v>330.00000000000011</v>
      </c>
      <c r="T11" s="110">
        <f t="shared" ca="1" si="8"/>
        <v>98.044999134612695</v>
      </c>
      <c r="U11" s="110">
        <f t="shared" ca="1" si="9"/>
        <v>-0.42005992437000828</v>
      </c>
      <c r="W11" s="110">
        <f t="shared" ca="1" si="10"/>
        <v>311.12698372208087</v>
      </c>
      <c r="X11" s="110">
        <f t="shared" ca="1" si="10"/>
        <v>329.62755691286992</v>
      </c>
      <c r="Y11" s="110">
        <f t="shared" ca="1" si="11"/>
        <v>100.00000000000007</v>
      </c>
      <c r="Z11" s="110">
        <f t="shared" ca="1" si="12"/>
        <v>1.5349409410173678</v>
      </c>
    </row>
    <row r="12" spans="1:26" x14ac:dyDescent="0.2">
      <c r="B12" s="163" t="s">
        <v>5</v>
      </c>
      <c r="C12" s="163" t="s">
        <v>70</v>
      </c>
      <c r="D12" s="162">
        <v>381</v>
      </c>
      <c r="E12" s="162">
        <v>361</v>
      </c>
      <c r="F12" s="110">
        <f t="shared" si="0"/>
        <v>93.350592727381127</v>
      </c>
      <c r="G12" s="7"/>
      <c r="H12" s="110">
        <f t="shared" ca="1" si="1"/>
        <v>350.49248856823237</v>
      </c>
      <c r="I12" s="110">
        <f t="shared" ca="1" si="1"/>
        <v>370.24519799724584</v>
      </c>
      <c r="J12" s="110">
        <f t="shared" ca="1" si="2"/>
        <v>94.916997749992618</v>
      </c>
      <c r="K12" s="110">
        <f t="shared" ca="1" si="3"/>
        <v>1.5664050226114909</v>
      </c>
      <c r="M12" s="110">
        <f t="shared" ca="1" si="4"/>
        <v>350.03605285216423</v>
      </c>
      <c r="N12" s="110">
        <f t="shared" ca="1" si="4"/>
        <v>369.99442271163434</v>
      </c>
      <c r="O12" s="110">
        <f t="shared" ca="1" si="5"/>
        <v>95.999999999999815</v>
      </c>
      <c r="P12" s="110">
        <f t="shared" ca="1" si="6"/>
        <v>2.6494072726186886</v>
      </c>
      <c r="R12" s="110">
        <f t="shared" ca="1" si="7"/>
        <v>350.41333858307883</v>
      </c>
      <c r="S12" s="110">
        <f t="shared" ca="1" si="7"/>
        <v>370.41247594209324</v>
      </c>
      <c r="T12" s="110">
        <f t="shared" ca="1" si="8"/>
        <v>96.089998269225319</v>
      </c>
      <c r="U12" s="110">
        <f t="shared" ca="1" si="9"/>
        <v>2.7394055418441923</v>
      </c>
      <c r="W12" s="110">
        <f t="shared" ca="1" si="10"/>
        <v>349.22823143300388</v>
      </c>
      <c r="X12" s="110">
        <f t="shared" ca="1" si="10"/>
        <v>369.9944227116344</v>
      </c>
      <c r="Y12" s="110">
        <f t="shared" ca="1" si="11"/>
        <v>100.00000000000007</v>
      </c>
      <c r="Z12" s="110">
        <f t="shared" ca="1" si="12"/>
        <v>6.6494072726189444</v>
      </c>
    </row>
    <row r="13" spans="1:26" x14ac:dyDescent="0.2">
      <c r="B13" s="163" t="s">
        <v>6</v>
      </c>
      <c r="C13" s="163" t="s">
        <v>72</v>
      </c>
      <c r="D13" s="162">
        <v>349</v>
      </c>
      <c r="E13" s="162">
        <v>328</v>
      </c>
      <c r="F13" s="110">
        <f t="shared" si="0"/>
        <v>107.43746590988216</v>
      </c>
      <c r="G13" s="7"/>
      <c r="H13" s="110">
        <f t="shared" ca="1" si="1"/>
        <v>393.23685098937153</v>
      </c>
      <c r="I13" s="110">
        <f t="shared" ca="1" si="1"/>
        <v>416.52584774690155</v>
      </c>
      <c r="J13" s="110">
        <f t="shared" ca="1" si="2"/>
        <v>99.6089998269224</v>
      </c>
      <c r="K13" s="110">
        <f t="shared" ca="1" si="3"/>
        <v>-7.8284660829597641</v>
      </c>
      <c r="M13" s="110">
        <f t="shared" ca="1" si="4"/>
        <v>392.44854854484072</v>
      </c>
      <c r="N13" s="110">
        <f t="shared" ca="1" si="4"/>
        <v>416.26536455926225</v>
      </c>
      <c r="O13" s="110">
        <f t="shared" ca="1" si="5"/>
        <v>102.00000000000047</v>
      </c>
      <c r="P13" s="110">
        <f t="shared" ca="1" si="6"/>
        <v>-5.4374659098816949</v>
      </c>
      <c r="R13" s="110">
        <f t="shared" ca="1" si="7"/>
        <v>392.43834795089805</v>
      </c>
      <c r="S13" s="110">
        <f t="shared" ca="1" si="7"/>
        <v>416.24372555058881</v>
      </c>
      <c r="T13" s="110">
        <f t="shared" ca="1" si="8"/>
        <v>101.95500086538728</v>
      </c>
      <c r="U13" s="110">
        <f t="shared" ca="1" si="9"/>
        <v>-5.4824650444948873</v>
      </c>
      <c r="W13" s="110">
        <f t="shared" ca="1" si="10"/>
        <v>391.99543598174927</v>
      </c>
      <c r="X13" s="110">
        <f t="shared" ca="1" si="10"/>
        <v>415.30469757994507</v>
      </c>
      <c r="Y13" s="110">
        <f t="shared" ca="1" si="11"/>
        <v>99.99999999999973</v>
      </c>
      <c r="Z13" s="110">
        <f t="shared" ca="1" si="12"/>
        <v>-7.4374659098824338</v>
      </c>
    </row>
    <row r="14" spans="1:26" x14ac:dyDescent="0.2">
      <c r="B14" s="163" t="s">
        <v>73</v>
      </c>
      <c r="C14" s="163" t="s">
        <v>8</v>
      </c>
      <c r="D14" s="162">
        <v>300</v>
      </c>
      <c r="E14" s="162">
        <v>283.5</v>
      </c>
      <c r="F14" s="110">
        <f t="shared" si="0"/>
        <v>97.936518664382362</v>
      </c>
      <c r="G14" s="7"/>
      <c r="H14" s="110">
        <f t="shared" ca="1" si="1"/>
        <v>467.3233180909765</v>
      </c>
      <c r="I14" s="110">
        <f t="shared" ca="1" si="1"/>
        <v>493.66026399632779</v>
      </c>
      <c r="J14" s="110">
        <f t="shared" ca="1" si="2"/>
        <v>94.916997749992618</v>
      </c>
      <c r="K14" s="110">
        <f t="shared" ca="1" si="3"/>
        <v>-3.0195209143897443</v>
      </c>
      <c r="M14" s="110">
        <f t="shared" ca="1" si="4"/>
        <v>466.70260620201543</v>
      </c>
      <c r="N14" s="110">
        <f t="shared" ca="1" si="4"/>
        <v>493.31307433254386</v>
      </c>
      <c r="O14" s="110">
        <f t="shared" ca="1" si="5"/>
        <v>95.999999999999815</v>
      </c>
      <c r="P14" s="110">
        <f t="shared" ca="1" si="6"/>
        <v>-1.9365186643825467</v>
      </c>
      <c r="R14" s="110">
        <f t="shared" ca="1" si="7"/>
        <v>467.2177847774384</v>
      </c>
      <c r="S14" s="110">
        <f t="shared" ca="1" si="7"/>
        <v>494.44133536930508</v>
      </c>
      <c r="T14" s="110">
        <f t="shared" ca="1" si="8"/>
        <v>98.044999134612695</v>
      </c>
      <c r="U14" s="110">
        <f t="shared" ca="1" si="9"/>
        <v>0.10848047023033303</v>
      </c>
      <c r="W14" s="110">
        <f t="shared" ca="1" si="10"/>
        <v>466.16376151808987</v>
      </c>
      <c r="X14" s="110">
        <f t="shared" ca="1" si="10"/>
        <v>493.88330125612407</v>
      </c>
      <c r="Y14" s="110">
        <f t="shared" ca="1" si="11"/>
        <v>100.00000000000007</v>
      </c>
      <c r="Z14" s="110">
        <f t="shared" ca="1" si="12"/>
        <v>2.0634813356177091</v>
      </c>
    </row>
    <row r="15" spans="1:26" x14ac:dyDescent="0.2">
      <c r="B15" s="163" t="s">
        <v>2</v>
      </c>
      <c r="C15" s="163" t="s">
        <v>74</v>
      </c>
      <c r="D15" s="162">
        <v>271</v>
      </c>
      <c r="E15" s="162">
        <v>257</v>
      </c>
      <c r="F15" s="110">
        <f t="shared" si="0"/>
        <v>91.829390591992194</v>
      </c>
      <c r="G15" s="7"/>
      <c r="H15" s="110">
        <f t="shared" ca="1" si="1"/>
        <v>262.86936642617428</v>
      </c>
      <c r="I15" s="110">
        <f t="shared" ca="1" si="1"/>
        <v>277.68389849793436</v>
      </c>
      <c r="J15" s="110">
        <f t="shared" ca="1" si="2"/>
        <v>94.916997749992618</v>
      </c>
      <c r="K15" s="110">
        <f t="shared" ca="1" si="3"/>
        <v>3.0876071580004236</v>
      </c>
      <c r="M15" s="110">
        <f t="shared" ca="1" si="4"/>
        <v>262.5338634669788</v>
      </c>
      <c r="N15" s="110">
        <f t="shared" ca="1" si="4"/>
        <v>277.50302994287489</v>
      </c>
      <c r="O15" s="110">
        <f t="shared" ca="1" si="5"/>
        <v>95.999999999999815</v>
      </c>
      <c r="P15" s="110">
        <f t="shared" ca="1" si="6"/>
        <v>4.1706094080076213</v>
      </c>
      <c r="R15" s="110">
        <f t="shared" ca="1" si="7"/>
        <v>262.21711585392563</v>
      </c>
      <c r="S15" s="110">
        <f t="shared" ca="1" si="7"/>
        <v>277.49581703372587</v>
      </c>
      <c r="T15" s="110">
        <f t="shared" ca="1" si="8"/>
        <v>98.044999134612695</v>
      </c>
      <c r="U15" s="110">
        <f t="shared" ca="1" si="9"/>
        <v>6.215608542620501</v>
      </c>
      <c r="W15" s="110">
        <f t="shared" ca="1" si="10"/>
        <v>261.62556530059862</v>
      </c>
      <c r="X15" s="110">
        <f t="shared" ca="1" si="10"/>
        <v>277.18263097687208</v>
      </c>
      <c r="Y15" s="110">
        <f t="shared" ca="1" si="11"/>
        <v>100.00000000000007</v>
      </c>
      <c r="Z15" s="110">
        <f t="shared" ca="1" si="12"/>
        <v>8.1706094080078771</v>
      </c>
    </row>
    <row r="16" spans="1:26" x14ac:dyDescent="0.2">
      <c r="B16" s="163" t="s">
        <v>3</v>
      </c>
      <c r="C16" s="163" t="s">
        <v>76</v>
      </c>
      <c r="D16" s="162">
        <v>247</v>
      </c>
      <c r="E16" s="162">
        <v>233</v>
      </c>
      <c r="F16" s="110">
        <f t="shared" si="0"/>
        <v>101.01730431647708</v>
      </c>
      <c r="G16" s="7"/>
      <c r="H16" s="110">
        <f t="shared" ca="1" si="1"/>
        <v>294.12940556439054</v>
      </c>
      <c r="I16" s="110">
        <f t="shared" ca="1" si="1"/>
        <v>311.54887872731769</v>
      </c>
      <c r="J16" s="110">
        <f t="shared" ca="1" si="2"/>
        <v>99.608999826922741</v>
      </c>
      <c r="K16" s="110">
        <f t="shared" ca="1" si="3"/>
        <v>-1.4083044895543395</v>
      </c>
      <c r="M16" s="110">
        <f t="shared" ca="1" si="4"/>
        <v>293.32570896006365</v>
      </c>
      <c r="N16" s="110">
        <f t="shared" ca="1" si="4"/>
        <v>311.12698372208087</v>
      </c>
      <c r="O16" s="110">
        <f t="shared" ca="1" si="5"/>
        <v>102.00000000000013</v>
      </c>
      <c r="P16" s="110">
        <f t="shared" ca="1" si="6"/>
        <v>0.98269568352304759</v>
      </c>
      <c r="R16" s="110">
        <f t="shared" ca="1" si="7"/>
        <v>293.66476791740763</v>
      </c>
      <c r="S16" s="110">
        <f t="shared" ca="1" si="7"/>
        <v>311.83045984898121</v>
      </c>
      <c r="T16" s="110">
        <f t="shared" ca="1" si="8"/>
        <v>103.91000173077481</v>
      </c>
      <c r="U16" s="110">
        <f t="shared" ca="1" si="9"/>
        <v>2.8926974142977286</v>
      </c>
      <c r="W16" s="110">
        <f t="shared" ca="1" si="10"/>
        <v>293.66476791740757</v>
      </c>
      <c r="X16" s="110">
        <f t="shared" ca="1" si="10"/>
        <v>311.12698372208087</v>
      </c>
      <c r="Y16" s="110">
        <f t="shared" ca="1" si="11"/>
        <v>99.99999999999973</v>
      </c>
      <c r="Z16" s="110">
        <f t="shared" ca="1" si="12"/>
        <v>-1.0173043164773503</v>
      </c>
    </row>
    <row r="17" spans="2:26" x14ac:dyDescent="0.2">
      <c r="B17" s="163" t="s">
        <v>4</v>
      </c>
      <c r="C17" s="163" t="s">
        <v>5</v>
      </c>
      <c r="D17" s="162">
        <v>223</v>
      </c>
      <c r="E17" s="162">
        <v>210</v>
      </c>
      <c r="F17" s="110">
        <f t="shared" si="0"/>
        <v>103.98525870501851</v>
      </c>
      <c r="G17" s="7"/>
      <c r="H17" s="110">
        <f t="shared" ca="1" si="1"/>
        <v>330</v>
      </c>
      <c r="I17" s="110">
        <f t="shared" ca="1" si="1"/>
        <v>350.49248856823237</v>
      </c>
      <c r="J17" s="110">
        <f t="shared" ca="1" si="2"/>
        <v>104.30100190385235</v>
      </c>
      <c r="K17" s="110">
        <f t="shared" ca="1" si="3"/>
        <v>0.31574319883384305</v>
      </c>
      <c r="M17" s="110">
        <f t="shared" ca="1" si="4"/>
        <v>330.00857764287997</v>
      </c>
      <c r="N17" s="110">
        <f t="shared" ca="1" si="4"/>
        <v>350.03605285216423</v>
      </c>
      <c r="O17" s="110">
        <f t="shared" ca="1" si="5"/>
        <v>102.00000000000013</v>
      </c>
      <c r="P17" s="110">
        <f t="shared" ca="1" si="6"/>
        <v>-1.9852587050183814</v>
      </c>
      <c r="R17" s="110">
        <f t="shared" ca="1" si="7"/>
        <v>330.00000000000011</v>
      </c>
      <c r="S17" s="110">
        <f t="shared" ca="1" si="7"/>
        <v>350.41333858307883</v>
      </c>
      <c r="T17" s="110">
        <f t="shared" ca="1" si="8"/>
        <v>103.91000173077481</v>
      </c>
      <c r="U17" s="110">
        <f t="shared" ca="1" si="9"/>
        <v>-7.525697424370037E-2</v>
      </c>
      <c r="W17" s="110">
        <f t="shared" ca="1" si="10"/>
        <v>329.62755691286992</v>
      </c>
      <c r="X17" s="110">
        <f t="shared" ca="1" si="10"/>
        <v>349.22823143300388</v>
      </c>
      <c r="Y17" s="110">
        <f t="shared" ca="1" si="11"/>
        <v>100.00000000000007</v>
      </c>
      <c r="Z17" s="110">
        <f t="shared" ca="1" si="12"/>
        <v>-3.9852587050184383</v>
      </c>
    </row>
    <row r="18" spans="2:26" x14ac:dyDescent="0.2">
      <c r="B18" s="163" t="s">
        <v>70</v>
      </c>
      <c r="C18" s="163" t="s">
        <v>6</v>
      </c>
      <c r="D18" s="162">
        <v>198</v>
      </c>
      <c r="E18" s="162">
        <v>187</v>
      </c>
      <c r="F18" s="110">
        <f t="shared" si="0"/>
        <v>98.954592230367567</v>
      </c>
      <c r="G18" s="7"/>
      <c r="H18" s="110">
        <f t="shared" ca="1" si="1"/>
        <v>370.24519799724584</v>
      </c>
      <c r="I18" s="110">
        <f t="shared" ca="1" si="1"/>
        <v>393.23685098937153</v>
      </c>
      <c r="J18" s="110">
        <f t="shared" ca="1" si="2"/>
        <v>104.30100190385235</v>
      </c>
      <c r="K18" s="110">
        <f t="shared" ca="1" si="3"/>
        <v>5.3464096734847857</v>
      </c>
      <c r="M18" s="110">
        <f t="shared" ca="1" si="4"/>
        <v>369.99442271163434</v>
      </c>
      <c r="N18" s="110">
        <f t="shared" ca="1" si="4"/>
        <v>392.44854854484072</v>
      </c>
      <c r="O18" s="110">
        <f t="shared" ca="1" si="5"/>
        <v>102.00000000000013</v>
      </c>
      <c r="P18" s="110">
        <f t="shared" ca="1" si="6"/>
        <v>3.0454077696325612</v>
      </c>
      <c r="R18" s="110">
        <f t="shared" ca="1" si="7"/>
        <v>370.41247594209324</v>
      </c>
      <c r="S18" s="110">
        <f t="shared" ca="1" si="7"/>
        <v>392.43834795089805</v>
      </c>
      <c r="T18" s="110">
        <f t="shared" ca="1" si="8"/>
        <v>99.99999999999973</v>
      </c>
      <c r="U18" s="110">
        <f t="shared" ca="1" si="9"/>
        <v>1.0454077696321633</v>
      </c>
      <c r="W18" s="110">
        <f t="shared" ca="1" si="10"/>
        <v>369.9944227116344</v>
      </c>
      <c r="X18" s="110">
        <f t="shared" ca="1" si="10"/>
        <v>391.99543598174927</v>
      </c>
      <c r="Y18" s="110">
        <f t="shared" ca="1" si="11"/>
        <v>99.99999999999973</v>
      </c>
      <c r="Z18" s="110">
        <f t="shared" ca="1" si="12"/>
        <v>1.0454077696321633</v>
      </c>
    </row>
    <row r="19" spans="2:26" x14ac:dyDescent="0.2">
      <c r="B19" s="163" t="s">
        <v>72</v>
      </c>
      <c r="C19" s="163" t="s">
        <v>7</v>
      </c>
      <c r="D19" s="162">
        <v>176.5</v>
      </c>
      <c r="E19" s="162">
        <v>167.5</v>
      </c>
      <c r="F19" s="110">
        <f t="shared" si="0"/>
        <v>90.608505511254805</v>
      </c>
      <c r="G19" s="7"/>
      <c r="H19" s="110">
        <f t="shared" ca="1" si="1"/>
        <v>416.52584774690155</v>
      </c>
      <c r="I19" s="110">
        <f t="shared" ca="1" si="1"/>
        <v>440</v>
      </c>
      <c r="J19" s="110">
        <f t="shared" ca="1" si="2"/>
        <v>94.916997749992618</v>
      </c>
      <c r="K19" s="110">
        <f t="shared" ca="1" si="3"/>
        <v>4.3084922387378128</v>
      </c>
      <c r="M19" s="110">
        <f t="shared" ca="1" si="4"/>
        <v>416.26536455926225</v>
      </c>
      <c r="N19" s="110">
        <f t="shared" ca="1" si="4"/>
        <v>439.99999999999989</v>
      </c>
      <c r="O19" s="110">
        <f t="shared" ca="1" si="5"/>
        <v>95.999999999999474</v>
      </c>
      <c r="P19" s="110">
        <f t="shared" ca="1" si="6"/>
        <v>5.3914944887446694</v>
      </c>
      <c r="R19" s="110">
        <f t="shared" ca="1" si="7"/>
        <v>416.24372555058881</v>
      </c>
      <c r="S19" s="110">
        <f t="shared" ca="1" si="7"/>
        <v>440.00000000000011</v>
      </c>
      <c r="T19" s="110">
        <f t="shared" ca="1" si="8"/>
        <v>96.089998269225319</v>
      </c>
      <c r="U19" s="110">
        <f t="shared" ca="1" si="9"/>
        <v>5.4814927579705142</v>
      </c>
      <c r="W19" s="110">
        <f t="shared" ca="1" si="10"/>
        <v>415.30469757994507</v>
      </c>
      <c r="X19" s="110">
        <f t="shared" ca="1" si="10"/>
        <v>439.99999999999994</v>
      </c>
      <c r="Y19" s="110">
        <f t="shared" ca="1" si="11"/>
        <v>100.00000000000007</v>
      </c>
      <c r="Z19" s="110">
        <f t="shared" ca="1" si="12"/>
        <v>9.3914944887452663</v>
      </c>
    </row>
    <row r="20" spans="2:26" x14ac:dyDescent="0.2">
      <c r="B20" s="163" t="s">
        <v>73</v>
      </c>
      <c r="C20" s="163" t="s">
        <v>8</v>
      </c>
      <c r="D20" s="162">
        <v>155.5</v>
      </c>
      <c r="E20" s="162">
        <v>147.5</v>
      </c>
      <c r="F20" s="110">
        <f t="shared" si="0"/>
        <v>91.43955105767877</v>
      </c>
      <c r="H20" s="110">
        <f t="shared" ca="1" si="1"/>
        <v>467.3233180909765</v>
      </c>
      <c r="I20" s="110">
        <f t="shared" ca="1" si="1"/>
        <v>493.66026399632779</v>
      </c>
      <c r="J20" s="110">
        <f t="shared" ca="1" si="2"/>
        <v>94.916997749992618</v>
      </c>
      <c r="K20" s="110">
        <f t="shared" ca="1" si="3"/>
        <v>3.4774466923138476</v>
      </c>
      <c r="M20" s="110">
        <f t="shared" ca="1" si="4"/>
        <v>466.70260620201543</v>
      </c>
      <c r="N20" s="110">
        <f t="shared" ca="1" si="4"/>
        <v>493.31307433254386</v>
      </c>
      <c r="O20" s="110">
        <f t="shared" ca="1" si="5"/>
        <v>95.999999999999815</v>
      </c>
      <c r="P20" s="110">
        <f t="shared" ca="1" si="6"/>
        <v>4.5604489423210453</v>
      </c>
      <c r="R20" s="110">
        <f t="shared" ca="1" si="7"/>
        <v>467.2177847774384</v>
      </c>
      <c r="S20" s="110">
        <f t="shared" ca="1" si="7"/>
        <v>494.44133536930508</v>
      </c>
      <c r="T20" s="110">
        <f t="shared" ca="1" si="8"/>
        <v>98.044999134612695</v>
      </c>
      <c r="U20" s="110">
        <f t="shared" ca="1" si="9"/>
        <v>6.605448076933925</v>
      </c>
      <c r="W20" s="110">
        <f t="shared" ca="1" si="10"/>
        <v>466.16376151808987</v>
      </c>
      <c r="X20" s="110">
        <f t="shared" ca="1" si="10"/>
        <v>493.88330125612407</v>
      </c>
      <c r="Y20" s="110">
        <f t="shared" ca="1" si="11"/>
        <v>100.00000000000007</v>
      </c>
      <c r="Z20" s="110">
        <f t="shared" ca="1" si="12"/>
        <v>8.560448942321301</v>
      </c>
    </row>
    <row r="21" spans="2:26" x14ac:dyDescent="0.2">
      <c r="B21" s="119"/>
      <c r="C21" s="119"/>
      <c r="H21" s="288" t="str">
        <f ca="1">_xlfn.CONCAT($F$5," vs. ",H4)</f>
        <v>Bergmann, Leipzig 10, 2025 Fret Size cents vs. Grote 5th</v>
      </c>
      <c r="I21" s="288"/>
      <c r="J21" s="288"/>
      <c r="K21" s="288"/>
      <c r="M21" s="278" t="str">
        <f ca="1">_xlfn.CONCAT($F$5," vs. ",M4)</f>
        <v>Bergmann, Leipzig 10, 2025 Fret Size cents vs. Bendeler 3</v>
      </c>
      <c r="N21" s="278"/>
      <c r="O21" s="278"/>
      <c r="P21" s="278"/>
      <c r="Q21" s="117"/>
      <c r="R21" s="288" t="str">
        <f ca="1">_xlfn.CONCAT($F$5," vs. ",R4)</f>
        <v>Bergmann, Leipzig 10, 2025 Fret Size cents vs. Neidhardt 3</v>
      </c>
      <c r="S21" s="288"/>
      <c r="T21" s="288"/>
      <c r="U21" s="288"/>
      <c r="W21" s="288" t="str">
        <f ca="1">_xlfn.CONCAT($F$5," vs. ",W4)</f>
        <v>Bergmann, Leipzig 10, 2025 Fret Size cents vs. Equal Temperament</v>
      </c>
      <c r="X21" s="288"/>
      <c r="Y21" s="288"/>
      <c r="Z21" s="288"/>
    </row>
    <row r="22" spans="2:26" x14ac:dyDescent="0.2">
      <c r="B22" s="80" t="s">
        <v>63</v>
      </c>
      <c r="J22" s="119" t="s">
        <v>94</v>
      </c>
      <c r="K22" s="110">
        <f ca="1">SQRT(SUMSQ(K6:K20)/COUNT(K6:K20))</f>
        <v>3.3782935393250169</v>
      </c>
      <c r="O22" s="119" t="s">
        <v>94</v>
      </c>
      <c r="P22" s="110">
        <f ca="1">SQRT(SUMSQ(P6:P20)/COUNT(P6:P20))</f>
        <v>3.1280138067398244</v>
      </c>
      <c r="T22" s="119" t="s">
        <v>94</v>
      </c>
      <c r="U22" s="110">
        <f ca="1">SQRT(SUMSQ(U6:U20)/COUNT(U6:U20))</f>
        <v>3.7381843675474116</v>
      </c>
      <c r="Y22" s="119" t="s">
        <v>94</v>
      </c>
      <c r="Z22" s="110">
        <f ca="1">SQRT(SUMSQ(Z6:Z20)/COUNT(Z6:Z20))</f>
        <v>5.4560632363121364</v>
      </c>
    </row>
    <row r="23" spans="2:26" x14ac:dyDescent="0.2">
      <c r="B23" s="286"/>
      <c r="C23" s="286"/>
      <c r="D23" s="286"/>
      <c r="E23" s="286"/>
      <c r="X23" s="7"/>
    </row>
    <row r="25" spans="2:26" ht="19" x14ac:dyDescent="0.2">
      <c r="D25" s="7"/>
      <c r="N25" s="120"/>
      <c r="P25" s="7"/>
      <c r="R25" s="7"/>
    </row>
    <row r="26" spans="2:26" x14ac:dyDescent="0.2">
      <c r="D26" s="7"/>
      <c r="P26" s="7"/>
      <c r="R26" s="7"/>
    </row>
    <row r="27" spans="2:26" x14ac:dyDescent="0.2">
      <c r="D27" s="7"/>
      <c r="P27" s="7"/>
      <c r="R27" s="7"/>
    </row>
    <row r="28" spans="2:26" x14ac:dyDescent="0.2">
      <c r="D28" s="7"/>
      <c r="P28" s="7"/>
      <c r="R28" s="7"/>
    </row>
    <row r="29" spans="2:26" x14ac:dyDescent="0.2">
      <c r="D29" s="7"/>
      <c r="P29" s="7"/>
      <c r="R29" s="7"/>
    </row>
    <row r="30" spans="2:26" x14ac:dyDescent="0.2">
      <c r="D30" s="7"/>
      <c r="P30" s="7"/>
      <c r="R30" s="7"/>
    </row>
    <row r="31" spans="2:26" x14ac:dyDescent="0.2">
      <c r="D31" s="7"/>
      <c r="P31" s="7"/>
      <c r="R31" s="7"/>
    </row>
    <row r="32" spans="2:26" x14ac:dyDescent="0.2">
      <c r="D32" s="7"/>
      <c r="P32" s="7"/>
      <c r="R32" s="7"/>
    </row>
    <row r="33" spans="4:18" x14ac:dyDescent="0.2">
      <c r="D33" s="7"/>
      <c r="P33" s="7"/>
      <c r="R33" s="7"/>
    </row>
    <row r="34" spans="4:18" x14ac:dyDescent="0.2">
      <c r="D34" s="7"/>
      <c r="P34" s="7"/>
      <c r="R34" s="7"/>
    </row>
    <row r="35" spans="4:18" x14ac:dyDescent="0.2">
      <c r="D35" s="7"/>
      <c r="P35" s="7"/>
      <c r="R35" s="7"/>
    </row>
    <row r="36" spans="4:18" x14ac:dyDescent="0.2">
      <c r="D36" s="7"/>
      <c r="P36" s="7"/>
      <c r="R36" s="7"/>
    </row>
    <row r="37" spans="4:18" x14ac:dyDescent="0.2">
      <c r="P37" s="7"/>
      <c r="R37" s="7"/>
    </row>
  </sheetData>
  <sheetProtection sheet="1" objects="1" scenarios="1" formatCells="0"/>
  <mergeCells count="15">
    <mergeCell ref="W3:Z3"/>
    <mergeCell ref="B1:H1"/>
    <mergeCell ref="B3:E3"/>
    <mergeCell ref="H3:K3"/>
    <mergeCell ref="M3:P3"/>
    <mergeCell ref="R3:U3"/>
    <mergeCell ref="B23:E23"/>
    <mergeCell ref="H4:K4"/>
    <mergeCell ref="M4:P4"/>
    <mergeCell ref="R4:U4"/>
    <mergeCell ref="W4:Z4"/>
    <mergeCell ref="H21:K21"/>
    <mergeCell ref="M21:P21"/>
    <mergeCell ref="R21:U21"/>
    <mergeCell ref="W21:Z21"/>
  </mergeCells>
  <conditionalFormatting sqref="A1:XFD1048576">
    <cfRule type="expression" dxfId="121" priority="1">
      <formula>CELL("protect",A1)=0</formula>
    </cfRule>
  </conditionalFormatting>
  <conditionalFormatting sqref="A5:XFD20 B24:F32 G24:G36 I24:L36 C33:F33 B34:F36 B37:L1048576">
    <cfRule type="expression" dxfId="120" priority="2">
      <formula>_xlfn.ISFORMULA(A5)</formula>
    </cfRule>
  </conditionalFormatting>
  <conditionalFormatting sqref="B3:B4 F3:H4 L3:M4 Q3:R4 V3:W4 AA3:XFD4 L21:M21 R21 B21:H22 V21:W22 AA21:XFD22 J22:M22 O22:R22 T22:U22 Y22:Z22 B23 F23:L23 M23:Q24 R23:XFD1048576 M25 O25:Q25 M26:Q1048576">
    <cfRule type="expression" dxfId="119" priority="3">
      <formula>_xlfn.ISFORMULA(B3)</formula>
    </cfRule>
  </conditionalFormatting>
  <hyperlinks>
    <hyperlink ref="B22" location="Overview!A1" display="Back to Overview" xr:uid="{E23F749E-9C3D-0142-AE3A-6DA2F97CDF72}"/>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49</vt:i4>
      </vt:variant>
      <vt:variant>
        <vt:lpstr>Named Ranges</vt:lpstr>
      </vt:variant>
      <vt:variant>
        <vt:i4>133</vt:i4>
      </vt:variant>
    </vt:vector>
  </HeadingPairs>
  <TitlesOfParts>
    <vt:vector size="182" baseType="lpstr">
      <vt:lpstr>Overview</vt:lpstr>
      <vt:lpstr>Commas &amp; Cents</vt:lpstr>
      <vt:lpstr>Fret Calculator</vt:lpstr>
      <vt:lpstr>Best Fit Fretting</vt:lpstr>
      <vt:lpstr>Best Fit Temperament</vt:lpstr>
      <vt:lpstr>Guitar, Modern</vt:lpstr>
      <vt:lpstr>Tournay-Kather Tannenberg, 1992</vt:lpstr>
      <vt:lpstr>Tournay_Kather Bridge</vt:lpstr>
      <vt:lpstr>Bergmann, Leipzig 10, 2025</vt:lpstr>
      <vt:lpstr>Anon., Leipzig 10, ~1700</vt:lpstr>
      <vt:lpstr>Gellinger, Namur, 1670</vt:lpstr>
      <vt:lpstr>Bavington, Donat, L 12, ~1700</vt:lpstr>
      <vt:lpstr>Wahlström, 1752</vt:lpstr>
      <vt:lpstr>Hubert, Edinburgh, 1784</vt:lpstr>
      <vt:lpstr>Hubert, Nürnberg, 1789</vt:lpstr>
      <vt:lpstr>BDO Any</vt:lpstr>
      <vt:lpstr>Equal</vt:lpstr>
      <vt:lpstr>Grote 5th</vt:lpstr>
      <vt:lpstr>Altstedt, Scholsskappelle 1</vt:lpstr>
      <vt:lpstr>Altstedt, Scholsskappelle 2</vt:lpstr>
      <vt:lpstr>Kirnberger col. 1</vt:lpstr>
      <vt:lpstr>Kirnberger col. 2</vt:lpstr>
      <vt:lpstr>Kirnberger col. 3</vt:lpstr>
      <vt:lpstr>Kirnberger III P.</vt:lpstr>
      <vt:lpstr>Kirnberger III S.</vt:lpstr>
      <vt:lpstr>Meantone Oct 1</vt:lpstr>
      <vt:lpstr>Meantone Oct 2</vt:lpstr>
      <vt:lpstr>Meantone q. comma</vt:lpstr>
      <vt:lpstr>Meantone Bav Donat</vt:lpstr>
      <vt:lpstr>Monochord</vt:lpstr>
      <vt:lpstr>Neidhardt 1</vt:lpstr>
      <vt:lpstr>Neidhardt 2</vt:lpstr>
      <vt:lpstr>Neidhardt 3</vt:lpstr>
      <vt:lpstr>Pythagorean</vt:lpstr>
      <vt:lpstr>Silbermann Freiberg 1</vt:lpstr>
      <vt:lpstr>Silbermann Freiberg 2</vt:lpstr>
      <vt:lpstr>Silbermann Freiberg 3</vt:lpstr>
      <vt:lpstr>Silbermann Freiberg 4</vt:lpstr>
      <vt:lpstr>Silbermann Sorge</vt:lpstr>
      <vt:lpstr>Silbermann Wegscheider 1</vt:lpstr>
      <vt:lpstr>Vallotti-Young</vt:lpstr>
      <vt:lpstr>Werckmeister III</vt:lpstr>
      <vt:lpstr>Template Instrument Fretted</vt:lpstr>
      <vt:lpstr>Template Bridge Effect</vt:lpstr>
      <vt:lpstr>Template Instrument by Lengths</vt:lpstr>
      <vt:lpstr>Template from Fifths</vt:lpstr>
      <vt:lpstr>Template from Scale</vt:lpstr>
      <vt:lpstr>Template from ET Fifths Order</vt:lpstr>
      <vt:lpstr>Template from ET Scale Order</vt:lpstr>
      <vt:lpstr>'Best Fit Fretting'!BDO</vt:lpstr>
      <vt:lpstr>'Best Fit Temperament'!BDO</vt:lpstr>
      <vt:lpstr>BDO_Names</vt:lpstr>
      <vt:lpstr>BDO_Table</vt:lpstr>
      <vt:lpstr>'Altstedt, Scholsskappelle 1'!ET_Scale_Diff</vt:lpstr>
      <vt:lpstr>'Altstedt, Scholsskappelle 2'!ET_Scale_Diff</vt:lpstr>
      <vt:lpstr>'BDO Any'!ET_Scale_Diff</vt:lpstr>
      <vt:lpstr>Equal!ET_Scale_Diff</vt:lpstr>
      <vt:lpstr>'Grote 5th'!ET_Scale_Diff</vt:lpstr>
      <vt:lpstr>'Kirnberger col. 1'!ET_Scale_Diff</vt:lpstr>
      <vt:lpstr>'Kirnberger col. 2'!ET_Scale_Diff</vt:lpstr>
      <vt:lpstr>'Kirnberger col. 3'!ET_Scale_Diff</vt:lpstr>
      <vt:lpstr>'Kirnberger III P.'!ET_Scale_Diff</vt:lpstr>
      <vt:lpstr>'Kirnberger III S.'!ET_Scale_Diff</vt:lpstr>
      <vt:lpstr>'Meantone Bav Donat'!ET_Scale_Diff</vt:lpstr>
      <vt:lpstr>'Meantone Oct 1'!ET_Scale_Diff</vt:lpstr>
      <vt:lpstr>'Meantone Oct 2'!ET_Scale_Diff</vt:lpstr>
      <vt:lpstr>'Meantone q. comma'!ET_Scale_Diff</vt:lpstr>
      <vt:lpstr>Monochord!ET_Scale_Diff</vt:lpstr>
      <vt:lpstr>'Neidhardt 1'!ET_Scale_Diff</vt:lpstr>
      <vt:lpstr>'Neidhardt 2'!ET_Scale_Diff</vt:lpstr>
      <vt:lpstr>'Neidhardt 3'!ET_Scale_Diff</vt:lpstr>
      <vt:lpstr>Pythagorean!ET_Scale_Diff</vt:lpstr>
      <vt:lpstr>'Silbermann Freiberg 1'!ET_Scale_Diff</vt:lpstr>
      <vt:lpstr>'Silbermann Freiberg 2'!ET_Scale_Diff</vt:lpstr>
      <vt:lpstr>'Silbermann Freiberg 3'!ET_Scale_Diff</vt:lpstr>
      <vt:lpstr>'Silbermann Freiberg 4'!ET_Scale_Diff</vt:lpstr>
      <vt:lpstr>'Silbermann Sorge'!ET_Scale_Diff</vt:lpstr>
      <vt:lpstr>'Silbermann Wegscheider 1'!ET_Scale_Diff</vt:lpstr>
      <vt:lpstr>'Template from ET Fifths Order'!ET_Scale_Diff</vt:lpstr>
      <vt:lpstr>'Template from ET Scale Order'!ET_Scale_Diff</vt:lpstr>
      <vt:lpstr>'Template from Fifths'!ET_Scale_Diff</vt:lpstr>
      <vt:lpstr>'Template from Scale'!ET_Scale_Diff</vt:lpstr>
      <vt:lpstr>'Template Instrument by Lengths'!ET_Scale_Diff</vt:lpstr>
      <vt:lpstr>'Vallotti-Young'!ET_Scale_Diff</vt:lpstr>
      <vt:lpstr>'Werckmeister III'!ET_Scale_Diff</vt:lpstr>
      <vt:lpstr>'Altstedt, Scholsskappelle 1'!ET_Scale_Fifths</vt:lpstr>
      <vt:lpstr>'Altstedt, Scholsskappelle 2'!ET_Scale_Fifths</vt:lpstr>
      <vt:lpstr>'BDO Any'!ET_Scale_Fifths</vt:lpstr>
      <vt:lpstr>Equal!ET_Scale_Fifths</vt:lpstr>
      <vt:lpstr>'Grote 5th'!ET_Scale_Fifths</vt:lpstr>
      <vt:lpstr>'Kirnberger col. 1'!ET_Scale_Fifths</vt:lpstr>
      <vt:lpstr>'Kirnberger col. 2'!ET_Scale_Fifths</vt:lpstr>
      <vt:lpstr>'Kirnberger col. 3'!ET_Scale_Fifths</vt:lpstr>
      <vt:lpstr>'Kirnberger III P.'!ET_Scale_Fifths</vt:lpstr>
      <vt:lpstr>'Kirnberger III S.'!ET_Scale_Fifths</vt:lpstr>
      <vt:lpstr>'Meantone Bav Donat'!ET_Scale_Fifths</vt:lpstr>
      <vt:lpstr>'Meantone Oct 1'!ET_Scale_Fifths</vt:lpstr>
      <vt:lpstr>'Meantone Oct 2'!ET_Scale_Fifths</vt:lpstr>
      <vt:lpstr>'Meantone q. comma'!ET_Scale_Fifths</vt:lpstr>
      <vt:lpstr>Monochord!ET_Scale_Fifths</vt:lpstr>
      <vt:lpstr>'Neidhardt 1'!ET_Scale_Fifths</vt:lpstr>
      <vt:lpstr>'Neidhardt 2'!ET_Scale_Fifths</vt:lpstr>
      <vt:lpstr>'Neidhardt 3'!ET_Scale_Fifths</vt:lpstr>
      <vt:lpstr>Pythagorean!ET_Scale_Fifths</vt:lpstr>
      <vt:lpstr>'Silbermann Freiberg 1'!ET_Scale_Fifths</vt:lpstr>
      <vt:lpstr>'Silbermann Freiberg 2'!ET_Scale_Fifths</vt:lpstr>
      <vt:lpstr>'Silbermann Freiberg 3'!ET_Scale_Fifths</vt:lpstr>
      <vt:lpstr>'Silbermann Freiberg 4'!ET_Scale_Fifths</vt:lpstr>
      <vt:lpstr>'Silbermann Sorge'!ET_Scale_Fifths</vt:lpstr>
      <vt:lpstr>'Silbermann Wegscheider 1'!ET_Scale_Fifths</vt:lpstr>
      <vt:lpstr>'Template from ET Fifths Order'!ET_Scale_Fifths</vt:lpstr>
      <vt:lpstr>'Template from ET Scale Order'!ET_Scale_Fifths</vt:lpstr>
      <vt:lpstr>'Template from Fifths'!ET_Scale_Fifths</vt:lpstr>
      <vt:lpstr>'Template from Scale'!ET_Scale_Fifths</vt:lpstr>
      <vt:lpstr>'Template Instrument by Lengths'!ET_Scale_Fifths</vt:lpstr>
      <vt:lpstr>'Vallotti-Young'!ET_Scale_Fifths</vt:lpstr>
      <vt:lpstr>'Werckmeister III'!ET_Scale_Fifths</vt:lpstr>
      <vt:lpstr>'Anon., Leipzig 10, ~1700'!Frets_Note1</vt:lpstr>
      <vt:lpstr>'Bavington, Donat, L 12, ~1700'!Frets_Note1</vt:lpstr>
      <vt:lpstr>'Bergmann, Leipzig 10, 2025'!Frets_Note1</vt:lpstr>
      <vt:lpstr>'Gellinger, Namur, 1670'!Frets_Note1</vt:lpstr>
      <vt:lpstr>'Guitar, Modern'!Frets_Note1</vt:lpstr>
      <vt:lpstr>'Hubert, Edinburgh, 1784'!Frets_Note1</vt:lpstr>
      <vt:lpstr>'Hubert, Nürnberg, 1789'!Frets_Note1</vt:lpstr>
      <vt:lpstr>'Template Instrument Fretted'!Frets_Note1</vt:lpstr>
      <vt:lpstr>'Tournay-Kather Tannenberg, 1992'!Frets_Note1</vt:lpstr>
      <vt:lpstr>'Wahlström, 1752'!Frets_Note1</vt:lpstr>
      <vt:lpstr>'Anon., Leipzig 10, ~1700'!Frets_Note2</vt:lpstr>
      <vt:lpstr>'Bavington, Donat, L 12, ~1700'!Frets_Note2</vt:lpstr>
      <vt:lpstr>'Bergmann, Leipzig 10, 2025'!Frets_Note2</vt:lpstr>
      <vt:lpstr>'Gellinger, Namur, 1670'!Frets_Note2</vt:lpstr>
      <vt:lpstr>'Guitar, Modern'!Frets_Note2</vt:lpstr>
      <vt:lpstr>'Hubert, Edinburgh, 1784'!Frets_Note2</vt:lpstr>
      <vt:lpstr>'Hubert, Nürnberg, 1789'!Frets_Note2</vt:lpstr>
      <vt:lpstr>'Template Instrument Fretted'!Frets_Note2</vt:lpstr>
      <vt:lpstr>'Tournay-Kather Tannenberg, 1992'!Frets_Note2</vt:lpstr>
      <vt:lpstr>'Wahlström, 1752'!Frets_Note2</vt:lpstr>
      <vt:lpstr>'Anon., Leipzig 10, ~1700'!Frets_Size</vt:lpstr>
      <vt:lpstr>'Bavington, Donat, L 12, ~1700'!Frets_Size</vt:lpstr>
      <vt:lpstr>'Bergmann, Leipzig 10, 2025'!Frets_Size</vt:lpstr>
      <vt:lpstr>'Gellinger, Namur, 1670'!Frets_Size</vt:lpstr>
      <vt:lpstr>'Guitar, Modern'!Frets_Size</vt:lpstr>
      <vt:lpstr>'Hubert, Edinburgh, 1784'!Frets_Size</vt:lpstr>
      <vt:lpstr>'Hubert, Nürnberg, 1789'!Frets_Size</vt:lpstr>
      <vt:lpstr>'Template Instrument Fretted'!Frets_Size</vt:lpstr>
      <vt:lpstr>'Tournay-Kather Tannenberg, 1992'!Frets_Size</vt:lpstr>
      <vt:lpstr>'Wahlström, 1752'!Frets_Size</vt:lpstr>
      <vt:lpstr>'Altstedt, Scholsskappelle 1'!Master_Frequencies</vt:lpstr>
      <vt:lpstr>'Altstedt, Scholsskappelle 2'!Master_Frequencies</vt:lpstr>
      <vt:lpstr>'BDO Any'!Master_Frequencies</vt:lpstr>
      <vt:lpstr>Equal!Master_Frequencies</vt:lpstr>
      <vt:lpstr>'Grote 5th'!Master_Frequencies</vt:lpstr>
      <vt:lpstr>'Kirnberger col. 1'!Master_Frequencies</vt:lpstr>
      <vt:lpstr>'Kirnberger col. 2'!Master_Frequencies</vt:lpstr>
      <vt:lpstr>'Kirnberger col. 3'!Master_Frequencies</vt:lpstr>
      <vt:lpstr>'Kirnberger III P.'!Master_Frequencies</vt:lpstr>
      <vt:lpstr>'Kirnberger III S.'!Master_Frequencies</vt:lpstr>
      <vt:lpstr>'Meantone Bav Donat'!Master_Frequencies</vt:lpstr>
      <vt:lpstr>'Meantone Oct 1'!Master_Frequencies</vt:lpstr>
      <vt:lpstr>'Meantone Oct 2'!Master_Frequencies</vt:lpstr>
      <vt:lpstr>'Meantone q. comma'!Master_Frequencies</vt:lpstr>
      <vt:lpstr>Monochord!Master_Frequencies</vt:lpstr>
      <vt:lpstr>'Neidhardt 1'!Master_Frequencies</vt:lpstr>
      <vt:lpstr>'Neidhardt 2'!Master_Frequencies</vt:lpstr>
      <vt:lpstr>'Neidhardt 3'!Master_Frequencies</vt:lpstr>
      <vt:lpstr>Pythagorean!Master_Frequencies</vt:lpstr>
      <vt:lpstr>'Silbermann Freiberg 1'!Master_Frequencies</vt:lpstr>
      <vt:lpstr>'Silbermann Freiberg 2'!Master_Frequencies</vt:lpstr>
      <vt:lpstr>'Silbermann Freiberg 3'!Master_Frequencies</vt:lpstr>
      <vt:lpstr>'Silbermann Freiberg 4'!Master_Frequencies</vt:lpstr>
      <vt:lpstr>'Silbermann Sorge'!Master_Frequencies</vt:lpstr>
      <vt:lpstr>'Silbermann Wegscheider 1'!Master_Frequencies</vt:lpstr>
      <vt:lpstr>'Template from ET Fifths Order'!Master_Frequencies</vt:lpstr>
      <vt:lpstr>'Template from ET Scale Order'!Master_Frequencies</vt:lpstr>
      <vt:lpstr>'Template from Fifths'!Master_Frequencies</vt:lpstr>
      <vt:lpstr>'Template from Scale'!Master_Frequencies</vt:lpstr>
      <vt:lpstr>'Template Instrument by Lengths'!Master_Frequencies</vt:lpstr>
      <vt:lpstr>'Vallotti-Young'!Master_Frequencies</vt:lpstr>
      <vt:lpstr>'Werckmeister III'!Master_Frequencies</vt:lpstr>
      <vt:lpstr>'Best Fit Fretting'!Sort_Table</vt:lpstr>
      <vt:lpstr>'Best Fit Temperament'!Sort_Table</vt:lpstr>
      <vt:lpstr>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Shepherd</dc:creator>
  <cp:lastModifiedBy>Alan Shepherd</cp:lastModifiedBy>
  <dcterms:created xsi:type="dcterms:W3CDTF">2025-01-25T10:32:22Z</dcterms:created>
  <dcterms:modified xsi:type="dcterms:W3CDTF">2025-10-31T16:00:55Z</dcterms:modified>
</cp:coreProperties>
</file>